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ejandra.sanchez\Documents\2022\PUBLICACIONES\"/>
    </mc:Choice>
  </mc:AlternateContent>
  <bookViews>
    <workbookView xWindow="0" yWindow="0" windowWidth="28800" windowHeight="11610"/>
  </bookViews>
  <sheets>
    <sheet name="VIGENCIA 2018" sheetId="6" r:id="rId1"/>
  </sheets>
  <definedNames>
    <definedName name="_xlnm._FilterDatabase" localSheetId="0" hidden="1">'VIGENCIA 2018'!$A$1:$AR$101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99" i="6" l="1"/>
  <c r="N54" i="6" l="1"/>
  <c r="N94" i="6" l="1"/>
  <c r="N95" i="6" l="1"/>
  <c r="N89" i="6"/>
  <c r="N81" i="6"/>
  <c r="N75" i="6"/>
  <c r="N68" i="6"/>
  <c r="N46" i="6"/>
  <c r="N42" i="6"/>
  <c r="N40" i="6"/>
  <c r="N35" i="6"/>
  <c r="N27" i="6"/>
  <c r="N20" i="6"/>
  <c r="N19" i="6"/>
  <c r="N14" i="6"/>
  <c r="N11" i="6"/>
  <c r="N8" i="6"/>
  <c r="N6" i="6"/>
  <c r="N3" i="6"/>
  <c r="N2" i="6"/>
  <c r="O12" i="6" l="1"/>
  <c r="N10" i="6"/>
  <c r="N5" i="6"/>
  <c r="N4" i="6"/>
  <c r="U4" i="6" l="1"/>
  <c r="V4" i="6" s="1"/>
  <c r="W4" i="6" s="1"/>
  <c r="U9" i="6"/>
  <c r="V9" i="6" s="1"/>
  <c r="W9" i="6" s="1"/>
  <c r="U10" i="6"/>
  <c r="V10" i="6" s="1"/>
  <c r="W10" i="6" s="1"/>
  <c r="U17" i="6"/>
  <c r="V17" i="6" s="1"/>
  <c r="W17" i="6" s="1"/>
  <c r="U18" i="6"/>
  <c r="V18" i="6" s="1"/>
  <c r="W18" i="6" s="1"/>
  <c r="U20" i="6"/>
  <c r="V20" i="6" s="1"/>
  <c r="W20" i="6" s="1"/>
  <c r="U22" i="6"/>
  <c r="V22" i="6" s="1"/>
  <c r="W22" i="6" s="1"/>
  <c r="U24" i="6"/>
  <c r="V24" i="6" s="1"/>
  <c r="W24" i="6" s="1"/>
  <c r="U30" i="6"/>
  <c r="V30" i="6" s="1"/>
  <c r="W30" i="6" s="1"/>
  <c r="U31" i="6"/>
  <c r="V31" i="6" s="1"/>
  <c r="W31" i="6" s="1"/>
  <c r="U33" i="6"/>
  <c r="V33" i="6" s="1"/>
  <c r="W33" i="6" s="1"/>
  <c r="U41" i="6"/>
  <c r="V41" i="6" s="1"/>
  <c r="W41" i="6" s="1"/>
  <c r="U49" i="6"/>
  <c r="V49" i="6" s="1"/>
  <c r="W49" i="6" s="1"/>
  <c r="U51" i="6"/>
  <c r="V51" i="6" s="1"/>
  <c r="W51" i="6" s="1"/>
  <c r="U59" i="6"/>
  <c r="V59" i="6" s="1"/>
  <c r="W59" i="6" s="1"/>
  <c r="U62" i="6"/>
  <c r="V62" i="6" s="1"/>
  <c r="W62" i="6" s="1"/>
  <c r="U63" i="6"/>
  <c r="V63" i="6" s="1"/>
  <c r="W63" i="6" s="1"/>
  <c r="U65" i="6"/>
  <c r="V65" i="6" s="1"/>
  <c r="W65" i="6" s="1"/>
  <c r="U66" i="6"/>
  <c r="V66" i="6" s="1"/>
  <c r="W66" i="6" s="1"/>
  <c r="U67" i="6"/>
  <c r="V67" i="6" s="1"/>
  <c r="W67" i="6" s="1"/>
  <c r="U70" i="6"/>
  <c r="V70" i="6" s="1"/>
  <c r="W70" i="6" s="1"/>
  <c r="U72" i="6"/>
  <c r="V72" i="6" s="1"/>
  <c r="W72" i="6" s="1"/>
  <c r="U73" i="6"/>
  <c r="V73" i="6" s="1"/>
  <c r="W73" i="6" s="1"/>
  <c r="U79" i="6"/>
  <c r="V79" i="6" s="1"/>
  <c r="W79" i="6" s="1"/>
  <c r="U82" i="6"/>
  <c r="V82" i="6" s="1"/>
  <c r="W82" i="6" s="1"/>
  <c r="U85" i="6"/>
  <c r="V85" i="6" s="1"/>
  <c r="W85" i="6" s="1"/>
  <c r="U88" i="6"/>
  <c r="V88" i="6" s="1"/>
  <c r="W88" i="6" s="1"/>
  <c r="U89" i="6"/>
  <c r="V89" i="6" s="1"/>
  <c r="W89" i="6" s="1"/>
  <c r="U91" i="6"/>
  <c r="V91" i="6" s="1"/>
  <c r="W91" i="6" s="1"/>
  <c r="U101" i="6"/>
  <c r="V101" i="6" s="1"/>
  <c r="W101" i="6" s="1"/>
  <c r="R7" i="6"/>
  <c r="U7" i="6" s="1"/>
  <c r="V7" i="6" s="1"/>
  <c r="W7" i="6" s="1"/>
  <c r="T2" i="6"/>
  <c r="S2" i="6"/>
  <c r="S3" i="6"/>
  <c r="U3" i="6" s="1"/>
  <c r="R5" i="6"/>
  <c r="U5" i="6" s="1"/>
  <c r="V5" i="6" s="1"/>
  <c r="W5" i="6" s="1"/>
  <c r="Q6" i="6"/>
  <c r="U6" i="6" s="1"/>
  <c r="V6" i="6" s="1"/>
  <c r="W6" i="6" s="1"/>
  <c r="S8" i="6"/>
  <c r="U8" i="6" s="1"/>
  <c r="V8" i="6" s="1"/>
  <c r="W8" i="6" s="1"/>
  <c r="S11" i="6"/>
  <c r="R11" i="6"/>
  <c r="Q11" i="6"/>
  <c r="S12" i="6"/>
  <c r="R12" i="6"/>
  <c r="S13" i="6"/>
  <c r="R13" i="6"/>
  <c r="Q13" i="6"/>
  <c r="P13" i="6"/>
  <c r="Q14" i="6"/>
  <c r="R14" i="6"/>
  <c r="S14" i="6"/>
  <c r="S15" i="6"/>
  <c r="R15" i="6"/>
  <c r="Q15" i="6"/>
  <c r="R16" i="6"/>
  <c r="S16" i="6"/>
  <c r="R21" i="6"/>
  <c r="U21" i="6" s="1"/>
  <c r="R23" i="6"/>
  <c r="U23" i="6" s="1"/>
  <c r="V23" i="6" s="1"/>
  <c r="R25" i="6"/>
  <c r="U25" i="6" s="1"/>
  <c r="V25" i="6" s="1"/>
  <c r="W25" i="6" s="1"/>
  <c r="R26" i="6"/>
  <c r="S26" i="6"/>
  <c r="T27" i="6"/>
  <c r="U27" i="6" s="1"/>
  <c r="R28" i="6"/>
  <c r="S28" i="6"/>
  <c r="R29" i="6"/>
  <c r="U29" i="6" s="1"/>
  <c r="V29" i="6" s="1"/>
  <c r="W29" i="6" s="1"/>
  <c r="R32" i="6"/>
  <c r="U32" i="6" s="1"/>
  <c r="V32" i="6" s="1"/>
  <c r="W32" i="6" s="1"/>
  <c r="R34" i="6"/>
  <c r="U34" i="6" s="1"/>
  <c r="V34" i="6" s="1"/>
  <c r="W34" i="6" s="1"/>
  <c r="S35" i="6"/>
  <c r="R35" i="6"/>
  <c r="R36" i="6"/>
  <c r="U36" i="6" s="1"/>
  <c r="V36" i="6" s="1"/>
  <c r="W36" i="6" s="1"/>
  <c r="U28" i="6" l="1"/>
  <c r="V28" i="6" s="1"/>
  <c r="U2" i="6"/>
  <c r="V2" i="6" s="1"/>
  <c r="W2" i="6" s="1"/>
  <c r="U16" i="6"/>
  <c r="U12" i="6"/>
  <c r="V12" i="6" s="1"/>
  <c r="W12" i="6" s="1"/>
  <c r="U13" i="6"/>
  <c r="V13" i="6" s="1"/>
  <c r="U11" i="6"/>
  <c r="U14" i="6"/>
  <c r="U26" i="6"/>
  <c r="U35" i="6"/>
  <c r="V35" i="6" s="1"/>
  <c r="W35" i="6" s="1"/>
  <c r="U15" i="6"/>
  <c r="V15" i="6" s="1"/>
  <c r="R37" i="6"/>
  <c r="S37" i="6"/>
  <c r="S38" i="6"/>
  <c r="U38" i="6" s="1"/>
  <c r="V38" i="6" s="1"/>
  <c r="W38" i="6" s="1"/>
  <c r="S39" i="6"/>
  <c r="U39" i="6" s="1"/>
  <c r="V39" i="6" s="1"/>
  <c r="W39" i="6" s="1"/>
  <c r="R40" i="6"/>
  <c r="U40" i="6" s="1"/>
  <c r="S42" i="6"/>
  <c r="U42" i="6" s="1"/>
  <c r="S43" i="6"/>
  <c r="U43" i="6" s="1"/>
  <c r="V43" i="6" s="1"/>
  <c r="W43" i="6" s="1"/>
  <c r="P44" i="6"/>
  <c r="Q44" i="6"/>
  <c r="R44" i="6"/>
  <c r="R45" i="6"/>
  <c r="U45" i="6" s="1"/>
  <c r="V45" i="6" s="1"/>
  <c r="S46" i="6"/>
  <c r="U46" i="6" s="1"/>
  <c r="V46" i="6" s="1"/>
  <c r="R47" i="6"/>
  <c r="S47" i="6"/>
  <c r="R48" i="6"/>
  <c r="U48" i="6" s="1"/>
  <c r="V48" i="6" s="1"/>
  <c r="W48" i="6" s="1"/>
  <c r="R50" i="6"/>
  <c r="U50" i="6" s="1"/>
  <c r="V50" i="6" s="1"/>
  <c r="T52" i="6"/>
  <c r="S52" i="6"/>
  <c r="R52" i="6"/>
  <c r="S53" i="6"/>
  <c r="R53" i="6"/>
  <c r="S54" i="6"/>
  <c r="R54" i="6"/>
  <c r="R55" i="6"/>
  <c r="T55" i="6"/>
  <c r="S57" i="6"/>
  <c r="R57" i="6"/>
  <c r="R58" i="6"/>
  <c r="S58" i="6"/>
  <c r="R60" i="6"/>
  <c r="S60" i="6"/>
  <c r="R61" i="6"/>
  <c r="U61" i="6" s="1"/>
  <c r="V61" i="6" s="1"/>
  <c r="W61" i="6" s="1"/>
  <c r="R64" i="6"/>
  <c r="U64" i="6" s="1"/>
  <c r="V64" i="6" s="1"/>
  <c r="W64" i="6" s="1"/>
  <c r="R68" i="6"/>
  <c r="S68" i="6"/>
  <c r="T69" i="6"/>
  <c r="S69" i="6"/>
  <c r="R71" i="6"/>
  <c r="U71" i="6" s="1"/>
  <c r="V71" i="6" s="1"/>
  <c r="S74" i="6"/>
  <c r="R74" i="6"/>
  <c r="Q75" i="6"/>
  <c r="R75" i="6"/>
  <c r="S75" i="6"/>
  <c r="T75" i="6"/>
  <c r="R77" i="6"/>
  <c r="U77" i="6" s="1"/>
  <c r="V77" i="6" s="1"/>
  <c r="W77" i="6" s="1"/>
  <c r="S78" i="6"/>
  <c r="R78" i="6"/>
  <c r="R80" i="6"/>
  <c r="U80" i="6" s="1"/>
  <c r="V80" i="6" s="1"/>
  <c r="R81" i="6"/>
  <c r="U81" i="6" s="1"/>
  <c r="V81" i="6" s="1"/>
  <c r="W81" i="6" s="1"/>
  <c r="R83" i="6"/>
  <c r="U83" i="6" s="1"/>
  <c r="V83" i="6" s="1"/>
  <c r="R84" i="6"/>
  <c r="U84" i="6" s="1"/>
  <c r="V84" i="6" s="1"/>
  <c r="W84" i="6" s="1"/>
  <c r="S86" i="6"/>
  <c r="R86" i="6"/>
  <c r="S87" i="6"/>
  <c r="U87" i="6" s="1"/>
  <c r="V87" i="6" s="1"/>
  <c r="W87" i="6" s="1"/>
  <c r="R90" i="6"/>
  <c r="U90" i="6" s="1"/>
  <c r="V90" i="6" s="1"/>
  <c r="W90" i="6" s="1"/>
  <c r="R92" i="6"/>
  <c r="S92" i="6"/>
  <c r="Q93" i="6"/>
  <c r="R93" i="6"/>
  <c r="S93" i="6"/>
  <c r="S94" i="6"/>
  <c r="U94" i="6" s="1"/>
  <c r="V94" i="6" s="1"/>
  <c r="W94" i="6" s="1"/>
  <c r="R95" i="6"/>
  <c r="S95" i="6"/>
  <c r="T96" i="6"/>
  <c r="U96" i="6" s="1"/>
  <c r="V96" i="6" s="1"/>
  <c r="W96" i="6" s="1"/>
  <c r="R97" i="6"/>
  <c r="S97" i="6"/>
  <c r="S98" i="6"/>
  <c r="U98" i="6" s="1"/>
  <c r="V98" i="6" s="1"/>
  <c r="W98" i="6" s="1"/>
  <c r="S99" i="6"/>
  <c r="U99" i="6" s="1"/>
  <c r="S100" i="6"/>
  <c r="R100" i="6"/>
  <c r="O97" i="6"/>
  <c r="O93" i="6"/>
  <c r="O86" i="6"/>
  <c r="O83" i="6"/>
  <c r="O80" i="6"/>
  <c r="O78" i="6"/>
  <c r="R76" i="6"/>
  <c r="U76" i="6" s="1"/>
  <c r="V76" i="6" s="1"/>
  <c r="W76" i="6" s="1"/>
  <c r="O71" i="6"/>
  <c r="O60" i="6"/>
  <c r="O58" i="6"/>
  <c r="R56" i="6"/>
  <c r="U56" i="6" s="1"/>
  <c r="V56" i="6" s="1"/>
  <c r="O56" i="6"/>
  <c r="O55" i="6"/>
  <c r="O53" i="6"/>
  <c r="O52" i="6"/>
  <c r="O50" i="6"/>
  <c r="O47" i="6"/>
  <c r="O46" i="6"/>
  <c r="O45" i="6"/>
  <c r="O44" i="6"/>
  <c r="O37" i="6"/>
  <c r="O28" i="6"/>
  <c r="V27" i="6"/>
  <c r="W27" i="6" s="1"/>
  <c r="O23" i="6"/>
  <c r="W23" i="6" s="1"/>
  <c r="V21" i="6"/>
  <c r="W21" i="6" s="1"/>
  <c r="S19" i="6"/>
  <c r="U19" i="6" s="1"/>
  <c r="V19" i="6" s="1"/>
  <c r="W19" i="6" s="1"/>
  <c r="O15" i="6"/>
  <c r="O13" i="6"/>
  <c r="V3" i="6"/>
  <c r="W3" i="6" s="1"/>
  <c r="V16" i="6" l="1"/>
  <c r="W16" i="6" s="1"/>
  <c r="V11" i="6"/>
  <c r="W11" i="6" s="1"/>
  <c r="W28" i="6"/>
  <c r="W13" i="6"/>
  <c r="V14" i="6"/>
  <c r="W14" i="6" s="1"/>
  <c r="W56" i="6"/>
  <c r="V26" i="6"/>
  <c r="W26" i="6" s="1"/>
  <c r="W15" i="6"/>
  <c r="U57" i="6"/>
  <c r="V57" i="6" s="1"/>
  <c r="W57" i="6" s="1"/>
  <c r="U54" i="6"/>
  <c r="V54" i="6" s="1"/>
  <c r="W54" i="6" s="1"/>
  <c r="U100" i="6"/>
  <c r="V100" i="6" s="1"/>
  <c r="W100" i="6" s="1"/>
  <c r="U97" i="6"/>
  <c r="V97" i="6" s="1"/>
  <c r="W97" i="6" s="1"/>
  <c r="U86" i="6"/>
  <c r="V86" i="6" s="1"/>
  <c r="W86" i="6" s="1"/>
  <c r="W83" i="6"/>
  <c r="U74" i="6"/>
  <c r="V74" i="6" s="1"/>
  <c r="W74" i="6" s="1"/>
  <c r="U58" i="6"/>
  <c r="V58" i="6" s="1"/>
  <c r="W58" i="6" s="1"/>
  <c r="U55" i="6"/>
  <c r="V55" i="6" s="1"/>
  <c r="W55" i="6" s="1"/>
  <c r="U47" i="6"/>
  <c r="V47" i="6" s="1"/>
  <c r="W47" i="6" s="1"/>
  <c r="W50" i="6"/>
  <c r="W46" i="6"/>
  <c r="W80" i="6"/>
  <c r="W71" i="6"/>
  <c r="W45" i="6"/>
  <c r="V99" i="6"/>
  <c r="W99" i="6" s="1"/>
  <c r="U68" i="6"/>
  <c r="V68" i="6" s="1"/>
  <c r="W68" i="6" s="1"/>
  <c r="U60" i="6"/>
  <c r="V60" i="6" s="1"/>
  <c r="W60" i="6" s="1"/>
  <c r="U52" i="6"/>
  <c r="V52" i="6" s="1"/>
  <c r="W52" i="6" s="1"/>
  <c r="U37" i="6"/>
  <c r="V37" i="6" s="1"/>
  <c r="W37" i="6" s="1"/>
  <c r="U95" i="6"/>
  <c r="V95" i="6" s="1"/>
  <c r="W95" i="6" s="1"/>
  <c r="U93" i="6"/>
  <c r="V93" i="6" s="1"/>
  <c r="W93" i="6" s="1"/>
  <c r="U78" i="6"/>
  <c r="V78" i="6" s="1"/>
  <c r="W78" i="6" s="1"/>
  <c r="U75" i="6"/>
  <c r="V75" i="6" s="1"/>
  <c r="W75" i="6" s="1"/>
  <c r="U69" i="6"/>
  <c r="V69" i="6" s="1"/>
  <c r="W69" i="6" s="1"/>
  <c r="U53" i="6"/>
  <c r="V53" i="6" s="1"/>
  <c r="W53" i="6" s="1"/>
  <c r="V42" i="6"/>
  <c r="W42" i="6" s="1"/>
  <c r="U92" i="6"/>
  <c r="V92" i="6" s="1"/>
  <c r="W92" i="6" s="1"/>
  <c r="U44" i="6"/>
  <c r="V44" i="6" s="1"/>
  <c r="W44" i="6" s="1"/>
  <c r="V40" i="6"/>
  <c r="W40" i="6" s="1"/>
</calcChain>
</file>

<file path=xl/comments1.xml><?xml version="1.0" encoding="utf-8"?>
<comments xmlns="http://schemas.openxmlformats.org/spreadsheetml/2006/main">
  <authors>
    <author>Diana Pardo</author>
  </authors>
  <commentList>
    <comment ref="AL26" authorId="0" shapeId="0">
      <text>
        <r>
          <rPr>
            <b/>
            <sz val="9"/>
            <color indexed="81"/>
            <rFont val="Tahoma"/>
            <family val="2"/>
          </rPr>
          <t>Diana Pardo:Verificar, el Dr. Luque ya no está</t>
        </r>
      </text>
    </comment>
  </commentList>
</comments>
</file>

<file path=xl/sharedStrings.xml><?xml version="1.0" encoding="utf-8"?>
<sst xmlns="http://schemas.openxmlformats.org/spreadsheetml/2006/main" count="1330" uniqueCount="822">
  <si>
    <t>CONTRATISTA</t>
  </si>
  <si>
    <t>OBJETO</t>
  </si>
  <si>
    <t>SUPERVISOR</t>
  </si>
  <si>
    <t>TIPO DE CONTRATO</t>
  </si>
  <si>
    <t>VALOR VIGENCIA 2018</t>
  </si>
  <si>
    <t>VALOR VIGENCIA 2019</t>
  </si>
  <si>
    <t>VALOR VIGENCIA 2020</t>
  </si>
  <si>
    <t>VALOR VIGENCIA 2021</t>
  </si>
  <si>
    <t>VALOR VIGENCIA 2022</t>
  </si>
  <si>
    <t>FECHA DE FIRMA  CONTRATO INICIAL</t>
  </si>
  <si>
    <t>PLAZO DE EJECUCION
FINAL</t>
  </si>
  <si>
    <t xml:space="preserve">NOMBRE DEL REPRESENTANTE LEGAL </t>
  </si>
  <si>
    <t>NIT</t>
  </si>
  <si>
    <t>DIRECCIÓN</t>
  </si>
  <si>
    <t>TELEFONO</t>
  </si>
  <si>
    <t>CORREO ELECTRONICO</t>
  </si>
  <si>
    <t>CIUDAD</t>
  </si>
  <si>
    <t>PRESTACION DE SERVICIOS</t>
  </si>
  <si>
    <t>BOGOTA</t>
  </si>
  <si>
    <t>N/A</t>
  </si>
  <si>
    <t>SUMINISTRO</t>
  </si>
  <si>
    <t>MANTENIMIENTO</t>
  </si>
  <si>
    <t>WILLIAM QUIROGA MATAMOROS</t>
  </si>
  <si>
    <t>MEDTRONIC COLOMBIA S.A</t>
  </si>
  <si>
    <t>6683777</t>
  </si>
  <si>
    <t xml:space="preserve">ARRENDAMIENTO </t>
  </si>
  <si>
    <t>CALI</t>
  </si>
  <si>
    <t>BARRANQUILLA</t>
  </si>
  <si>
    <t>LUIS ALBERTO RUIZ ROBLES</t>
  </si>
  <si>
    <t>GUSTAVO PINZON DIAZ</t>
  </si>
  <si>
    <t>830,040,574-8</t>
  </si>
  <si>
    <t>CARRERA 92 # 64 C -24</t>
  </si>
  <si>
    <t>4382224</t>
  </si>
  <si>
    <t>patricia@bioplastsa.com</t>
  </si>
  <si>
    <t>VYGON COLOMBIA S.A.</t>
  </si>
  <si>
    <t>JAIME ANTONIO ADDIE</t>
  </si>
  <si>
    <t>802,000,335-1</t>
  </si>
  <si>
    <t>3730963</t>
  </si>
  <si>
    <t>mangel@vygon.com.co</t>
  </si>
  <si>
    <t>QUIRURGICOS LTDA</t>
  </si>
  <si>
    <t>JAIRO DIAZ JARAMILLO</t>
  </si>
  <si>
    <t>860,024,862-6</t>
  </si>
  <si>
    <t>cverdiguer@quirurgicosltda.com</t>
  </si>
  <si>
    <t>PRESTACION DE SERVICIOS DE SALUD</t>
  </si>
  <si>
    <t>WILLIAM SANCHEZ MALDONADO</t>
  </si>
  <si>
    <t>830,025,149-8</t>
  </si>
  <si>
    <t>800,077,635-1</t>
  </si>
  <si>
    <t>CARRERA 68 D # 25 B -86 OFICINA 518</t>
  </si>
  <si>
    <t>4272000</t>
  </si>
  <si>
    <t>aslicitacion2@lminstruments.com.co</t>
  </si>
  <si>
    <t>MARCELA PATRICIA FORERO</t>
  </si>
  <si>
    <t>ARROW MEDICAL SAS</t>
  </si>
  <si>
    <t>JUAN GUILLERMO TIRADO</t>
  </si>
  <si>
    <t>811,001,723-3</t>
  </si>
  <si>
    <t>CALLE 23 # 43 A -100</t>
  </si>
  <si>
    <t>3561111</t>
  </si>
  <si>
    <t>asistentecomercial@armocsa.com</t>
  </si>
  <si>
    <t>900,931,305-0</t>
  </si>
  <si>
    <t>AUTOPISTA MEDELLIN KM 8,5 COSTADO SUR</t>
  </si>
  <si>
    <t>2942784</t>
  </si>
  <si>
    <t>diana.rubio@siemens-healthineers.com</t>
  </si>
  <si>
    <t>860,506,831-7</t>
  </si>
  <si>
    <t>6583100</t>
  </si>
  <si>
    <t>gerencia@biotronitech.com.co</t>
  </si>
  <si>
    <t>SHERLEG LABORATORIES</t>
  </si>
  <si>
    <t>MARY ELLEN LEGUIZAMON</t>
  </si>
  <si>
    <t>900,539,662-5</t>
  </si>
  <si>
    <t>4059171</t>
  </si>
  <si>
    <t>ventas@sherleg.net</t>
  </si>
  <si>
    <t>GUSTAVO RODRIGUEZ</t>
  </si>
  <si>
    <t>830,007,935-4</t>
  </si>
  <si>
    <t>CALLE 98 # 18-71 OFICINA 801</t>
  </si>
  <si>
    <t>6227036</t>
  </si>
  <si>
    <t>gustavo.rodriguez@wlorenz.com.co</t>
  </si>
  <si>
    <t>COBO Y ASOCIADOS DE OCCIDENTE</t>
  </si>
  <si>
    <t>LUZ MARINA PAYAN RUBIANO</t>
  </si>
  <si>
    <t>890,331,949-3</t>
  </si>
  <si>
    <t>CARRERA 46 # 101 B -09</t>
  </si>
  <si>
    <t>licitabogota2@cobomedical.com</t>
  </si>
  <si>
    <t>JAVIER ALBERTO VALENZUELA</t>
  </si>
  <si>
    <t>900,812,131-6</t>
  </si>
  <si>
    <t>NANCY CHAPARRO</t>
  </si>
  <si>
    <t>079-2018</t>
  </si>
  <si>
    <t>ARRENDAMIENTO</t>
  </si>
  <si>
    <t>LM INSTRUMENTS S.A</t>
  </si>
  <si>
    <t>DIANA CATALINA CASTILLO</t>
  </si>
  <si>
    <t>PHARMEUROPEA COLOMBIA</t>
  </si>
  <si>
    <t>TECNICA ELECTROMEDICA SA</t>
  </si>
  <si>
    <t>HERNAN MOLANO RIVERO</t>
  </si>
  <si>
    <t>830,004,892-2</t>
  </si>
  <si>
    <t>CALLE 47 # 5-26</t>
  </si>
  <si>
    <t>7568787</t>
  </si>
  <si>
    <t>licitaciones@tecnicaelectromedica.com</t>
  </si>
  <si>
    <t>CALLE 49 # 13-60</t>
  </si>
  <si>
    <t>RICARDO SIVA RUEDA</t>
  </si>
  <si>
    <t>JAVIER VEGA TABOADA</t>
  </si>
  <si>
    <t xml:space="preserve">MANTENIMIENTO </t>
  </si>
  <si>
    <t>CARRERA 57 # 92-15</t>
  </si>
  <si>
    <t>6557615</t>
  </si>
  <si>
    <t>expertosingenieros@hotmail.com</t>
  </si>
  <si>
    <t>ANDRES JARAMILLO GIRALDO</t>
  </si>
  <si>
    <t>811,030,191-9</t>
  </si>
  <si>
    <t>4441177</t>
  </si>
  <si>
    <t>comercial@equitronic.com.co</t>
  </si>
  <si>
    <t>BIOPLAST S.A</t>
  </si>
  <si>
    <t>SHERLEG LABORATORIES S.A.S</t>
  </si>
  <si>
    <t>CALLE 13 # 68 B -26</t>
  </si>
  <si>
    <t>LABTRONICS S.A.S</t>
  </si>
  <si>
    <t>JORGE LUIS RODRIGUEZ</t>
  </si>
  <si>
    <t>830,064,712-1</t>
  </si>
  <si>
    <t>CALLE 101 A # 47 A -09</t>
  </si>
  <si>
    <t>comercial@labtronics.net</t>
  </si>
  <si>
    <t>CARRERA 9 A # 17-55 SUR PISO 2</t>
  </si>
  <si>
    <t>7046446</t>
  </si>
  <si>
    <t>DRAEGER COLOMBIA S.A.S</t>
  </si>
  <si>
    <t xml:space="preserve">LUZ ANGELICA ACOSTA </t>
  </si>
  <si>
    <t>900,194,910-4</t>
  </si>
  <si>
    <t>6358881</t>
  </si>
  <si>
    <t>adriana.santana@draeger.com</t>
  </si>
  <si>
    <t>ESTEBAN LIZARAZO LIZARAZO</t>
  </si>
  <si>
    <t>7447300</t>
  </si>
  <si>
    <t xml:space="preserve">flor.quintero@grupoamarey.com </t>
  </si>
  <si>
    <t>HUMBERTO DURAN ORTIZ</t>
  </si>
  <si>
    <t>860,001,911-1</t>
  </si>
  <si>
    <t>CARRERA 7 # 69-53</t>
  </si>
  <si>
    <t>3478826</t>
  </si>
  <si>
    <t>soportec@kaika.com.co</t>
  </si>
  <si>
    <t>JOMEDICAL S.A.S</t>
  </si>
  <si>
    <t>800,088,519-0</t>
  </si>
  <si>
    <t>CARRERA 7 # 124-25</t>
  </si>
  <si>
    <t>6375177</t>
  </si>
  <si>
    <t>jomedical@jomedical.com</t>
  </si>
  <si>
    <t>ANNAR DIAGNOSTICA IMPORT S.A.S</t>
  </si>
  <si>
    <t>830,025,281-2</t>
  </si>
  <si>
    <t>7447979</t>
  </si>
  <si>
    <t>ventas@annardx.com</t>
  </si>
  <si>
    <t>G BARCO S.A</t>
  </si>
  <si>
    <t>CARLOS FELIPE CRUZ SOTO</t>
  </si>
  <si>
    <t>860,044,349-4</t>
  </si>
  <si>
    <t>CALLE 99 # 14-76</t>
  </si>
  <si>
    <t>6510700</t>
  </si>
  <si>
    <t>LUIS EDUARDO MORENO</t>
  </si>
  <si>
    <t>830,146,016-6</t>
  </si>
  <si>
    <t>CARRERA 71 A # 116 A - 75</t>
  </si>
  <si>
    <t>7449870</t>
  </si>
  <si>
    <t>comercial@mmequiposmedicos.com.co</t>
  </si>
  <si>
    <t>OVIDIO TORRES RINCON</t>
  </si>
  <si>
    <t>CALLE 116 # 7-15 OFICINA 1101</t>
  </si>
  <si>
    <t>BIOTRONITECH COLOMBIA S.A</t>
  </si>
  <si>
    <t>CALLE 123 # 7-50</t>
  </si>
  <si>
    <t>ABDON MARCELO ANDRADE</t>
  </si>
  <si>
    <t>BOSTON MEDICAL DEVICE COLOMBIA LTDA</t>
  </si>
  <si>
    <t>BRUNO ANTONIO BRINDOLA</t>
  </si>
  <si>
    <t>900,218,736-4</t>
  </si>
  <si>
    <t>jhon.tellez@convatec.com</t>
  </si>
  <si>
    <t>ORDENES Y SUMINISTROS S.A.S</t>
  </si>
  <si>
    <t>LAZARINT XIMENA BARRERO GAITAN</t>
  </si>
  <si>
    <t>900,147,252-6</t>
  </si>
  <si>
    <t>ordenesysuministros@outlook.com</t>
  </si>
  <si>
    <t>EXPERTOS INGENIEROS LTDA</t>
  </si>
  <si>
    <t>MEDELLIN</t>
  </si>
  <si>
    <t>3M COLOMBIA S.A</t>
  </si>
  <si>
    <t>860,002,693-3</t>
  </si>
  <si>
    <t>4161666</t>
  </si>
  <si>
    <t>rcuello@mmm.com</t>
  </si>
  <si>
    <t>LIFE SUMINISTROS MEDICOS S.A.S</t>
  </si>
  <si>
    <t>900,240,177-9</t>
  </si>
  <si>
    <t xml:space="preserve">CALLE 84 # 50-10 LOCAL 206 A </t>
  </si>
  <si>
    <t>BECTON DICKINSON DE COLOMBIA LTDA</t>
  </si>
  <si>
    <t>PAMELA XIMENA SAAVEDRA MORALES</t>
  </si>
  <si>
    <t>860,020,309-6</t>
  </si>
  <si>
    <t>CLIS VEREDA VUELTA GRANDE A 150 MTS GLORIETA  SIBERA VIA COTA  BODEGA 56 Y 57</t>
  </si>
  <si>
    <t>7566060</t>
  </si>
  <si>
    <t>licitaciones.col@bd.com</t>
  </si>
  <si>
    <t>COTA</t>
  </si>
  <si>
    <t>JUAN MANUEL FONSECA SARAVIA</t>
  </si>
  <si>
    <t>860,002,134-8</t>
  </si>
  <si>
    <t>6285745</t>
  </si>
  <si>
    <t>rodriguez.sandra@abbott.com</t>
  </si>
  <si>
    <t>3190830</t>
  </si>
  <si>
    <t>QUIMBERLAB S.A</t>
  </si>
  <si>
    <t>VIVIANA ANDREA QUINTANA</t>
  </si>
  <si>
    <t>CALLE 67 # 5-42</t>
  </si>
  <si>
    <t>viviana.quintana@quimberlab.com.co</t>
  </si>
  <si>
    <t>TECNOLOGIAS MEDICAS COLOMBIA S.A.S</t>
  </si>
  <si>
    <t>900,448,208-3</t>
  </si>
  <si>
    <t>MEQ TECNOLOGIA MEDICA S.A.S</t>
  </si>
  <si>
    <t>gerencia@meqtm.com</t>
  </si>
  <si>
    <t>TM MEDICAS S.A</t>
  </si>
  <si>
    <t>800,108,708-3</t>
  </si>
  <si>
    <t>KCI COLOMBIA S.A</t>
  </si>
  <si>
    <t>900,894,722-1</t>
  </si>
  <si>
    <t>7447871</t>
  </si>
  <si>
    <t>MAURICIO.ESCOBAR@KCII.COM</t>
  </si>
  <si>
    <t>TRANVERSAL 23 # 93-23</t>
  </si>
  <si>
    <t>JUAN CARLOS FERNANDEZ OROZCO</t>
  </si>
  <si>
    <t>890,300,292-0</t>
  </si>
  <si>
    <t>5893000</t>
  </si>
  <si>
    <t>luisa_quintero@baxter.com</t>
  </si>
  <si>
    <t>RICARDO URIBE MORENO</t>
  </si>
  <si>
    <t>PRODUCTOS ROCHE S.A</t>
  </si>
  <si>
    <t>860,003,216-8</t>
  </si>
  <si>
    <t>CARRERA 44 # 20-21</t>
  </si>
  <si>
    <t>4178860</t>
  </si>
  <si>
    <t>michelle.vasquez@roche.com</t>
  </si>
  <si>
    <t>1132-2018</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</si>
  <si>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</si>
  <si>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ANDRES RICARDO BARRAGAN</t>
  </si>
  <si>
    <t>900,789,891-7</t>
  </si>
  <si>
    <t>corp-med@hotmail.com</t>
  </si>
  <si>
    <t>1268-2018</t>
  </si>
  <si>
    <t>REPRESENTACIONES E INVERSIONES ELITE LIMITADA</t>
  </si>
  <si>
    <t>CONTRATACION DE SERVICIOS DE LIMPIEZA Y DESINFECCION DEL AREA ASISTENCIAL, ADMINISTRATIVA Y EXTERNAS, GESTION INTERNA DE RESIDUOS HOSPITALARIOS DE LA INSTITUCION HOSPITALARIA, DESINSECTACION Y DESRATIZACION DE TODAS LAS AREAS INTERNAS DEL HOSPITAL Y EL MANTENIMIENTO DE ZONAS VERDES JARDINERIA PARA EL ESTABLECIMIENTO PUBLICO HOSPITAL MILITAR CENTRAL CUMPLIENDO LOS PROTOCOLOS, PROCEDIMIENTOS INTERNO Y LAS DIPOSCICIONES</t>
  </si>
  <si>
    <t>SS LUIS ERNESTO ACOSTA MORA - SS SERGIO CRUZ</t>
  </si>
  <si>
    <t>800,067,956-6</t>
  </si>
  <si>
    <t>CALLE 102 # 70 G -63</t>
  </si>
  <si>
    <t>7431822</t>
  </si>
  <si>
    <t>KAIKA S.A.S</t>
  </si>
  <si>
    <t>1274-2018</t>
  </si>
  <si>
    <t>CORPMED</t>
  </si>
  <si>
    <t>DIANA CRISTINA GARCIA</t>
  </si>
  <si>
    <t>1278-2018</t>
  </si>
  <si>
    <t>MANTENIMIENTO PREVENTIVO Y LOS CORRECTIVOS QUE SEAN NECESARIOS INCLUIDOS KITS DE MANTENIMIENTO, REPUESTOS, ACCESORIOS Y CONSUMIBLES ORIGINALES NUEVOS NO REMANUFACTURADOS PARA LOS EQUIPOS DE MARCA DRAEGER (MAQUINAS DE ANESTESIA, INCUBADORAS, VENTILADORES,ILIRRUBINOMETROS, COLUMNAS, CENTRALES DE MONITOREO, MONITORES SIGNOS VITALES Y CAPNOGRFOS) DE LOS SERVICIOS DE UCIS ( NEONATAL, PEDIATRICA, MEDICA, POST QUIRURGICA CORONARIA)  TPR, MATERNIDAD, URGENCIAS, , TERAPIA RESPIRATORIA, HEMODINAMIA. RESONANCIA MAGNETICA y SALAS DE CIRUGIA DEL HOSPITAL MLITAR CENTRAL, INCLUYENDO UN INGENIERO ENTRENADO POR CASA MATRIZ PARA PRESTAR LOS SERVICIOS DE MANTENIMIENTO, ACOMPÑAMIENTO TECNICO, GESTION DOCUMENTAL Y DE  ACTIVOS CON SUS INDICADORES DE GESTION, RONDAS DE INSPECCION Y SEGURIDAD, GESTION DE INSUMOS Y ACCESORIOS, ACOMPAÑAMIENTO AL PÉRSONAL CLINICO Y DE SOPORTE DISPONIBLE EN SITIO PARA EL HOSPITAL, CON SISTEMAS DE COMUNICAICON TIPO RADIO PARA LOS SERVICIOS CRITICOS Y EQUIPOS EN APOYO TECNOLOGICO MARCA DRAGER CON SUS RESPECTIVOS ACCESORIOS, PARTES, MANTENIMIENTO  Y ACOMPAÑAMIENTO DE ESPECIALISTAS SIN COSTO PARA EL HOSPITAL MILITAR CCENTRAL DURANTE LA VIGENCIA DEL CONTRATO</t>
  </si>
  <si>
    <t>CALLE 93 B # 13-44 PISO 44</t>
  </si>
  <si>
    <t>1296-2018</t>
  </si>
  <si>
    <t>ASCESCA LTDA</t>
  </si>
  <si>
    <t>MANTENIMIENTO PREVENTICO Y LOS CORRECTIVOS NECESARIOS DE LOS OCHO ASCENSORES DE PASAJEROS, NUEVE ASCENSORES DE CARGA Y SEIS ESCALERAS ELECTRICAS INCLUIDO REPUESTOS NUEVOS NO REMANUFACTURADOS, TARJETAS ELECTRONICAS ACTUALIZACION DESOFTWARE Y REPUESTOS PARA LA ADECUACION DEL SISTEMA INTELIGENTE DE LOS ASCENSORES Y ESCALERAS ELECTRICAS DEL HOSPITAL  MILITAR CENTRAL</t>
  </si>
  <si>
    <t>RAFAEL ANTONIO MARTINEZ</t>
  </si>
  <si>
    <t>900,477,478-9</t>
  </si>
  <si>
    <t>CALLE 129 # 92-58</t>
  </si>
  <si>
    <t>asceca@hotmail.com</t>
  </si>
  <si>
    <t>1297-2018</t>
  </si>
  <si>
    <t>CORPORACION VISIONCORP</t>
  </si>
  <si>
    <t>PRESTACION DE SERVICIOS PROFESIONALES PARA EL SERVICIO DE INFECTOLOGIA Y EPIDEMIOLOGIA DEL HOSPITAL MILITAR CENTRAL</t>
  </si>
  <si>
    <t>RONALD ENRIQUE VIDES</t>
  </si>
  <si>
    <t>900,897,340-3</t>
  </si>
  <si>
    <t>visioncorp7@gmail.com</t>
  </si>
  <si>
    <t>1298-2018</t>
  </si>
  <si>
    <t>MANTENIMIENTO PREVENTIVO, CORRECTIVO MENOR CON INCLUSION DE REPUESTOS PARA EL SISTEMA DE AIRES ACONDICIONADOS Y REFRIGERACION, DEMAS REPARACIONES QUE SE PRESENTEN  Y QUE SEAN NECESARIOS PARA LA OPTIMA PRESTACION DE LOS SERVICIOS DE LA ENTIDAD HOSPITALARIA</t>
  </si>
  <si>
    <t>CINDY LORENA GACHARNA</t>
  </si>
  <si>
    <t>900,152,368-1</t>
  </si>
  <si>
    <t>1301-2018</t>
  </si>
  <si>
    <t>UNION TEMPORAL BE -2018</t>
  </si>
  <si>
    <t>PRESTACION DE LOS SERVICIOS ESPECIALIZADOS DE VIGILANCIA Y SEGURIDAD PRIVADA PARA LA PROTECCION DE LAS PERSONAS Y BIENES QUE PERMANECEN DENTRO DE LAS INSTALACIONES DEL HOSPITAL MILITAR CENTRAL</t>
  </si>
  <si>
    <t>DANIEL ROJAS FRANCO</t>
  </si>
  <si>
    <t>901,238,467-7</t>
  </si>
  <si>
    <t>CARRERA 18 # 57-30</t>
  </si>
  <si>
    <t>5554802</t>
  </si>
  <si>
    <t>buhoseguridadltda@hotmail.com</t>
  </si>
  <si>
    <t>1302-2018</t>
  </si>
  <si>
    <t>UT ALIMENTOS Y SERVICIOS</t>
  </si>
  <si>
    <t>SUMINISTRO DE ALIMENTACION PARA PACIENTES HOSPITALIZADOS Y MEDICOS RESIDENTES E INTERNOS DEL HOSPITAL MILITAR CENTRAL</t>
  </si>
  <si>
    <t>FRANCISCO JAVIER SANDOVAL BUITRAGO</t>
  </si>
  <si>
    <t>901,237,329-6</t>
  </si>
  <si>
    <t>CARRERA 7 B # 116 A -74</t>
  </si>
  <si>
    <t>8059891</t>
  </si>
  <si>
    <t>grentecomercial@fjsb.com.co</t>
  </si>
  <si>
    <t>1304-2018</t>
  </si>
  <si>
    <t>MEDICINA DE REHABILITACION COLOMBIA S.A.S</t>
  </si>
  <si>
    <t>PRESTACION DE SERVICIOS PROFESIONALES MEDICOS ESPECIALIZADOS EN EL AREA DE MEDICINA FISICA Y REHABILITACION EN EL HOSPITAL MILITAR CENTRAL PARA LAS VIGENCIAS 2018, 2019, 2020, 2021 Y 2022</t>
  </si>
  <si>
    <t>OSCAR MAURICIO ALVAREZ</t>
  </si>
  <si>
    <t>CARRERA 2 # 62 A 40 CASA 24</t>
  </si>
  <si>
    <t>7031206</t>
  </si>
  <si>
    <t>medirhbcolsa@gmail.com</t>
  </si>
  <si>
    <t>1306-2018</t>
  </si>
  <si>
    <t>MANTENIMIENTO PREVENTIVO Y CORRECTIVO INCLUIDO REPUESTOS ORIGINALES  PARA EQUIPOS BIOMEDICOS PARA EL SERVICIO UCI NEONATAL DEL HOSPITAL MILITAR CENTRAL</t>
  </si>
  <si>
    <t>NELLY CECILIA VEGA</t>
  </si>
  <si>
    <t>3484310</t>
  </si>
  <si>
    <t>1338-2018</t>
  </si>
  <si>
    <t>ASA</t>
  </si>
  <si>
    <t>PRESTACION DE SERVICIOS DE ANESTESIOLOGIA EN EL HOSPITAL MILITAR CENTRAL, PARA EL CUBRIMIENTO DE CIRUGIA PROGRAMADA, CIRUGIA DE URGENCIAS, CONSULTA PREANESTESICA E INTERCONSULTAS, SALAS DE MAYTERNIDAD, CLINICA DEL DOLOR AGUDO Y CRONICO, UNIDAD DE CUIDADOS POST ANESTESICOS Y ANESTESIA PARA PROCEDIMIENTOS FUERA DE SALAS DE CIRUGIA, Y LOS DEMAS PROFESIONALES QUE SE REQUIERAN  EN LA CLINICA DEL DOLOR QUE PUEDEN SER UN MEDICO FISIATRA CON MAESTRIA O ESPECIALIZACION EN MANEJO DE DOLOR Y/O UN MEDICO GENERAL PARA APOYAR CON LAS LABORES ASISTENCIALES: DE VISITA DOMICILIARIA, CONSULTA, REVISTA DE PACIENTES DE DOLOR EN PISO Y UNA ENFERMERA JEFE PARA APOYAR CON LAS LABORES ASISTENCIALES</t>
  </si>
  <si>
    <t>CARLOS ALBERTO SEMIENTO</t>
  </si>
  <si>
    <t>CARRERA 9 A  # 17-55 SUR APTO 201</t>
  </si>
  <si>
    <t>3665578</t>
  </si>
  <si>
    <t>ASOCIACION-ASA@HOTMAIL.COM</t>
  </si>
  <si>
    <t>ruth.isnlda.gaviria@medtronic.com</t>
  </si>
  <si>
    <t>1343-2018</t>
  </si>
  <si>
    <t>EQUITRONIC S.A</t>
  </si>
  <si>
    <t>MANTENIMIENTO PREVENTIVO Y CORRECTIVO INCLUIDO REPUESTOS NUEVOS ORIGIANLES PARA LOS EQUIPOS DE VENTILADORES PEDIATRICOS  DEL SERVICIO DE UNIDAD PEDIATRICA Y NEONATAL</t>
  </si>
  <si>
    <t>CARRERA 49 # 61 SUR 68 LOCAL 103</t>
  </si>
  <si>
    <t>1345-2018</t>
  </si>
  <si>
    <t>SET Y GAD S.A.S</t>
  </si>
  <si>
    <t>CALIBRACION, AJUSTE MANTENIMIENTO PREVENTIVO Y CORRECTIVO INCLUIDO REPUESTOS NUEVOS ORIGINALES PARA LOS EQUIPOS BIOMEDICOS DE LOS DIFERENTES SERVICIOS DEL HOSPITL MILITAR CENTRAL</t>
  </si>
  <si>
    <t xml:space="preserve">LUIS GUILLERMO URIBE </t>
  </si>
  <si>
    <t>830,065,092-2</t>
  </si>
  <si>
    <t>CARRERA 48 # 101 A -69</t>
  </si>
  <si>
    <t>5339232</t>
  </si>
  <si>
    <t>luis.uribe@selgad.com</t>
  </si>
  <si>
    <t>1346-2018</t>
  </si>
  <si>
    <t>MANTENIMIENTO PREVENTIVO Y CORRECTIVO INCLUIDO REPUESTOS NUEVOS ORIGIANLES PARA LOS EQUIPOS DE REFERENCIA GENERAL ELECTRIC (MONITOR SIGNS VITALES Y OTROS)</t>
  </si>
  <si>
    <t>elina.castro@gbarco.com.co</t>
  </si>
  <si>
    <t>1356-2018</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</si>
  <si>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MEDTRONIC DE LOS SERVICIOS DE SALAS DE CIRUGIA, UCIS DEL HOSPITAL MILITAR CENTRAL</t>
  </si>
  <si>
    <t>AC 116 # 7-15 OFICINA 1101</t>
  </si>
  <si>
    <t>1357-2018</t>
  </si>
  <si>
    <t>1358-2018</t>
  </si>
  <si>
    <t>MANTENIMIENTO PREVENTIVO Y CORRECTICO INCLUIDO RESPUESTOS NUEVOS ORIGINALES PARA LOS EQUIPOS DE REFERENCIA OLYMPUS PARA EL SERVICIO DE GASTROENTEROLOGIA</t>
  </si>
  <si>
    <t>1361-2018</t>
  </si>
  <si>
    <t>J TECHMED S.A.S</t>
  </si>
  <si>
    <t>CARRERA 6 # 45-25 APTO 403</t>
  </si>
  <si>
    <t>3143516063</t>
  </si>
  <si>
    <t>valenzuela10@gmail.com</t>
  </si>
  <si>
    <t>GEMEDCO</t>
  </si>
  <si>
    <t>LUZ STELLA GOMEZ</t>
  </si>
  <si>
    <t>860,527,377-4</t>
  </si>
  <si>
    <t>CALLE 103 # 14 A -43</t>
  </si>
  <si>
    <t>3902029</t>
  </si>
  <si>
    <t>contratacion@gemedco.com</t>
  </si>
  <si>
    <t>1365-2018</t>
  </si>
  <si>
    <t>AMECRI</t>
  </si>
  <si>
    <t>PRESTACION DE SERVICIOS PROFESIONALES DE MEDICOS ESPECIALIZADOS EN EL AREA DE MEDICINA CRITICA Y CUIDADO INTENSIVO EN LAS UNIDADES DE CUIDADO INTENSIVO DEL HOSPITTAL MILITAR CENTRAL</t>
  </si>
  <si>
    <t>NELSON ANDRES PEREZ RODRIGUEZ</t>
  </si>
  <si>
    <t>ASOCIACIONAMECRI@HOTMAIL.COM</t>
  </si>
  <si>
    <t>1367-2018</t>
  </si>
  <si>
    <t>VISIONCORP</t>
  </si>
  <si>
    <t>SUMINITRO DE ELEMENTOS DE CURACION DESTINADOS A LA ATENCION DE PACIENTES DEL HOSPITAL MILITAR CENTRAL</t>
  </si>
  <si>
    <t>1369-2018</t>
  </si>
  <si>
    <t>EDGAR ALEXANDER RIVERA</t>
  </si>
  <si>
    <t>830,088,135-5</t>
  </si>
  <si>
    <t>CARRERA 88 A # 64 D -32</t>
  </si>
  <si>
    <t>4161199</t>
  </si>
  <si>
    <t>jorgecanon@pharmeuropea.com</t>
  </si>
  <si>
    <t>1371-2018</t>
  </si>
  <si>
    <t>GUSTAVO ADOLFO PRADA</t>
  </si>
  <si>
    <t>3568417</t>
  </si>
  <si>
    <t>gcmaria@lifesumimed.com</t>
  </si>
  <si>
    <t>1372-2018</t>
  </si>
  <si>
    <t>QUIRMEDICAS LTDA</t>
  </si>
  <si>
    <t>JOSE NOEL GARCIA</t>
  </si>
  <si>
    <t>860,047,163-5</t>
  </si>
  <si>
    <t>CALLE 128 A # 39-80</t>
  </si>
  <si>
    <t>2583088</t>
  </si>
  <si>
    <t>1373-2018</t>
  </si>
  <si>
    <t xml:space="preserve">CALLE 76 # 11-17 </t>
  </si>
  <si>
    <t>1374-2018</t>
  </si>
  <si>
    <t>VALERIA FRIGERI MORALES</t>
  </si>
  <si>
    <t>AV EL DORADO # 78 A -93</t>
  </si>
  <si>
    <t>1375-2018</t>
  </si>
  <si>
    <t>CARRERA 42 # 17 A 38 PISO 2</t>
  </si>
  <si>
    <t>2442054</t>
  </si>
  <si>
    <t>1377-2018</t>
  </si>
  <si>
    <t xml:space="preserve">CALLE 79 # 74-29 </t>
  </si>
  <si>
    <t>1378-2018</t>
  </si>
  <si>
    <t>LABORATORIOS BAXTER S.A</t>
  </si>
  <si>
    <t>OSCAR JAVIER PEREZ</t>
  </si>
  <si>
    <t>CALLE 36 # 2 C -22</t>
  </si>
  <si>
    <t>1379-2018</t>
  </si>
  <si>
    <t>CARRERA 90 A # 84 C -89</t>
  </si>
  <si>
    <t>GERENCIA@BIOPLASTSA.COM</t>
  </si>
  <si>
    <t>1380-2018</t>
  </si>
  <si>
    <t>CALE 13 # 68 B -26</t>
  </si>
  <si>
    <t>www.sherleg.com</t>
  </si>
  <si>
    <t>1381-2018</t>
  </si>
  <si>
    <t>MAURICIO ESCOBAR TRUJILLO</t>
  </si>
  <si>
    <t>CARRERA 11 # 98-07 OFICINA 203 B</t>
  </si>
  <si>
    <t>1383-2018</t>
  </si>
  <si>
    <t>PROASEPSIS S.A.S</t>
  </si>
  <si>
    <t>MANUEL ALBERTO SANCHEZ</t>
  </si>
  <si>
    <t>860,534,045-3</t>
  </si>
  <si>
    <t>AC 63 # 74 B - 42 BG 7</t>
  </si>
  <si>
    <t>4266607</t>
  </si>
  <si>
    <t>1385-2018</t>
  </si>
  <si>
    <t>RONELLY S.A</t>
  </si>
  <si>
    <t>CARLOS ANDRES LOPEZ</t>
  </si>
  <si>
    <t>890,929,073-5</t>
  </si>
  <si>
    <t xml:space="preserve">CARRERA 49 # 46 A SUR 25 </t>
  </si>
  <si>
    <t>4125263</t>
  </si>
  <si>
    <t>ENVIGADO</t>
  </si>
  <si>
    <t>1386-2018</t>
  </si>
  <si>
    <t>CARRERA 68 D #V 25 B- 26 OFICINA 518 BARRIO SALITRE</t>
  </si>
  <si>
    <t>1388-2018</t>
  </si>
  <si>
    <t>HEMATOONCOLOGOS ASOCIADOS S.A</t>
  </si>
  <si>
    <t>PRESTACION DE SERVICIOS PROFESIONALES MEDICOS ESPECIALIZADOS PARA EL SERVICIO DE HEMATOLOGIA ONCOLOGIA DEL HOSPITAL MILITAR CENTRAL</t>
  </si>
  <si>
    <t>WILLIAM ARMANDO MANTILLA</t>
  </si>
  <si>
    <t>AVENIDA CALLE 134 # 7-83</t>
  </si>
  <si>
    <t>6274455</t>
  </si>
  <si>
    <t>administratcion@hemato-oncologos.com</t>
  </si>
  <si>
    <t>1390-2018</t>
  </si>
  <si>
    <t>INGENIERIA DE BOMBAS Y PLANTAS LTDA</t>
  </si>
  <si>
    <t>MANTENIMIENO PREVENTIVO Y CORRECTIVO DE LOS SISTEMAS INTERRUMPIBLES DE POTENCIA UPS INCLUYENDO REPUESTOS NUEVOS NO REMANUFACTURADOS QUE CONFORMAN LA RED REGULADA DEL HOSPITAL MILITAR CENTRAL</t>
  </si>
  <si>
    <t>INGRID PATRICIA EARANGO</t>
  </si>
  <si>
    <t>CARRERA 5 # 79-15</t>
  </si>
  <si>
    <t>6440410</t>
  </si>
  <si>
    <t>ingebombas@hotmail.com</t>
  </si>
  <si>
    <t>1392-2018</t>
  </si>
  <si>
    <t>PRESTACION DE SERVICIOS DE PERSONAL MEDICO ESPECIALIZADO PARA EL SERVICIO DE AUDIOLOGIA DEL HOSPITAL MILITAR CENTRAL</t>
  </si>
  <si>
    <t>900,789,981-7</t>
  </si>
  <si>
    <t>1393-2018</t>
  </si>
  <si>
    <t>CORPORACION COLOMBIANA DE COLOPROCTOLOGOS</t>
  </si>
  <si>
    <t>PRESTACION DE SERVICIOS ESPECIALZADOS PARA L SERVICIO DE COLOPROCTOLOGIA DEL HOSPITAL MILITAR CENTRAL</t>
  </si>
  <si>
    <t>ALICIA YOLANDA CASTILLO</t>
  </si>
  <si>
    <t>colprocorp@hotmail.com</t>
  </si>
  <si>
    <t>1395-2018</t>
  </si>
  <si>
    <t>EMIUT ESPECIALISTAS EN MEDICINA</t>
  </si>
  <si>
    <t>PRESTACION DE SERVICIOS PROFESIONALES EN MEDICOS ESPECIALISTAS EN MEDICINA INTERNA PARA EL AREA DE MEDICINA INTERNA Y GERIATRIA DEL HOSPITAL MILITAR CENTRAL</t>
  </si>
  <si>
    <t>ROBIN RADA</t>
  </si>
  <si>
    <t>URIEL ANDRES RUIZ</t>
  </si>
  <si>
    <t>901,239,754-5</t>
  </si>
  <si>
    <t>CARRERA 59 A # 134-15 TORRE 4  APTO 601</t>
  </si>
  <si>
    <t>3706016</t>
  </si>
  <si>
    <t>emiut2019@gmail.com</t>
  </si>
  <si>
    <t>1396-2018</t>
  </si>
  <si>
    <t>CARDIO LATIDO LTDA</t>
  </si>
  <si>
    <t>PRESTACION DE SERVICIOS PROFESIONALES ESPECIALIZADOS EN CARDDIOLOGIA PARA EL SERVICIO DE CARDIOLOGIA DEL HOSPITAL MILITAR CENTRAL</t>
  </si>
  <si>
    <t>RUBEN DARIO DUQUE</t>
  </si>
  <si>
    <t>REINA MARIA OLARTE</t>
  </si>
  <si>
    <t>900,910,013-5</t>
  </si>
  <si>
    <t>CALLE 97 # 23-37 CASA 604</t>
  </si>
  <si>
    <t>6010606</t>
  </si>
  <si>
    <t>cardiolatidosas@gmail.com</t>
  </si>
  <si>
    <t>1397-2018</t>
  </si>
  <si>
    <t>SIEMENS HEALTHCARE S.A.S.</t>
  </si>
  <si>
    <t xml:space="preserve">MANTENIMIENTO PREVENTIVO Y CORRECTIVO INCLUIDO REPUESTOS NUEVOS PARA LOS EQUIPOS ACELERADOR LINEAL, MEVATRON PRIMUS, GAMACAMARAS Y OTROS DE DIFERENTES SERVICIOS </t>
  </si>
  <si>
    <t>FRANKLIN RUGE SANTANA</t>
  </si>
  <si>
    <t>4253124</t>
  </si>
  <si>
    <t>laura.palma_villareal@siemens.com</t>
  </si>
  <si>
    <t>1404-2018</t>
  </si>
  <si>
    <t>ARRENDAMIENTO DE UN EQUIPO SPEC-CT PARA EL SERVICIO DE RADIOLOGIA DEL HOSPITAL MILITAR CENTRAL</t>
  </si>
  <si>
    <t xml:space="preserve">LUZ STELLA GOMEZ </t>
  </si>
  <si>
    <t>CALLE 103 # 15-10</t>
  </si>
  <si>
    <t>6111288</t>
  </si>
  <si>
    <t>1405-2018</t>
  </si>
  <si>
    <t xml:space="preserve">FUNDARRITMIA </t>
  </si>
  <si>
    <t>DIEGO IGNACIO VANEGAS</t>
  </si>
  <si>
    <t>CALLE 50 # 8-24 CS 203</t>
  </si>
  <si>
    <t>3100450</t>
  </si>
  <si>
    <t>fundarritmia@gmail.com</t>
  </si>
  <si>
    <t>1406-2018</t>
  </si>
  <si>
    <t>UNION TEMPORAL CIRUGIA PLASTICA</t>
  </si>
  <si>
    <t>PRESTACION DE SERVICIOS PROFESIONALES MEDICOS ESPECIALIZADOS PARA EL SERVICIO DE CIRUGIA PLASTICA DEL HOSPITAL MILITAR CENTRAL</t>
  </si>
  <si>
    <t>RICARDO MARIO GALAN SUAREZ</t>
  </si>
  <si>
    <t>901,239,359-4</t>
  </si>
  <si>
    <t>CALLE 127 A # 7-53 OFICINA 2002</t>
  </si>
  <si>
    <t>8051976</t>
  </si>
  <si>
    <t>sandramoralesch@gmail.com</t>
  </si>
  <si>
    <t>1407-2018</t>
  </si>
  <si>
    <t>PRESTACION DE SERVICIOS PROFESIONALES MEDICOS ESPECIALIZADOS PARA EL SERVICIO DE UROLOGIA DEL HOSPITAL MILITAR CENTRAL</t>
  </si>
  <si>
    <t>830,010,337-0</t>
  </si>
  <si>
    <t>copr-med@hotmail.com</t>
  </si>
  <si>
    <t>1409-2018</t>
  </si>
  <si>
    <t>PRESTACION DE SERVICIOS PROFESIONALES EN NEUROLOGIA EN EL HOSPITAL MILITAR CENTRAL</t>
  </si>
  <si>
    <t>1410-2018</t>
  </si>
  <si>
    <t>CORPORACION DE ESPECIALISTA EN PEDIATRIA</t>
  </si>
  <si>
    <t>PRESTACION DE SERVICIOS MEDICOS ESPECIALIZADOS PARA LA ATENCION PEDIATRICA Y DE DIFERENTES SUPRAESPECIALIDADES, UNIDAD DE CUIDADO INTENSIVO PEDIATRICO Y NEONATAL DEL HOSPITAL MILITAR CENTRAL</t>
  </si>
  <si>
    <t>YESSICA MARINA YASSIR FELFLE</t>
  </si>
  <si>
    <t>CORPEDIMIL@GMAIL.COM</t>
  </si>
  <si>
    <t>1411-2018</t>
  </si>
  <si>
    <t>PRESTACION DE SERVICIOS POFESIONALES Y DE APOYO A LA GESTION ESPECIALIZADOS EN EL SERVICIO DE NEUROCIRUGIA DEL HOSPITAL MILITAR CENTRAL</t>
  </si>
  <si>
    <t>1412-2018</t>
  </si>
  <si>
    <t>OYN MEDICOS S.A.S</t>
  </si>
  <si>
    <t>PRESTACION DE SERVICIO DE PERSONAL MEDICO ESPECIALIZADO PARA EL SERVICIO DE HEMODINAMIA DEL HOSPITAL MILITAR CENTRAL</t>
  </si>
  <si>
    <t xml:space="preserve">ANA MARIA OROZCO </t>
  </si>
  <si>
    <t>901,235,031-6</t>
  </si>
  <si>
    <t>CALLE 22 # 66-44 CASA 1116 ED. CLINICA COLOMBIA</t>
  </si>
  <si>
    <t>3156040165</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</si>
  <si>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</si>
  <si>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</si>
  <si>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</si>
  <si>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</si>
  <si>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EMILIO JOSE ALANDETE</t>
  </si>
  <si>
    <t>901,241,016-1</t>
  </si>
  <si>
    <t>CALLE 64 G  # 88 A - 88</t>
  </si>
  <si>
    <t>7422299</t>
  </si>
  <si>
    <t>ealandete@gmail.com</t>
  </si>
  <si>
    <t>CALLE 26 # 69 D -91 OFICINA 606 ED ARRECIFE</t>
  </si>
  <si>
    <t>7455208</t>
  </si>
  <si>
    <t>1429-2018</t>
  </si>
  <si>
    <t>SUMINISTRO Y ADQUISISION DE INSUMOS Y REACTIVOS NECESARIOS PARA LA RECOLECCION Y PROCESAMIENTO DE LAS UNIDADES DE SANGRE COLECTADAS Y LA REALIZACION DE LAS PRUEBAS DE INMUNOSEROLOGIA PARA DONANTES Y PACIENTES ATENDIDOS EN EL BANCO DE SANGRE DEL HOSPITAL MILITAR CENTRAL</t>
  </si>
  <si>
    <t>860,309,020-6</t>
  </si>
  <si>
    <t>1430-2018</t>
  </si>
  <si>
    <t>ABBOT LABORATORIOS DE COLOMBIA</t>
  </si>
  <si>
    <t>CALLE 100 # 95 A -45 PISO 14</t>
  </si>
  <si>
    <t>1431-2018</t>
  </si>
  <si>
    <t>BIOCIENTIFICA LTDA</t>
  </si>
  <si>
    <t>ERNST ADLER</t>
  </si>
  <si>
    <t>860,065,795-6</t>
  </si>
  <si>
    <t>CARRERA 15 A # 121 -12 OFICINA 518</t>
  </si>
  <si>
    <t>6203382</t>
  </si>
  <si>
    <t>biocient@outlook.com</t>
  </si>
  <si>
    <t>1432-2018</t>
  </si>
  <si>
    <t>LABCARE DE COLOMBIA S.A</t>
  </si>
  <si>
    <t>CARLOS ALFREDO TORRES</t>
  </si>
  <si>
    <t>830,056,202-3</t>
  </si>
  <si>
    <t>AUTOPISTA MEDELLIN M  2,5 VIA PARCELAS PARQUE  EMP PORTOS SABANA 80 BODEGA 97</t>
  </si>
  <si>
    <t>8985201</t>
  </si>
  <si>
    <t>ventas@labcarecolombia.com</t>
  </si>
  <si>
    <t>SUMINISTRO DE INSUMOS MEDICO QUIRURGICOS PARA LA RALIZACION DEL PROGRAMA QUIRURGICO EN SALAS DE CIRUGIA Y LOS DEMAS SERVICIOS QUE COMPONEN LA UNIDAD CLINICO QUIRIURGICA DEL HOSPITAL MILITAR CENTRAL</t>
  </si>
  <si>
    <t>1434-2018</t>
  </si>
  <si>
    <t>JHONSON &amp; JHONSON DE COLOMBIA</t>
  </si>
  <si>
    <t>GALO MIRCEA CUBILLOS</t>
  </si>
  <si>
    <t>890,101,815-9</t>
  </si>
  <si>
    <t>AVENIDA CALLE 26 # 69-76 EDIFICIO ELEMENTO TORRE 2 PISO 9</t>
  </si>
  <si>
    <t>2191200</t>
  </si>
  <si>
    <t>Ctorogar@its.jnj.com</t>
  </si>
  <si>
    <t>1435-2018</t>
  </si>
  <si>
    <t>ADRIANA PADILLA LEAL</t>
  </si>
  <si>
    <t>AVENIDA EL DORADO  # 75-93</t>
  </si>
  <si>
    <t>4161677</t>
  </si>
  <si>
    <t>1436-2018</t>
  </si>
  <si>
    <t>1437-2018</t>
  </si>
  <si>
    <t>ARTIUM S.A.S</t>
  </si>
  <si>
    <t>ANDREA IDARRAGA MANRIQUE</t>
  </si>
  <si>
    <t>900,607,032-7</t>
  </si>
  <si>
    <t>CARRERA 51 B # 80-58 OFICINA 1306</t>
  </si>
  <si>
    <t>3102477606</t>
  </si>
  <si>
    <t>gerencia@artiumsalud.com</t>
  </si>
  <si>
    <t>1438-2018</t>
  </si>
  <si>
    <t>6096000</t>
  </si>
  <si>
    <t>1439-2018</t>
  </si>
  <si>
    <t>1440-2018</t>
  </si>
  <si>
    <t xml:space="preserve">GENERAL MEDICA DE COLOMBIA </t>
  </si>
  <si>
    <t>1441-2018</t>
  </si>
  <si>
    <t>1442-2018</t>
  </si>
  <si>
    <t>BOSTON SCIENTIFIC COLOMBIA LTDA</t>
  </si>
  <si>
    <t>JULIETA DIAZGRANADOS</t>
  </si>
  <si>
    <t>830,039,229-1</t>
  </si>
  <si>
    <t>CALLE 113 # 7-45 TORRE B OFICINA 713</t>
  </si>
  <si>
    <t>6295045</t>
  </si>
  <si>
    <t>mateo.rodriguez@bsci.com</t>
  </si>
  <si>
    <t>1443-2018</t>
  </si>
  <si>
    <t>LUIS EDUARDO NIETO JARAMILLO</t>
  </si>
  <si>
    <t>CARRERA 19 # 82-85 OFICINA 302</t>
  </si>
  <si>
    <t>5082122</t>
  </si>
  <si>
    <t>servicioalcliente@fm-colombia.com</t>
  </si>
  <si>
    <t>1446-2018</t>
  </si>
  <si>
    <t>CARLOS ALBERTO MURILAS</t>
  </si>
  <si>
    <t>CARRERA 43 A # 5 A -17</t>
  </si>
  <si>
    <t>5240015</t>
  </si>
  <si>
    <t>corporativo@tmmedicas.com</t>
  </si>
  <si>
    <t>1447-2018</t>
  </si>
  <si>
    <t>CALLE 79 # 74 -29</t>
  </si>
  <si>
    <t>1448-2018</t>
  </si>
  <si>
    <t>W LORENZ S.A</t>
  </si>
  <si>
    <t>1449-2018</t>
  </si>
  <si>
    <t>1450-2018</t>
  </si>
  <si>
    <t>GUILLERMO GOMEZ</t>
  </si>
  <si>
    <t xml:space="preserve">AUTOPITA MEDELLIN KM 8,5 COSTADO SUR </t>
  </si>
  <si>
    <t>TENJO</t>
  </si>
  <si>
    <t>1451-2018</t>
  </si>
  <si>
    <t>1452-2018</t>
  </si>
  <si>
    <t>SURGICON S.A</t>
  </si>
  <si>
    <t>MARIA FERNANDO OYUELA</t>
  </si>
  <si>
    <t>860,519,267-9</t>
  </si>
  <si>
    <t>KM 1 VIA SIBERIA COTA CENTRO  EMPRESARIAL DEL OCCIDENTE</t>
  </si>
  <si>
    <t>8966555</t>
  </si>
  <si>
    <t>info@surgicon.com.co</t>
  </si>
  <si>
    <t>1454-2018</t>
  </si>
  <si>
    <t>4059179</t>
  </si>
  <si>
    <t>1455-2018</t>
  </si>
  <si>
    <t>MYM EQUIPOS MEDICOS S.A</t>
  </si>
  <si>
    <t>MANUEL GONZALEZ</t>
  </si>
  <si>
    <t>1456-2018</t>
  </si>
  <si>
    <t>1457-2018</t>
  </si>
  <si>
    <t>BIOCLINICOS DE COLOMBIA LTDA</t>
  </si>
  <si>
    <t>ALFONSO CASTRO</t>
  </si>
  <si>
    <t>830,054,700-0</t>
  </si>
  <si>
    <t>CARRERA 59 # 94 B -11</t>
  </si>
  <si>
    <t>5334340</t>
  </si>
  <si>
    <t>comercial@bioclinicos.com</t>
  </si>
  <si>
    <t>1458-2018</t>
  </si>
  <si>
    <t>CTP MEDICAS S.A</t>
  </si>
  <si>
    <t>CAROLINA PERDOMO MEZA</t>
  </si>
  <si>
    <t>800,121,151-5</t>
  </si>
  <si>
    <t>KM 1,5 VIA SIBERIA COTA PARQUE INDUSTRIAL POTRERO CHICO INTERIOR SANMIGUEL BODEGA</t>
  </si>
  <si>
    <t>8773979</t>
  </si>
  <si>
    <t>servicioalcliente@ctpmedica.com</t>
  </si>
  <si>
    <t>1459-2018</t>
  </si>
  <si>
    <t>1460-2018</t>
  </si>
  <si>
    <t>MEDIREX S.A.S</t>
  </si>
  <si>
    <t>YENNY CARRANZA</t>
  </si>
  <si>
    <t>830,091,676-9</t>
  </si>
  <si>
    <t>CALLE 85 A # 24-26</t>
  </si>
  <si>
    <t>3214931095</t>
  </si>
  <si>
    <t>licitaciones@medirexsas.com</t>
  </si>
  <si>
    <t>1461-2018</t>
  </si>
  <si>
    <t>UCIPHARMA S.A</t>
  </si>
  <si>
    <t>830,070,192-6</t>
  </si>
  <si>
    <t>1462-2018</t>
  </si>
  <si>
    <t>angelica.huertas@kci1.com</t>
  </si>
  <si>
    <t>1463-2018</t>
  </si>
  <si>
    <t>CALLE 36 # 2C -22</t>
  </si>
  <si>
    <t>EDGAR HUMBERTO GARZON</t>
  </si>
  <si>
    <t>900,810,245-8</t>
  </si>
  <si>
    <t>AVENIDA TRONCAL DE OCCIDENTE # 1-59 BODECAL 2</t>
  </si>
  <si>
    <t>8299708</t>
  </si>
  <si>
    <t>RODRIGO GOMEZ BURBANO</t>
  </si>
  <si>
    <t>1471-2018</t>
  </si>
  <si>
    <t>SUMINISTRO DE REACTIVOS E INSUMOS DESTINADOS PARA EL LABORATORIO CLINICO DEL HOSPITAL MILITAR CENTRAL</t>
  </si>
  <si>
    <t>800,005,736-1</t>
  </si>
  <si>
    <t>1473-2018</t>
  </si>
  <si>
    <t>1476-2018</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</si>
  <si>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</si>
  <si>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</si>
  <si>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</si>
  <si>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</si>
  <si>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CARLOS ROBERTO GARCES</t>
  </si>
  <si>
    <t>830,109,997-9</t>
  </si>
  <si>
    <t>CARRERA 22 # 164-34</t>
  </si>
  <si>
    <t>8610850</t>
  </si>
  <si>
    <t>alberto.marulanda@ottobock.com.co</t>
  </si>
  <si>
    <t>1478-2018</t>
  </si>
  <si>
    <t>CENTRO INTEGRAL DE REHABILITACION</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</si>
  <si>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</si>
  <si>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</si>
  <si>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</si>
  <si>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</si>
  <si>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</si>
  <si>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</si>
  <si>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</si>
  <si>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</si>
  <si>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EDWIN CUBIDES NIÑO</t>
  </si>
  <si>
    <t>900,545,507-6</t>
  </si>
  <si>
    <t>CALLE 25 F # 85 C -57 OFICINA 201</t>
  </si>
  <si>
    <t>4326882</t>
  </si>
  <si>
    <t>servidiagnostics@gmail.com</t>
  </si>
  <si>
    <t>N° CONTRATO</t>
  </si>
  <si>
    <t>1472-2018</t>
  </si>
  <si>
    <t>AUTOPISTA MEDELIN KM 2,5 VIA PARCELAS PARQUE  EMP PORTOS  SABANA 80 BODEGA 97</t>
  </si>
  <si>
    <t>8985201-02-03</t>
  </si>
  <si>
    <t>1421-2018</t>
  </si>
  <si>
    <t>SUMINISTRO DE INSUMOS Y REACTIVOS  PARA REALIZAR TECNICAS DE INMUNOHISTOQUIMICA AUTOMATIZADA, CITOMETRIA DE FLUJO Y REALIZACION DE AUTOPSIAS</t>
  </si>
  <si>
    <t>6354327</t>
  </si>
  <si>
    <t>830,056,102-3</t>
  </si>
  <si>
    <t>1419-2018</t>
  </si>
  <si>
    <t>1418-2018</t>
  </si>
  <si>
    <t>PRESTACION DE SERVICIOS PROFESIONALES ESPECIALIZADOS  EN CIRUGIA VASCULAR Y ANGIOLOGIA  CON CUBRIMIENTO EN LAS AREAS DE CONSULTA EXTERNA, HOSPITALIZADOS, URGENCIAS, CIRRUGIA ABIERTA Y ENDOVASCULAR  TANTO ELECTIVA COMO DE URGENCIAS, PROCEDIMIENTOS DIAGNOSTICOS INVASIVOS Y NO INVASIVOS DE APOYO TERAPEUTICO, ACTIVIDAD DOCENTE Y DE INVESTIGACION</t>
  </si>
  <si>
    <t>DOUGLAS OMAR ORTIZ ESPINEL</t>
  </si>
  <si>
    <t>CALLE 45 C BIS # 23-37 CONSULTORIO 203</t>
  </si>
  <si>
    <t>2450411</t>
  </si>
  <si>
    <t>CIRUGESP.LTDA@YAHOO.ES</t>
  </si>
  <si>
    <t>1420-2018</t>
  </si>
  <si>
    <t>75660060</t>
  </si>
  <si>
    <t>1340-2018</t>
  </si>
  <si>
    <t>OFTALMOCENTER LTDA</t>
  </si>
  <si>
    <t>DORA CAROLINA ORDUY</t>
  </si>
  <si>
    <t>CALLE 97 # 93-37</t>
  </si>
  <si>
    <t>6426033</t>
  </si>
  <si>
    <t>gerencia@oftalmocenter.com.co</t>
  </si>
  <si>
    <t>900,159,763-1</t>
  </si>
  <si>
    <t>1339-2018</t>
  </si>
  <si>
    <t>1366-2018</t>
  </si>
  <si>
    <t>PRESTACION DE SERVICIOS PROFESIONALES PARA EL SERVICIO MEDICO DEL GRUPO DE HOSPITALIZACION DEL HOSPITAL MILITAR CENTRAL</t>
  </si>
  <si>
    <t>1464-2018</t>
  </si>
  <si>
    <t>PRESTACION DE SERVICIOS DE PERSONAL MEDICO ESPECIALIZADO PARA EL SERVICIO DE OFTALMOLOGIA  DEL HOSPITAL MILITAR CENTRAL</t>
  </si>
  <si>
    <t>1362-2018</t>
  </si>
  <si>
    <t>PRESTACION DE SERVICIOS PROFESIONALES Y DE APOYO A LA GESTION ESPECIALIZADOS EN EL SERVICIO DE CIRUGIA GENERAL DEL HOSPITAL MILITAR CENTRAL</t>
  </si>
  <si>
    <t>gerencia@elite.com.co</t>
  </si>
  <si>
    <t>maika.ramirez@quirumedicas.com.co</t>
  </si>
  <si>
    <t>blinares@proasepsis.com</t>
  </si>
  <si>
    <t>licitaciones@renelly.com</t>
  </si>
  <si>
    <t>LA PRESTACION DE LOS SERVICIOS PROFESIONALES  Y DE APOYO A LA GESTION PARA EL SERVICIO DE NEUROCIENCIAS DEL HOSPITAL MILITAR CENTRAL, CON EL FIN DE DAR ATENCION A LAS NECESIDADES DE CONSULTA EXTERNA Y ATENCION PRIORITARIA QUE SE PRESENTE EN EL SERVICIO DE URGENCIAS DEL HOSPITAL MILITAR CENTRAL Y A SU VEZ DE PACIENTES HOSPITALIZADOS, SITUACIONES ENMARCADAS DENTRO DE LOS PRECEPTOS DE CALIDAD ASISTENCIAL, ETICA, DOCENCIA E INVSTIGACION Y GESTION ADMINISTRATIVA EN LAS INSTALACIONES DEL HOSPITAL MILITAR CENTRAL</t>
  </si>
  <si>
    <t>2116654</t>
  </si>
  <si>
    <t>1365-GE-2018</t>
  </si>
  <si>
    <t>GE HEALTHCARE</t>
  </si>
  <si>
    <t>CARLOS CASTRO</t>
  </si>
  <si>
    <t>CARRERA 72nO.80-94</t>
  </si>
  <si>
    <t>900,757,947-3</t>
  </si>
  <si>
    <t>PRESTACION DE SERVICIOS PROFESIONALES</t>
  </si>
  <si>
    <t xml:space="preserve">SUMINISTRO </t>
  </si>
  <si>
    <t>PRESTACION DE SERVICIOS PROFESIONALES, INCLUIDO SUMINISTRO DE INSUMOS PARA PROCEDIMIENTOS EN EL SERVICIO DE ELECTROFISIOLOGIA DEL HOSPITAL MILITAR CENTRAL</t>
  </si>
  <si>
    <t>PRESTACION DE SERVICIOS Y MANTENIMIENTO</t>
  </si>
  <si>
    <t>MANTENIMIENTO PREVENTIVO Y CORRECTICO INCLUIDO RESPUESTOS PARA EQUIPOS BIOMEDICOS MARCA CARLS ZEIS  (MICROSCOPIOS, TOMOGRAFO ) Y OTROS</t>
  </si>
  <si>
    <t>CIRUGESP LTDA</t>
  </si>
  <si>
    <t>1426-2018</t>
  </si>
  <si>
    <t xml:space="preserve">ARRENDAMIENTO  DE AREAS FISICAS PARA LAS UNIDADES DE FARMACIA PARA </t>
  </si>
  <si>
    <t>PRESTACION DE SERVICIOS PRFESIONALES DE MEDICOS ESPECIALISTAS EN MEDICINA DE URGENCIAS Y EMERGENCIAS PARA EL AREA DE URGENCIAS DEL HOSPITAL MILITAR CENTRAL</t>
  </si>
  <si>
    <t>900789891</t>
  </si>
  <si>
    <t>CARRERA 9 A No 17-55 SUR PISO 2</t>
  </si>
  <si>
    <t>COR-MED@HOTMAIL.com</t>
  </si>
  <si>
    <t>PRESTACION DE SERVICIOS Y DE APOYO A LA GESTION ESPECIALIZADOS EN EL SERVICIO DE ORTOPEDIA Y TRAUMATOLOGIA EN URGENCIAS DEL HOSPITAL MILITAR CENTRAL</t>
  </si>
  <si>
    <t>MIGUEL ANGEL GUTIERREZ</t>
  </si>
  <si>
    <t>ANDRES COLLAZOS</t>
  </si>
  <si>
    <t>SANDRA CELIS - MARIO MENA BEJARANO - LIESEL RAMIREZ</t>
  </si>
  <si>
    <t>JORGE ENRIQUE ECHEVERRY GUZMAN</t>
  </si>
  <si>
    <t>JUAN CARLOS LUQUE</t>
  </si>
  <si>
    <t>VALOR REDUCCION</t>
  </si>
  <si>
    <t>VALOR ADICION</t>
  </si>
  <si>
    <t>RAMON BUENO</t>
  </si>
  <si>
    <t>DR MIGUEL ANGEL LUENGAS</t>
  </si>
  <si>
    <t>CT KATHERINE CASTRO</t>
  </si>
  <si>
    <t xml:space="preserve">A CARGO DE </t>
  </si>
  <si>
    <t>CONTRATACION DE SERVICIOS PROFESIONALES DE RADIOLOGIA URGENCIAS PARA EL SERVICIO DE IMÁGENES DIAGNOSTICAS</t>
  </si>
  <si>
    <t>LILIAN CONSUELO MUÑOZ MARRUGO</t>
  </si>
  <si>
    <t>JEFE MARTHA RODRIGUEZ FIGUEROA</t>
  </si>
  <si>
    <t>JEFE MARTHA ROMERO</t>
  </si>
  <si>
    <t>DORA ESPERANZA ROMERO CALDERON</t>
  </si>
  <si>
    <t>JULIANA MARIA ORDOÑEZ</t>
  </si>
  <si>
    <t xml:space="preserve">LUIS FERNEY RAYO ROJAS - ADRIANA MARIÑO - LIESEL RAMIREZ </t>
  </si>
  <si>
    <t>CARLOS FERNANDO CADENA MARTINEZ</t>
  </si>
  <si>
    <t>RICARDO SILVA RUEDA</t>
  </si>
  <si>
    <t>OSCAR EDUARDO SOSSA MENDOZA</t>
  </si>
  <si>
    <t>SANDRA PATRICIA GALEANO NAVARRO</t>
  </si>
  <si>
    <t>MAURICIO GARZON RUIZ</t>
  </si>
  <si>
    <t>SERGIO ARMANDO GUTIERREZ MESA</t>
  </si>
  <si>
    <t>LIGIA ROCIO MENDEZ GAVIRIA</t>
  </si>
  <si>
    <t>URL</t>
  </si>
  <si>
    <t>VILLERLANDY ROMERO</t>
  </si>
  <si>
    <t>N° PROCESO</t>
  </si>
  <si>
    <t>CONTRATACION DIRECTA</t>
  </si>
  <si>
    <t>LICITACION PUBLICA</t>
  </si>
  <si>
    <t>SUBASTA INVERSA</t>
  </si>
  <si>
    <t>SELECCIÓN ABREVIADA</t>
  </si>
  <si>
    <t>MINIMA CUANTIA</t>
  </si>
  <si>
    <t>CONCURSO DE MERTIOS</t>
  </si>
  <si>
    <t>VALOR TOTAL MAS ADICIONES</t>
  </si>
  <si>
    <t>VALOR TOTAL CON VIGENCIAS</t>
  </si>
  <si>
    <t>SELECCIÓN ABREVIADA PARA PRESTACION DE SERVICIOS DE SALUD</t>
  </si>
  <si>
    <t>CAPITAN ADRIANA ESCOBAR RENTERIA</t>
  </si>
  <si>
    <t>VALOR TOTAL REAL DEL CONTRATO (+ ADICIONES-REDUCCIONES)</t>
  </si>
  <si>
    <t>GABRIEL ADOLFO CENTENARO MEZA</t>
  </si>
  <si>
    <t>https://community.secop.gov.co/Public/Tendering/OpportunityDetail/Index?noticeUID=CO1.NTC.611313&amp;isFromPublicArea=True&amp;isModal=true&amp;asPopupView=true</t>
  </si>
  <si>
    <t>https://community.secop.gov.co/Public/Tendering/OpportunityDetail/Index?noticeUID=CO1.NTC.542060&amp;isFromPublicArea=True&amp;isModal=true&amp;asPopupView=true</t>
  </si>
  <si>
    <t>https://community.secop.gov.co/Public/Tendering/OpportunityDetail/Index?noticeUID=CO1.NTC.610519&amp;isFromPublicArea=True&amp;isModal=true&amp;asPopupView=true</t>
  </si>
  <si>
    <t>https://community.secop.gov.co/Public/Tendering/OpportunityDetail/Index?noticeUID=CO1.NTC.610909&amp;isFromPublicArea=True&amp;isModal=true&amp;asPopupView=true</t>
  </si>
  <si>
    <t>https://community.secop.gov.co/Public/Tendering/OpportunityDetail/Index?noticeUID=CO1.NTC.563602&amp;isFromPublicArea=True&amp;isModal=true&amp;asPopupView=true</t>
  </si>
  <si>
    <t>https://community.secop.gov.co/Public/Tendering/OpportunityDetail/Index?noticeUID=CO1.NTC.567102&amp;isFromPublicArea=True&amp;isModal=true&amp;asPopupView=true</t>
  </si>
  <si>
    <t>https://community.secop.gov.co/Public/Tendering/OpportunityDetail/Index?noticeUID=CO1.NTC.581685&amp;isFromPublicArea=True&amp;isModal=true&amp;asPopupView=true</t>
  </si>
  <si>
    <t>https://community.secop.gov.co/Public/Tendering/OpportunityDetail/Index?noticeUID=CO1.NTC.582770&amp;isFromPublicArea=True&amp;isModal=true&amp;asPopupView=true</t>
  </si>
  <si>
    <t>https://community.secop.gov.co/Public/Tendering/OpportunityDetail/Index?noticeUID=CO1.NTC.623835&amp;isFromPublicArea=True&amp;isModal=true&amp;asPopupView=true</t>
  </si>
  <si>
    <t>https://community.secop.gov.co/Public/Tendering/OpportunityDetail/Index?noticeUID=CO1.NTC.617963&amp;isFromPublicArea=True&amp;isModal=true&amp;asPopupView=true</t>
  </si>
  <si>
    <t>https://community.secop.gov.co/Public/Tendering/OpportunityDetail/Index?noticeUID=CO1.NTC.611314&amp;isFromPublicArea=True&amp;isModal=true&amp;asPopupView=true</t>
  </si>
  <si>
    <t>https://community.secop.gov.co/Public/Tendering/OpportunityDetail/Index?noticeUID=CO1.NTC.619849&amp;isFromPublicArea=True&amp;isModal=true&amp;asPopupView=true</t>
  </si>
  <si>
    <t>https://community.secop.gov.co/Public/Tendering/OpportunityDetail/Index?noticeUID=CO1.NTC.628710&amp;isFromPublicArea=True&amp;isModal=true&amp;asPopupView=true</t>
  </si>
  <si>
    <t>https://community.secop.gov.co/Public/Tendering/OpportunityDetail/Index?noticeUID=CO1.NTC.625320&amp;isFromPublicArea=True&amp;isModal=true&amp;asPopupView=true</t>
  </si>
  <si>
    <t>https://community.secop.gov.co/Public/Tendering/OpportunityDetail/Index?noticeUID=CO1.NTC.616106&amp;isFromPublicArea=True&amp;isModal=true&amp;asPopupView=true</t>
  </si>
  <si>
    <t>https://community.secop.gov.co/Public/Tendering/OpportunityDetail/Index?noticeUID=CO1.NTC.611616&amp;isFromPublicArea=True&amp;isModal=true&amp;asPopupView=true</t>
  </si>
  <si>
    <t>https://community.secop.gov.co/Public/Tendering/OpportunityDetail/Index?noticeUID=CO1.NTC.625404&amp;isFromPublicArea=True&amp;isModal=true&amp;asPopupView=true</t>
  </si>
  <si>
    <t>https://community.secop.gov.co/Public/Tendering/OpportunityDetail/Index?noticeUID=CO1.NTC.617593&amp;isFromPublicArea=True&amp;isModal=true&amp;asPopupView=true</t>
  </si>
  <si>
    <t>https://community.secop.gov.co/Public/Tendering/OpportunityDetail/Index?noticeUID=CO1.NTC.626323&amp;isFromPublicArea=True&amp;isModal=true&amp;asPopupView=true</t>
  </si>
  <si>
    <t>https://community.secop.gov.co/Public/Tendering/OpportunityDetail/Index?noticeUID=CO1.NTC.625782&amp;isFromPublicArea=True&amp;isModal=true&amp;asPopupView=true</t>
  </si>
  <si>
    <t>https://community.secop.gov.co/Public/Tendering/OpportunityDetail/Index?noticeUID=CO1.NTC.631018&amp;isFromPublicArea=True&amp;isModal=true&amp;asPopupView=true</t>
  </si>
  <si>
    <t>https://community.secop.gov.co/Public/Tendering/OpportunityDetail/Index?noticeUID=CO1.NTC.630220&amp;isFromPublicArea=True&amp;isModal=true&amp;asPopupView=true</t>
  </si>
  <si>
    <t>https://community.secop.gov.co/Public/Tendering/OpportunityDetail/Index?noticeUID=CO1.NTC.625322&amp;isFromPublicArea=True&amp;isModal=true&amp;asPopupView=true</t>
  </si>
  <si>
    <t>https://community.secop.gov.co/Public/Tendering/OpportunityDetail/Index?noticeUID=CO1.NTC.626902&amp;isFromPublicArea=True&amp;isModal=true&amp;asPopupView=true</t>
  </si>
  <si>
    <t>https://community.secop.gov.co/Public/Tendering/OpportunityDetail/Index?noticeUID=CO1.NTC.626803&amp;isFromPublicArea=True&amp;isModal=true&amp;asPopupView=true</t>
  </si>
  <si>
    <t>https://community.secop.gov.co/Public/Tendering/OpportunityDetail/Index?noticeUID=CO1.NTC.566422&amp;isFromPublicArea=True&amp;isModal=true&amp;asPopupView=true</t>
  </si>
  <si>
    <t>https://community.secop.gov.co/Public/Tendering/OpportunityDetail/Index?noticeUID=CO1.NTC.631706&amp;isFromPublicArea=True&amp;isModal=true&amp;asPopupView=true</t>
  </si>
  <si>
    <t>https://community.secop.gov.co/Public/Tendering/OpportunityDetail/Index?noticeUID=CO1.NTC.540283&amp;isFromPublicArea=True&amp;isModal=true&amp;asPopupView=true</t>
  </si>
  <si>
    <t>https://community.secop.gov.co/Public/Tendering/OpportunityDetail/Index?noticeUID=CO1.NTC.632782&amp;isFromPublicArea=True&amp;isModal=true&amp;asPopupView=true</t>
  </si>
  <si>
    <t>https://community.secop.gov.co/Public/Tendering/OpportunityDetail/Index?noticeUID=CO1.NTC.631918&amp;isFromPublicArea=True&amp;isModal=true&amp;asPopupView=true</t>
  </si>
  <si>
    <t>https://community.secop.gov.co/Public/Tendering/OpportunityDetail/Index?noticeUID=CO1.NTC.634074&amp;isFromPublicArea=True&amp;isModal=true&amp;asPopupView=true</t>
  </si>
  <si>
    <t>https://community.secop.gov.co/Public/Tendering/OpportunityDetail/Index?noticeUID=CO1.NTC.633878&amp;isFromPublicArea=True&amp;isModal=true&amp;asPopupView=true</t>
  </si>
  <si>
    <t>https://community.secop.gov.co/Public/Tendering/OpportunityDetail/Index?noticeUID=CO1.NTC.631432&amp;isFromPublicArea=True&amp;isModal=true&amp;asPopupView=true</t>
  </si>
  <si>
    <t>https://community.secop.gov.co/Public/Tendering/OpportunityDetail/Index?noticeUID=CO1.NTC.587406&amp;isFromPublicArea=True&amp;isModal=true&amp;asPopupView=true</t>
  </si>
  <si>
    <t>https://community.secop.gov.co/Public/Tendering/OpportunityDetail/Index?noticeUID=CO1.NTC.633851&amp;isFromPublicArea=True&amp;isModal=true&amp;asPopupView=true</t>
  </si>
  <si>
    <t>https://community.secop.gov.co/Public/Tendering/OpportunityDetail/Index?noticeUID=CO1.NTC.633850&amp;isFromPublicArea=True&amp;isModal=true&amp;asPopupView=true</t>
  </si>
  <si>
    <t>https://community.secop.gov.co/Public/Tendering/OpportunityDetail/Index?noticeUID=CO1.NTC.634314&amp;isFromPublicArea=True&amp;isModal=true&amp;asPopupView=true</t>
  </si>
  <si>
    <t>https://community.secop.gov.co/Public/Tendering/OpportunityDetail/Index?noticeUID=CO1.NTC.634073&amp;isFromPublicArea=True&amp;isModal=true&amp;asPopupView=true</t>
  </si>
  <si>
    <t>https://community.secop.gov.co/Public/Tendering/OpportunityDetail/Index?noticeUID=CO1.NTC.634319&amp;isFromPublicArea=True&amp;isModal=true&amp;asPopupView=true</t>
  </si>
  <si>
    <t>https://community.secop.gov.co/Public/Tendering/OpportunityDetail/Index?noticeUID=CO1.NTC.634313&amp;isFromPublicArea=True&amp;isModal=true&amp;asPopupView=true</t>
  </si>
  <si>
    <t>https://community.secop.gov.co/Public/Tendering/OpportunityDetail/Index?noticeUID=CO1.NTC.533495&amp;isFromPublicArea=True&amp;isModal=true&amp;asPopupView=true</t>
  </si>
  <si>
    <t>https://community.secop.gov.co/Public/Tendering/OpportunityDetail/Index?noticeUID=CO1.NTC.632801&amp;isFromPublicArea=True&amp;isModal=true&amp;asPopupView=true</t>
  </si>
  <si>
    <t>https://community.secop.gov.co/Public/Tendering/OpportunityDetail/Index?noticeUID=CO1.NTC.587423&amp;isFromPublicArea=True&amp;isModal=true&amp;asPopupView=true</t>
  </si>
  <si>
    <t>https://community.secop.gov.co/Public/Tendering/OpportunityDetail/Index?noticeUID=CO1.NTC.582570&amp;isFromPublicArea=True&amp;isModal=true&amp;asPopupView=true</t>
  </si>
  <si>
    <t>https://community.secop.gov.co/Public/Tendering/OpportunityDetail/Index?noticeUID=CO1.NTC.583035&amp;isFromPublicArea=True&amp;isModal=true&amp;asPopupView=true</t>
  </si>
  <si>
    <t>https://community.secop.gov.co/Public/Tendering/OpportunityDetail/Index?noticeUID=CO1.NTC.587422&amp;isFromPublicArea=True&amp;isModal=true&amp;asPopupView=true</t>
  </si>
  <si>
    <t>https://community.secop.gov.co/Public/Tendering/OpportunityDetail/Index?noticeUID=CO1.NTC.573352&amp;isFromPublicArea=True&amp;isModal=true&amp;asPopupView=true</t>
  </si>
  <si>
    <t>https://community.secop.gov.co/Public/Tendering/OpportunityDetail/Index?noticeUID=CO1.NTC.583047&amp;isFromPublicArea=True&amp;isModal=true&amp;asPopupView=true</t>
  </si>
  <si>
    <t>JUAN CARLOS GOMEZ RODRIGUEZ</t>
  </si>
  <si>
    <t>CRA 15 No 91-30</t>
  </si>
  <si>
    <t>900667685-2</t>
  </si>
  <si>
    <t>900477822-1</t>
  </si>
  <si>
    <t>900723907-2</t>
  </si>
  <si>
    <t>901025414-2</t>
  </si>
  <si>
    <t>830079051-7</t>
  </si>
  <si>
    <t>900028377-8</t>
  </si>
  <si>
    <t>900328271-3</t>
  </si>
  <si>
    <t>901232617-8</t>
  </si>
  <si>
    <t>900897340-3</t>
  </si>
  <si>
    <t>HERNAN DARIO VERGARA SAMUR</t>
  </si>
  <si>
    <t>FANNY VIOLETA OSORIO</t>
  </si>
  <si>
    <t xml:space="preserve"> 016-2018</t>
  </si>
  <si>
    <t xml:space="preserve"> 021-2018</t>
  </si>
  <si>
    <t xml:space="preserve"> 020-2018</t>
  </si>
  <si>
    <t xml:space="preserve"> 019-2018</t>
  </si>
  <si>
    <t xml:space="preserve"> 022-2018</t>
  </si>
  <si>
    <t xml:space="preserve"> 024-2018</t>
  </si>
  <si>
    <t xml:space="preserve"> 038-2018</t>
  </si>
  <si>
    <t xml:space="preserve"> 025-2018</t>
  </si>
  <si>
    <t xml:space="preserve"> 032-2018</t>
  </si>
  <si>
    <t xml:space="preserve"> 035-2018</t>
  </si>
  <si>
    <t xml:space="preserve"> 039-2018</t>
  </si>
  <si>
    <t xml:space="preserve"> 077-2018</t>
  </si>
  <si>
    <t xml:space="preserve"> 061-2018</t>
  </si>
  <si>
    <t xml:space="preserve"> 055-2018</t>
  </si>
  <si>
    <t xml:space="preserve"> 135-2018</t>
  </si>
  <si>
    <t xml:space="preserve"> 064-2018</t>
  </si>
  <si>
    <t xml:space="preserve"> 062-2018</t>
  </si>
  <si>
    <t xml:space="preserve">  112-2018</t>
  </si>
  <si>
    <t xml:space="preserve"> 142-2018</t>
  </si>
  <si>
    <t xml:space="preserve"> 134-2018</t>
  </si>
  <si>
    <t xml:space="preserve"> 068-2018</t>
  </si>
  <si>
    <t xml:space="preserve"> 060-2018</t>
  </si>
  <si>
    <t xml:space="preserve"> 129-2018</t>
  </si>
  <si>
    <t xml:space="preserve"> 067-2018</t>
  </si>
  <si>
    <t xml:space="preserve"> 127-2018</t>
  </si>
  <si>
    <t xml:space="preserve"> 059-2018</t>
  </si>
  <si>
    <t xml:space="preserve"> 131-2018</t>
  </si>
  <si>
    <t xml:space="preserve"> 143-2018</t>
  </si>
  <si>
    <t xml:space="preserve"> 069-2018</t>
  </si>
  <si>
    <t xml:space="preserve"> 138-2018</t>
  </si>
  <si>
    <t xml:space="preserve"> 137-2018</t>
  </si>
  <si>
    <t xml:space="preserve"> 158-2018</t>
  </si>
  <si>
    <t xml:space="preserve"> 151-2018</t>
  </si>
  <si>
    <t xml:space="preserve"> 147-2018</t>
  </si>
  <si>
    <t xml:space="preserve"> 133-2018</t>
  </si>
  <si>
    <t xml:space="preserve"> 073-2018</t>
  </si>
  <si>
    <t xml:space="preserve"> 157-2018</t>
  </si>
  <si>
    <t xml:space="preserve"> 173-2018</t>
  </si>
  <si>
    <t xml:space="preserve"> 174-2018</t>
  </si>
  <si>
    <t xml:space="preserve"> 176-2018</t>
  </si>
  <si>
    <t xml:space="preserve"> 172-2018</t>
  </si>
  <si>
    <t xml:space="preserve"> 171-2018</t>
  </si>
  <si>
    <t xml:space="preserve"> 175-2018</t>
  </si>
  <si>
    <t xml:space="preserve"> 132-2018</t>
  </si>
  <si>
    <t xml:space="preserve"> 023-2018</t>
  </si>
  <si>
    <t xml:space="preserve"> 015-2018</t>
  </si>
  <si>
    <t xml:space="preserve"> 17-2018</t>
  </si>
  <si>
    <t xml:space="preserve"> 037-2018</t>
  </si>
  <si>
    <t xml:space="preserve"> 014-2018</t>
  </si>
  <si>
    <t>RAFEL ANTONIO DUQUE SALAZAR</t>
  </si>
  <si>
    <t>MANTENIMIENTO PREVENTIVO Y CORRECTIVO QUE SEAN NECESARIOS INCLUYENDO REPUESTOS ORIGINALES Y NUEVOS NO REMANOFACTURADOS PARA LOS EQUIPOS DE MARCA GENERAL ELECTRIC (ECOCARDIOGRAFOS Y DENSITROMETROS ) DE LOS SERVICIOS DE CARDIOLOGÍA CLINICA UROLOGIA Y DENSITOMETRIA DEL HOSPITAL MILITAR</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</si>
</sst>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_-;\-&quot;$&quot;* #,##0_-;_-&quot;$&quot;* &quot;-&quot;_-;_-@_-"/>
    <numFmt numFmtId="165" formatCode="_-&quot;$&quot;* #,##0.00_-;\-&quot;$&quot;* #,##0.00_-;_-&quot;$&quot;* &quot;-&quot;??_-;_-@_-"/>
    <numFmt numFmtId="166" formatCode="&quot;$&quot;\ #,##0"/>
    <numFmt numFmtId="167" formatCode="dd/mm/yyyy;@"/>
  </numFmts>
  <fonts count="11"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9"/>
      <color indexed="81"/>
      <name val="Tahoma"/>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u/>
      <sz val="9"/>
      <color rgb="FFFF0000"/>
      <name val="Arial Narrow"/>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8">
    <xf numFmtId="0" fontId="0" fillId="0" borderId="0" xfId="0"/>
    <xf numFmtId="49" fontId="5" fillId="4" borderId="2"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49" fontId="5" fillId="4" borderId="5" xfId="0" applyNumberFormat="1" applyFont="1" applyFill="1" applyBorder="1" applyAlignment="1">
      <alignment horizontal="center" vertical="center" wrapText="1"/>
    </xf>
    <xf numFmtId="49" fontId="5" fillId="4" borderId="2" xfId="0" applyNumberFormat="1" applyFont="1" applyFill="1" applyBorder="1" applyAlignment="1">
      <alignment horizontal="center" vertical="center" textRotation="90" wrapText="1"/>
    </xf>
    <xf numFmtId="166" fontId="6" fillId="4" borderId="6" xfId="1" applyNumberFormat="1" applyFont="1" applyFill="1" applyBorder="1" applyAlignment="1">
      <alignment horizontal="center" vertical="center" wrapText="1"/>
    </xf>
    <xf numFmtId="4" fontId="5" fillId="4" borderId="3" xfId="0" applyNumberFormat="1" applyFont="1" applyFill="1" applyBorder="1" applyAlignment="1">
      <alignment horizontal="center" vertical="center" wrapText="1"/>
    </xf>
    <xf numFmtId="0" fontId="5" fillId="4" borderId="6" xfId="0" applyNumberFormat="1" applyFont="1" applyFill="1" applyBorder="1" applyAlignment="1">
      <alignment horizontal="center" vertical="center" wrapText="1"/>
    </xf>
    <xf numFmtId="49" fontId="5" fillId="4" borderId="6" xfId="0" applyNumberFormat="1" applyFont="1" applyFill="1" applyBorder="1" applyAlignment="1">
      <alignment horizontal="center" vertical="center" wrapText="1"/>
    </xf>
    <xf numFmtId="0" fontId="7" fillId="0" borderId="8" xfId="0" applyFont="1" applyBorder="1" applyAlignment="1">
      <alignment horizontal="center" vertical="center" wrapText="1"/>
    </xf>
    <xf numFmtId="0" fontId="8" fillId="0" borderId="8" xfId="2" applyFont="1" applyBorder="1" applyAlignment="1" applyProtection="1">
      <alignment vertical="center" wrapText="1"/>
    </xf>
    <xf numFmtId="0" fontId="6" fillId="2" borderId="7" xfId="0" applyNumberFormat="1" applyFont="1" applyFill="1" applyBorder="1" applyAlignment="1">
      <alignment horizontal="center" vertical="center" wrapText="1"/>
    </xf>
    <xf numFmtId="164" fontId="7" fillId="2" borderId="7" xfId="1" applyNumberFormat="1" applyFont="1" applyFill="1" applyBorder="1" applyAlignment="1">
      <alignment horizontal="center" vertical="center"/>
    </xf>
    <xf numFmtId="167" fontId="8" fillId="2" borderId="8" xfId="2" applyNumberFormat="1" applyFont="1" applyFill="1" applyBorder="1" applyAlignment="1" applyProtection="1">
      <alignment horizontal="center" vertical="center" wrapText="1"/>
    </xf>
    <xf numFmtId="14" fontId="7" fillId="0" borderId="8" xfId="0" applyNumberFormat="1" applyFont="1" applyBorder="1" applyAlignment="1">
      <alignment horizontal="center" vertical="center" wrapText="1"/>
    </xf>
    <xf numFmtId="0" fontId="7" fillId="0" borderId="0" xfId="0" applyFont="1"/>
    <xf numFmtId="164" fontId="9" fillId="2" borderId="7" xfId="1" applyNumberFormat="1" applyFont="1" applyFill="1" applyBorder="1" applyAlignment="1">
      <alignment horizontal="center" vertical="center"/>
    </xf>
    <xf numFmtId="167" fontId="10" fillId="2" borderId="8" xfId="2" applyNumberFormat="1" applyFont="1" applyFill="1" applyBorder="1" applyAlignment="1" applyProtection="1">
      <alignment horizontal="center" vertical="center" wrapText="1"/>
    </xf>
    <xf numFmtId="166" fontId="7" fillId="2" borderId="7" xfId="1" applyNumberFormat="1" applyFont="1" applyFill="1" applyBorder="1" applyAlignment="1">
      <alignment horizontal="center" vertical="center"/>
    </xf>
    <xf numFmtId="49" fontId="7" fillId="2" borderId="8" xfId="0" applyNumberFormat="1" applyFont="1" applyFill="1" applyBorder="1" applyAlignment="1">
      <alignment horizontal="center" vertical="center" wrapText="1"/>
    </xf>
    <xf numFmtId="166" fontId="6" fillId="4" borderId="4" xfId="1" applyNumberFormat="1" applyFont="1" applyFill="1" applyBorder="1" applyAlignment="1">
      <alignment horizontal="center" vertical="center" wrapText="1"/>
    </xf>
    <xf numFmtId="49" fontId="6" fillId="2" borderId="8" xfId="0" applyNumberFormat="1" applyFont="1" applyFill="1" applyBorder="1" applyAlignment="1">
      <alignment horizontal="center" vertical="center" wrapText="1"/>
    </xf>
    <xf numFmtId="0" fontId="7" fillId="2" borderId="8" xfId="0" applyFont="1" applyFill="1" applyBorder="1" applyAlignment="1">
      <alignment horizontal="center" vertical="center" wrapText="1"/>
    </xf>
    <xf numFmtId="166" fontId="7" fillId="2" borderId="8" xfId="0" applyNumberFormat="1" applyFont="1" applyFill="1" applyBorder="1" applyAlignment="1">
      <alignment horizontal="center" vertical="center" wrapText="1"/>
    </xf>
    <xf numFmtId="167" fontId="7" fillId="3" borderId="8" xfId="0" applyNumberFormat="1" applyFont="1" applyFill="1" applyBorder="1" applyAlignment="1">
      <alignment horizontal="center" vertical="center" wrapText="1"/>
    </xf>
    <xf numFmtId="14" fontId="7" fillId="3" borderId="8" xfId="0" applyNumberFormat="1" applyFont="1" applyFill="1" applyBorder="1" applyAlignment="1">
      <alignment horizontal="center" vertical="center" wrapText="1"/>
    </xf>
    <xf numFmtId="49" fontId="8" fillId="2" borderId="8" xfId="2" applyNumberFormat="1" applyFont="1" applyFill="1" applyBorder="1" applyAlignment="1" applyProtection="1">
      <alignment horizontal="center" vertical="center" wrapText="1"/>
    </xf>
    <xf numFmtId="166" fontId="7" fillId="2" borderId="8" xfId="1" applyNumberFormat="1" applyFont="1" applyFill="1" applyBorder="1" applyAlignment="1">
      <alignment horizontal="center" vertical="center"/>
    </xf>
    <xf numFmtId="14" fontId="7" fillId="2" borderId="8" xfId="0" applyNumberFormat="1" applyFont="1" applyFill="1" applyBorder="1" applyAlignment="1">
      <alignment horizontal="center" vertical="center" wrapText="1"/>
    </xf>
    <xf numFmtId="49" fontId="9" fillId="2" borderId="8" xfId="0" applyNumberFormat="1" applyFont="1" applyFill="1" applyBorder="1" applyAlignment="1">
      <alignment horizontal="center" vertical="center" wrapText="1"/>
    </xf>
    <xf numFmtId="166" fontId="7" fillId="2" borderId="8" xfId="1" applyNumberFormat="1" applyFont="1" applyFill="1" applyBorder="1" applyAlignment="1">
      <alignment horizontal="center" vertical="center" wrapText="1"/>
    </xf>
    <xf numFmtId="49" fontId="7" fillId="2" borderId="8" xfId="0" applyNumberFormat="1" applyFont="1" applyFill="1" applyBorder="1" applyAlignment="1">
      <alignment horizontal="justify" vertical="center" wrapText="1"/>
    </xf>
    <xf numFmtId="49" fontId="7" fillId="2" borderId="8" xfId="0" applyNumberFormat="1" applyFont="1" applyFill="1" applyBorder="1" applyAlignment="1">
      <alignment vertical="center" wrapText="1"/>
    </xf>
    <xf numFmtId="166" fontId="9" fillId="2" borderId="8" xfId="1" applyNumberFormat="1" applyFont="1" applyFill="1" applyBorder="1" applyAlignment="1">
      <alignment horizontal="center" vertical="center"/>
    </xf>
    <xf numFmtId="167" fontId="6" fillId="2" borderId="8" xfId="0" applyNumberFormat="1" applyFont="1" applyFill="1" applyBorder="1" applyAlignment="1">
      <alignment horizontal="center" vertical="center" wrapText="1"/>
    </xf>
    <xf numFmtId="166" fontId="9" fillId="2" borderId="8" xfId="1" applyNumberFormat="1" applyFont="1" applyFill="1" applyBorder="1" applyAlignment="1">
      <alignment horizontal="center" vertical="center" wrapText="1"/>
    </xf>
    <xf numFmtId="0" fontId="6" fillId="2" borderId="8" xfId="0" applyNumberFormat="1" applyFont="1" applyFill="1" applyBorder="1" applyAlignment="1">
      <alignment horizontal="center" vertical="center" wrapText="1"/>
    </xf>
    <xf numFmtId="0" fontId="7" fillId="4" borderId="0" xfId="0" applyFont="1" applyFill="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luis.uribe@selgad.com" TargetMode="External"/><Relationship Id="rId21" Type="http://schemas.openxmlformats.org/officeDocument/2006/relationships/hyperlink" Target="mailto:copr-med@hotmail.com" TargetMode="External"/><Relationship Id="rId42" Type="http://schemas.openxmlformats.org/officeDocument/2006/relationships/hyperlink" Target="mailto:Ctorogar@its.jnj.com" TargetMode="External"/><Relationship Id="rId47" Type="http://schemas.openxmlformats.org/officeDocument/2006/relationships/hyperlink" Target="mailto:aslicitacion2@lminstruments.com.co" TargetMode="External"/><Relationship Id="rId63" Type="http://schemas.openxmlformats.org/officeDocument/2006/relationships/hyperlink" Target="mailto:servicioalcliente@ctpmedica.com" TargetMode="External"/><Relationship Id="rId68" Type="http://schemas.openxmlformats.org/officeDocument/2006/relationships/hyperlink" Target="mailto:luisa_quintero@baxter.com" TargetMode="External"/><Relationship Id="rId84" Type="http://schemas.openxmlformats.org/officeDocument/2006/relationships/hyperlink" Target="mailto:corp-med@hotmail.com" TargetMode="External"/><Relationship Id="rId89" Type="http://schemas.openxmlformats.org/officeDocument/2006/relationships/hyperlink" Target="mailto:maika.ramirez@quirumedicas.com.co" TargetMode="External"/><Relationship Id="rId16" Type="http://schemas.openxmlformats.org/officeDocument/2006/relationships/hyperlink" Target="mailto:corp-med@hotmail.com" TargetMode="External"/><Relationship Id="rId11" Type="http://schemas.openxmlformats.org/officeDocument/2006/relationships/hyperlink" Target="mailto:jorgecanon@pharmeuropea.com" TargetMode="External"/><Relationship Id="rId32" Type="http://schemas.openxmlformats.org/officeDocument/2006/relationships/hyperlink" Target="mailto:cardiolatidosas@gmail.com" TargetMode="External"/><Relationship Id="rId37" Type="http://schemas.openxmlformats.org/officeDocument/2006/relationships/hyperlink" Target="mailto:ealandete@gmail.com" TargetMode="External"/><Relationship Id="rId53" Type="http://schemas.openxmlformats.org/officeDocument/2006/relationships/hyperlink" Target="mailto:mangel@vygon.com.co" TargetMode="External"/><Relationship Id="rId58" Type="http://schemas.openxmlformats.org/officeDocument/2006/relationships/hyperlink" Target="mailto:info@surgicon.com.co" TargetMode="External"/><Relationship Id="rId74" Type="http://schemas.openxmlformats.org/officeDocument/2006/relationships/hyperlink" Target="mailto:catherine.guarin@cirec.org" TargetMode="External"/><Relationship Id="rId79" Type="http://schemas.openxmlformats.org/officeDocument/2006/relationships/hyperlink" Target="mailto:michelle.vasquez@roche.com" TargetMode="External"/><Relationship Id="rId102" Type="http://schemas.openxmlformats.org/officeDocument/2006/relationships/comments" Target="../comments1.xml"/><Relationship Id="rId5" Type="http://schemas.openxmlformats.org/officeDocument/2006/relationships/hyperlink" Target="mailto:medirhbcolsa@gmail.com" TargetMode="External"/><Relationship Id="rId90" Type="http://schemas.openxmlformats.org/officeDocument/2006/relationships/hyperlink" Target="mailto:jhon.tellez@convatec.com" TargetMode="External"/><Relationship Id="rId95" Type="http://schemas.openxmlformats.org/officeDocument/2006/relationships/hyperlink" Target="mailto:blinares@proasepsis.com" TargetMode="External"/><Relationship Id="rId22" Type="http://schemas.openxmlformats.org/officeDocument/2006/relationships/hyperlink" Target="mailto:CORPEDIMIL@GMAIL.COM" TargetMode="External"/><Relationship Id="rId27" Type="http://schemas.openxmlformats.org/officeDocument/2006/relationships/hyperlink" Target="mailto:elina.castro@gbarco.com.co" TargetMode="External"/><Relationship Id="rId43" Type="http://schemas.openxmlformats.org/officeDocument/2006/relationships/hyperlink" Target="mailto:rcuello@mmm.com" TargetMode="External"/><Relationship Id="rId48" Type="http://schemas.openxmlformats.org/officeDocument/2006/relationships/hyperlink" Target="mailto:contratacion@gemedco.com" TargetMode="External"/><Relationship Id="rId64" Type="http://schemas.openxmlformats.org/officeDocument/2006/relationships/hyperlink" Target="mailto:licitaciones@tecnicaelectromedica.com" TargetMode="External"/><Relationship Id="rId69" Type="http://schemas.openxmlformats.org/officeDocument/2006/relationships/hyperlink" Target="mailto:gerencia@meqtm.com" TargetMode="External"/><Relationship Id="rId80" Type="http://schemas.openxmlformats.org/officeDocument/2006/relationships/hyperlink" Target="mailto:CIRUGESP.LTDA@YAHOO.ES" TargetMode="External"/><Relationship Id="rId85" Type="http://schemas.openxmlformats.org/officeDocument/2006/relationships/hyperlink" Target="mailto:corp-med@hotmail.com" TargetMode="External"/><Relationship Id="rId12" Type="http://schemas.openxmlformats.org/officeDocument/2006/relationships/hyperlink" Target="mailto:gcmaria@lifesumimed.com" TargetMode="External"/><Relationship Id="rId17" Type="http://schemas.openxmlformats.org/officeDocument/2006/relationships/hyperlink" Target="mailto:ingebombas@hotmail.com" TargetMode="External"/><Relationship Id="rId25" Type="http://schemas.openxmlformats.org/officeDocument/2006/relationships/hyperlink" Target="mailto:comercial@equitronic.com.co" TargetMode="External"/><Relationship Id="rId33" Type="http://schemas.openxmlformats.org/officeDocument/2006/relationships/hyperlink" Target="mailto:laura.palma_villareal@siemens.com" TargetMode="External"/><Relationship Id="rId38" Type="http://schemas.openxmlformats.org/officeDocument/2006/relationships/hyperlink" Target="mailto:licitaciones.col@bd.com" TargetMode="External"/><Relationship Id="rId46" Type="http://schemas.openxmlformats.org/officeDocument/2006/relationships/hyperlink" Target="mailto:licitabogota2@cobomedical.com" TargetMode="External"/><Relationship Id="rId59" Type="http://schemas.openxmlformats.org/officeDocument/2006/relationships/hyperlink" Target="mailto:ventas@sherleg.net" TargetMode="External"/><Relationship Id="rId67" Type="http://schemas.openxmlformats.org/officeDocument/2006/relationships/hyperlink" Target="mailto:angelica.huertas@kci1.com" TargetMode="External"/><Relationship Id="rId20" Type="http://schemas.openxmlformats.org/officeDocument/2006/relationships/hyperlink" Target="mailto:visioncorp7@gmail.com" TargetMode="External"/><Relationship Id="rId41" Type="http://schemas.openxmlformats.org/officeDocument/2006/relationships/hyperlink" Target="mailto:ventas@labcarecolombia.com" TargetMode="External"/><Relationship Id="rId54" Type="http://schemas.openxmlformats.org/officeDocument/2006/relationships/hyperlink" Target="mailto:gustavo.rodriguez@wlorenz.com.co" TargetMode="External"/><Relationship Id="rId62" Type="http://schemas.openxmlformats.org/officeDocument/2006/relationships/hyperlink" Target="mailto:comercial@bioclinicos.com" TargetMode="External"/><Relationship Id="rId70" Type="http://schemas.openxmlformats.org/officeDocument/2006/relationships/hyperlink" Target="mailto:viviana.quintana@quimberlab.com.co" TargetMode="External"/><Relationship Id="rId75" Type="http://schemas.openxmlformats.org/officeDocument/2006/relationships/hyperlink" Target="mailto:servidiagnostics@gmail.com" TargetMode="External"/><Relationship Id="rId83" Type="http://schemas.openxmlformats.org/officeDocument/2006/relationships/hyperlink" Target="mailto:COR-MED@HOTMAIL.com" TargetMode="External"/><Relationship Id="rId88" Type="http://schemas.openxmlformats.org/officeDocument/2006/relationships/hyperlink" Target="mailto:ruth.isnlda.gaviria@medtronic.com" TargetMode="External"/><Relationship Id="rId91" Type="http://schemas.openxmlformats.org/officeDocument/2006/relationships/hyperlink" Target="mailto:rcuello@mmm.com" TargetMode="External"/><Relationship Id="rId96" Type="http://schemas.openxmlformats.org/officeDocument/2006/relationships/hyperlink" Target="mailto:licitaciones@renelly.com" TargetMode="External"/><Relationship Id="rId1" Type="http://schemas.openxmlformats.org/officeDocument/2006/relationships/hyperlink" Target="mailto:corp-med@hotmail.com" TargetMode="External"/><Relationship Id="rId6" Type="http://schemas.openxmlformats.org/officeDocument/2006/relationships/hyperlink" Target="mailto:grentecomercial@fjsb.com.co" TargetMode="External"/><Relationship Id="rId15" Type="http://schemas.openxmlformats.org/officeDocument/2006/relationships/hyperlink" Target="mailto:MAURICIO.ESCOBAR@KCII.COM" TargetMode="External"/><Relationship Id="rId23" Type="http://schemas.openxmlformats.org/officeDocument/2006/relationships/hyperlink" Target="mailto:corp-med@hotmail.com" TargetMode="External"/><Relationship Id="rId28" Type="http://schemas.openxmlformats.org/officeDocument/2006/relationships/hyperlink" Target="mailto:soportec@kaika.com.co" TargetMode="External"/><Relationship Id="rId36" Type="http://schemas.openxmlformats.org/officeDocument/2006/relationships/hyperlink" Target="mailto:oymmedicossas@gmail.com" TargetMode="External"/><Relationship Id="rId49" Type="http://schemas.openxmlformats.org/officeDocument/2006/relationships/hyperlink" Target="mailto:gerencia@biotronitech.com.co" TargetMode="External"/><Relationship Id="rId57" Type="http://schemas.openxmlformats.org/officeDocument/2006/relationships/hyperlink" Target="mailto:patricia@bioplastsa.com" TargetMode="External"/><Relationship Id="rId10" Type="http://schemas.openxmlformats.org/officeDocument/2006/relationships/hyperlink" Target="mailto:ASOCIACIONAMECRI@HOTMAIL.COM" TargetMode="External"/><Relationship Id="rId31" Type="http://schemas.openxmlformats.org/officeDocument/2006/relationships/hyperlink" Target="mailto:colprocorp@hotmail.com" TargetMode="External"/><Relationship Id="rId44" Type="http://schemas.openxmlformats.org/officeDocument/2006/relationships/hyperlink" Target="mailto:ruth.isnlda.gaviria@medtronic.com" TargetMode="External"/><Relationship Id="rId52" Type="http://schemas.openxmlformats.org/officeDocument/2006/relationships/hyperlink" Target="mailto:corporativo@tmmedicas.com" TargetMode="External"/><Relationship Id="rId60" Type="http://schemas.openxmlformats.org/officeDocument/2006/relationships/hyperlink" Target="mailto:comercial@mmequiposmedicos.com.co" TargetMode="External"/><Relationship Id="rId65" Type="http://schemas.openxmlformats.org/officeDocument/2006/relationships/hyperlink" Target="mailto:licitaciones@medirexsas.com" TargetMode="External"/><Relationship Id="rId73" Type="http://schemas.openxmlformats.org/officeDocument/2006/relationships/hyperlink" Target="mailto:alberto.marulanda@ottobock.com.co" TargetMode="External"/><Relationship Id="rId78" Type="http://schemas.openxmlformats.org/officeDocument/2006/relationships/hyperlink" Target="mailto:comercial@labtronics.net" TargetMode="External"/><Relationship Id="rId81" Type="http://schemas.openxmlformats.org/officeDocument/2006/relationships/hyperlink" Target="mailto:licitaciones.col@bd.com" TargetMode="External"/><Relationship Id="rId86" Type="http://schemas.openxmlformats.org/officeDocument/2006/relationships/hyperlink" Target="mailto:gerencia@elite.com.co" TargetMode="External"/><Relationship Id="rId94" Type="http://schemas.openxmlformats.org/officeDocument/2006/relationships/hyperlink" Target="mailto:luisa_quintero@baxter.com" TargetMode="External"/><Relationship Id="rId99" Type="http://schemas.openxmlformats.org/officeDocument/2006/relationships/hyperlink" Target="mailto:ealandete@gmail.com" TargetMode="External"/><Relationship Id="rId101" Type="http://schemas.openxmlformats.org/officeDocument/2006/relationships/vmlDrawing" Target="../drawings/vmlDrawing1.vml"/><Relationship Id="rId4" Type="http://schemas.openxmlformats.org/officeDocument/2006/relationships/hyperlink" Target="mailto:ASOCIACION-ASA@HOTMAIL.COM" TargetMode="External"/><Relationship Id="rId9" Type="http://schemas.openxmlformats.org/officeDocument/2006/relationships/hyperlink" Target="mailto:sandramoralesch@gmail.com" TargetMode="External"/><Relationship Id="rId13" Type="http://schemas.openxmlformats.org/officeDocument/2006/relationships/hyperlink" Target="mailto:GERENCIA@BIOPLASTSA.COM" TargetMode="External"/><Relationship Id="rId18" Type="http://schemas.openxmlformats.org/officeDocument/2006/relationships/hyperlink" Target="mailto:valenzuela10@gmail.com" TargetMode="External"/><Relationship Id="rId39" Type="http://schemas.openxmlformats.org/officeDocument/2006/relationships/hyperlink" Target="mailto:rodriguez.sandra@abbott.com" TargetMode="External"/><Relationship Id="rId34" Type="http://schemas.openxmlformats.org/officeDocument/2006/relationships/hyperlink" Target="mailto:fundarritmia@gmail.com" TargetMode="External"/><Relationship Id="rId50" Type="http://schemas.openxmlformats.org/officeDocument/2006/relationships/hyperlink" Target="mailto:mateo.rodriguez@bsci.com" TargetMode="External"/><Relationship Id="rId55" Type="http://schemas.openxmlformats.org/officeDocument/2006/relationships/hyperlink" Target="mailto:asistentecomercial@armocsa.com" TargetMode="External"/><Relationship Id="rId76" Type="http://schemas.openxmlformats.org/officeDocument/2006/relationships/hyperlink" Target="mailto:emiut2019@gmail.com" TargetMode="External"/><Relationship Id="rId97" Type="http://schemas.openxmlformats.org/officeDocument/2006/relationships/hyperlink" Target="mailto:aslicitacion2@lminstruments.com.co" TargetMode="External"/><Relationship Id="rId7" Type="http://schemas.openxmlformats.org/officeDocument/2006/relationships/hyperlink" Target="mailto:asceca@hotmail.com" TargetMode="External"/><Relationship Id="rId71" Type="http://schemas.openxmlformats.org/officeDocument/2006/relationships/hyperlink" Target="mailto:ventas@annardx.com" TargetMode="External"/><Relationship Id="rId92" Type="http://schemas.openxmlformats.org/officeDocument/2006/relationships/hyperlink" Target="mailto:ordenesysuministros@outlook.com" TargetMode="External"/><Relationship Id="rId2" Type="http://schemas.openxmlformats.org/officeDocument/2006/relationships/hyperlink" Target="mailto:visioncorp7@gmail.com" TargetMode="External"/><Relationship Id="rId29" Type="http://schemas.openxmlformats.org/officeDocument/2006/relationships/hyperlink" Target="mailto:aslicitacion2@lminstruments.com.co" TargetMode="External"/><Relationship Id="rId24" Type="http://schemas.openxmlformats.org/officeDocument/2006/relationships/hyperlink" Target="mailto:jomedical@jomedical.com" TargetMode="External"/><Relationship Id="rId40" Type="http://schemas.openxmlformats.org/officeDocument/2006/relationships/hyperlink" Target="mailto:biocient@outlook.com" TargetMode="External"/><Relationship Id="rId45" Type="http://schemas.openxmlformats.org/officeDocument/2006/relationships/hyperlink" Target="mailto:gerencia@artiumsalud.com" TargetMode="External"/><Relationship Id="rId66" Type="http://schemas.openxmlformats.org/officeDocument/2006/relationships/hyperlink" Target="mailto:flor.quintero@grupoamarey.com" TargetMode="External"/><Relationship Id="rId87" Type="http://schemas.openxmlformats.org/officeDocument/2006/relationships/hyperlink" Target="mailto:adriana.santana@draeger.com" TargetMode="External"/><Relationship Id="rId61" Type="http://schemas.openxmlformats.org/officeDocument/2006/relationships/hyperlink" Target="mailto:cverdiguer@quirurgicosltda.com" TargetMode="External"/><Relationship Id="rId82" Type="http://schemas.openxmlformats.org/officeDocument/2006/relationships/hyperlink" Target="mailto:gerencia@oftalmocenter.com.co" TargetMode="External"/><Relationship Id="rId19" Type="http://schemas.openxmlformats.org/officeDocument/2006/relationships/hyperlink" Target="mailto:expertosingenieros@hotmail.com" TargetMode="External"/><Relationship Id="rId14" Type="http://schemas.openxmlformats.org/officeDocument/2006/relationships/hyperlink" Target="http://www.sherleg.com/" TargetMode="External"/><Relationship Id="rId30" Type="http://schemas.openxmlformats.org/officeDocument/2006/relationships/hyperlink" Target="mailto:administratcion@hemato-oncologos.com" TargetMode="External"/><Relationship Id="rId35" Type="http://schemas.openxmlformats.org/officeDocument/2006/relationships/hyperlink" Target="mailto:corp-med@hotmail.com" TargetMode="External"/><Relationship Id="rId56" Type="http://schemas.openxmlformats.org/officeDocument/2006/relationships/hyperlink" Target="mailto:diana.rubio@siemens-healthineers.com" TargetMode="External"/><Relationship Id="rId77" Type="http://schemas.openxmlformats.org/officeDocument/2006/relationships/hyperlink" Target="mailto:ventas@labcarecolombia.com" TargetMode="External"/><Relationship Id="rId100" Type="http://schemas.openxmlformats.org/officeDocument/2006/relationships/printerSettings" Target="../printerSettings/printerSettings1.bin"/><Relationship Id="rId8" Type="http://schemas.openxmlformats.org/officeDocument/2006/relationships/hyperlink" Target="mailto:copr-med@hotmail.com" TargetMode="External"/><Relationship Id="rId51" Type="http://schemas.openxmlformats.org/officeDocument/2006/relationships/hyperlink" Target="mailto:servicioalcliente@fm-colombia.com" TargetMode="External"/><Relationship Id="rId72" Type="http://schemas.openxmlformats.org/officeDocument/2006/relationships/hyperlink" Target="mailto:licitaciones.col@bd.com" TargetMode="External"/><Relationship Id="rId93" Type="http://schemas.openxmlformats.org/officeDocument/2006/relationships/hyperlink" Target="mailto:mangel@vygon.com.co" TargetMode="External"/><Relationship Id="rId98" Type="http://schemas.openxmlformats.org/officeDocument/2006/relationships/hyperlink" Target="mailto:contratacion@gemedco.com" TargetMode="External"/><Relationship Id="rId3" Type="http://schemas.openxmlformats.org/officeDocument/2006/relationships/hyperlink" Target="mailto:buhoseguridadltda@hot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102"/>
  <sheetViews>
    <sheetView tabSelected="1" zoomScaleNormal="100" workbookViewId="0">
      <pane xSplit="1" ySplit="1" topLeftCell="B2" activePane="bottomRight" state="frozen"/>
      <selection pane="topRight" activeCell="B1" sqref="B1"/>
      <selection pane="bottomLeft" activeCell="A3" sqref="A3"/>
      <selection pane="bottomRight" activeCell="F1" sqref="F1"/>
    </sheetView>
  </sheetViews>
  <sheetFormatPr baseColWidth="10" defaultRowHeight="13.5" x14ac:dyDescent="0.25"/>
  <cols>
    <col min="1" max="1" width="11.42578125" style="15"/>
    <col min="2" max="2" width="4.5703125" style="15" customWidth="1"/>
    <col min="3" max="3" width="4.140625" style="15" customWidth="1"/>
    <col min="4" max="4" width="3.85546875" style="15" customWidth="1"/>
    <col min="5" max="5" width="4.42578125" style="15" customWidth="1"/>
    <col min="6" max="6" width="6.140625" style="15" customWidth="1"/>
    <col min="7" max="7" width="4" style="15" customWidth="1"/>
    <col min="8" max="8" width="4.5703125" style="15" customWidth="1"/>
    <col min="9" max="9" width="12.42578125" style="15" customWidth="1"/>
    <col min="10" max="10" width="21.7109375" style="15" customWidth="1"/>
    <col min="11" max="11" width="25.7109375" style="15" customWidth="1"/>
    <col min="12" max="12" width="26.140625" style="15" customWidth="1"/>
    <col min="13" max="13" width="44.7109375" style="15" customWidth="1"/>
    <col min="14" max="15" width="15.28515625" style="15" hidden="1" customWidth="1"/>
    <col min="16" max="16" width="15.7109375" style="15" hidden="1" customWidth="1"/>
    <col min="17" max="17" width="15.28515625" style="15" hidden="1" customWidth="1"/>
    <col min="18" max="18" width="15.140625" style="15" hidden="1" customWidth="1"/>
    <col min="19" max="19" width="14.42578125" style="15" hidden="1" customWidth="1"/>
    <col min="20" max="20" width="14.7109375" style="15" hidden="1" customWidth="1"/>
    <col min="21" max="22" width="15.7109375" style="15" hidden="1" customWidth="1"/>
    <col min="23" max="23" width="15.7109375" style="15" customWidth="1"/>
    <col min="24" max="24" width="13.5703125" style="15" customWidth="1"/>
    <col min="25" max="25" width="13" style="15" customWidth="1"/>
    <col min="26" max="26" width="15.28515625" style="15" hidden="1" customWidth="1"/>
    <col min="27" max="27" width="37.7109375" style="15" hidden="1" customWidth="1"/>
    <col min="28" max="28" width="15.28515625" style="15" hidden="1" customWidth="1"/>
    <col min="29" max="29" width="17" style="15" hidden="1" customWidth="1"/>
    <col min="30" max="30" width="23.42578125" style="15" hidden="1" customWidth="1"/>
    <col min="31" max="37" width="15.28515625" style="15" hidden="1" customWidth="1"/>
    <col min="38" max="38" width="25" style="15" customWidth="1"/>
    <col min="39" max="39" width="25.42578125" style="15" customWidth="1"/>
    <col min="40" max="40" width="16.28515625" style="15" customWidth="1"/>
    <col min="41" max="41" width="22" style="15" customWidth="1"/>
    <col min="42" max="42" width="18.140625" style="15" customWidth="1"/>
    <col min="43" max="43" width="22.5703125" style="15" customWidth="1"/>
    <col min="44" max="44" width="16.5703125" style="15" customWidth="1"/>
    <col min="45" max="16384" width="11.42578125" style="15"/>
  </cols>
  <sheetData>
    <row r="1" spans="1:44" s="37" customFormat="1" ht="150.75" customHeight="1" thickBot="1" x14ac:dyDescent="0.3">
      <c r="A1" s="2" t="s">
        <v>615</v>
      </c>
      <c r="B1" s="4" t="s">
        <v>698</v>
      </c>
      <c r="C1" s="4" t="s">
        <v>699</v>
      </c>
      <c r="D1" s="4" t="s">
        <v>702</v>
      </c>
      <c r="E1" s="4" t="s">
        <v>701</v>
      </c>
      <c r="F1" s="4" t="s">
        <v>706</v>
      </c>
      <c r="G1" s="4" t="s">
        <v>703</v>
      </c>
      <c r="H1" s="4" t="s">
        <v>700</v>
      </c>
      <c r="I1" s="2" t="s">
        <v>697</v>
      </c>
      <c r="J1" s="1" t="s">
        <v>3</v>
      </c>
      <c r="K1" s="1" t="s">
        <v>695</v>
      </c>
      <c r="L1" s="3" t="s">
        <v>0</v>
      </c>
      <c r="M1" s="2" t="s">
        <v>1</v>
      </c>
      <c r="N1" s="20" t="s">
        <v>676</v>
      </c>
      <c r="O1" s="5" t="s">
        <v>675</v>
      </c>
      <c r="P1" s="6" t="s">
        <v>4</v>
      </c>
      <c r="Q1" s="6" t="s">
        <v>5</v>
      </c>
      <c r="R1" s="6" t="s">
        <v>6</v>
      </c>
      <c r="S1" s="6" t="s">
        <v>7</v>
      </c>
      <c r="T1" s="6" t="s">
        <v>8</v>
      </c>
      <c r="U1" s="6" t="s">
        <v>705</v>
      </c>
      <c r="V1" s="6" t="s">
        <v>704</v>
      </c>
      <c r="W1" s="6" t="s">
        <v>708</v>
      </c>
      <c r="X1" s="7" t="s">
        <v>9</v>
      </c>
      <c r="Y1" s="7" t="s">
        <v>10</v>
      </c>
      <c r="Z1" s="1" t="s">
        <v>680</v>
      </c>
      <c r="AA1" s="1"/>
      <c r="AB1" s="1"/>
      <c r="AC1" s="1"/>
      <c r="AD1" s="1"/>
      <c r="AE1" s="1"/>
      <c r="AF1" s="1"/>
      <c r="AG1" s="1"/>
      <c r="AH1" s="1"/>
      <c r="AI1" s="1"/>
      <c r="AJ1" s="1"/>
      <c r="AK1" s="1"/>
      <c r="AL1" s="1" t="s">
        <v>2</v>
      </c>
      <c r="AM1" s="8" t="s">
        <v>11</v>
      </c>
      <c r="AN1" s="8" t="s">
        <v>12</v>
      </c>
      <c r="AO1" s="8" t="s">
        <v>13</v>
      </c>
      <c r="AP1" s="8" t="s">
        <v>14</v>
      </c>
      <c r="AQ1" s="8" t="s">
        <v>15</v>
      </c>
      <c r="AR1" s="8" t="s">
        <v>16</v>
      </c>
    </row>
    <row r="2" spans="1:44" ht="229.5" customHeight="1" x14ac:dyDescent="0.25">
      <c r="A2" s="21" t="s">
        <v>205</v>
      </c>
      <c r="B2" s="11">
        <v>1</v>
      </c>
      <c r="C2" s="21"/>
      <c r="D2" s="21"/>
      <c r="E2" s="21"/>
      <c r="F2" s="21"/>
      <c r="G2" s="21"/>
      <c r="H2" s="21"/>
      <c r="I2" s="9" t="s">
        <v>782</v>
      </c>
      <c r="J2" s="9" t="s">
        <v>43</v>
      </c>
      <c r="K2" s="10" t="s">
        <v>710</v>
      </c>
      <c r="L2" s="32" t="s">
        <v>219</v>
      </c>
      <c r="M2" s="31" t="s">
        <v>206</v>
      </c>
      <c r="N2" s="27">
        <f>7552695+148273332</f>
        <v>155826027</v>
      </c>
      <c r="O2" s="33">
        <v>16000000</v>
      </c>
      <c r="P2" s="23">
        <v>27318333</v>
      </c>
      <c r="Q2" s="23">
        <v>337654596</v>
      </c>
      <c r="R2" s="23">
        <v>347784234</v>
      </c>
      <c r="S2" s="23">
        <f>358217761</f>
        <v>358217761</v>
      </c>
      <c r="T2" s="23">
        <f>215229171</f>
        <v>215229171</v>
      </c>
      <c r="U2" s="18">
        <f t="shared" ref="U2" si="0">P2+Q2+R2+S2+T2</f>
        <v>1286204095</v>
      </c>
      <c r="V2" s="18">
        <f t="shared" ref="V2:V12" si="1">U2+N2</f>
        <v>1442030122</v>
      </c>
      <c r="W2" s="18">
        <f t="shared" ref="W2" si="2">V2-O2</f>
        <v>1426030122</v>
      </c>
      <c r="X2" s="24">
        <v>43441</v>
      </c>
      <c r="Y2" s="25">
        <v>44880</v>
      </c>
      <c r="Z2" s="17"/>
      <c r="AA2" s="17"/>
      <c r="AB2" s="13"/>
      <c r="AC2" s="13"/>
      <c r="AD2" s="13"/>
      <c r="AE2" s="13"/>
      <c r="AF2" s="13"/>
      <c r="AG2" s="13"/>
      <c r="AH2" s="13"/>
      <c r="AI2" s="13"/>
      <c r="AJ2" s="13"/>
      <c r="AK2" s="13"/>
      <c r="AL2" s="14" t="s">
        <v>694</v>
      </c>
      <c r="AM2" s="32" t="s">
        <v>207</v>
      </c>
      <c r="AN2" s="19" t="s">
        <v>208</v>
      </c>
      <c r="AO2" s="19" t="s">
        <v>112</v>
      </c>
      <c r="AP2" s="19" t="s">
        <v>113</v>
      </c>
      <c r="AQ2" s="26" t="s">
        <v>209</v>
      </c>
      <c r="AR2" s="19" t="s">
        <v>18</v>
      </c>
    </row>
    <row r="3" spans="1:44" ht="179.25" customHeight="1" x14ac:dyDescent="0.25">
      <c r="A3" s="21" t="s">
        <v>210</v>
      </c>
      <c r="B3" s="21"/>
      <c r="C3" s="36">
        <v>1</v>
      </c>
      <c r="D3" s="21"/>
      <c r="E3" s="21"/>
      <c r="F3" s="21"/>
      <c r="G3" s="21"/>
      <c r="H3" s="21"/>
      <c r="I3" s="9" t="s">
        <v>771</v>
      </c>
      <c r="J3" s="9" t="s">
        <v>660</v>
      </c>
      <c r="K3" s="10" t="s">
        <v>711</v>
      </c>
      <c r="L3" s="32" t="s">
        <v>211</v>
      </c>
      <c r="M3" s="31" t="s">
        <v>212</v>
      </c>
      <c r="N3" s="27">
        <f>578680690+2512813516.5</f>
        <v>3091494206.5</v>
      </c>
      <c r="O3" s="16">
        <v>0</v>
      </c>
      <c r="P3" s="23">
        <v>238263617</v>
      </c>
      <c r="Q3" s="23">
        <v>6080423658</v>
      </c>
      <c r="R3" s="23">
        <v>6066572898</v>
      </c>
      <c r="S3" s="23">
        <f>6248570085</f>
        <v>6248570085</v>
      </c>
      <c r="T3" s="23">
        <v>3754349193</v>
      </c>
      <c r="U3" s="18">
        <f t="shared" ref="U3:U12" si="3">P3+Q3+R3+S3+T3</f>
        <v>22388179451</v>
      </c>
      <c r="V3" s="18">
        <f t="shared" si="1"/>
        <v>25479673657.5</v>
      </c>
      <c r="W3" s="18">
        <f t="shared" ref="W3:W12" si="4">V3-O3</f>
        <v>25479673657.5</v>
      </c>
      <c r="X3" s="24">
        <v>43449</v>
      </c>
      <c r="Y3" s="25">
        <v>44895</v>
      </c>
      <c r="Z3" s="17"/>
      <c r="AA3" s="17"/>
      <c r="AB3" s="13"/>
      <c r="AC3" s="13"/>
      <c r="AD3" s="13"/>
      <c r="AE3" s="13"/>
      <c r="AF3" s="13"/>
      <c r="AG3" s="13"/>
      <c r="AH3" s="13"/>
      <c r="AI3" s="13"/>
      <c r="AJ3" s="13"/>
      <c r="AK3" s="13"/>
      <c r="AL3" s="14" t="s">
        <v>213</v>
      </c>
      <c r="AM3" s="32" t="s">
        <v>673</v>
      </c>
      <c r="AN3" s="19" t="s">
        <v>214</v>
      </c>
      <c r="AO3" s="19" t="s">
        <v>215</v>
      </c>
      <c r="AP3" s="19" t="s">
        <v>216</v>
      </c>
      <c r="AQ3" s="26" t="s">
        <v>646</v>
      </c>
      <c r="AR3" s="19" t="s">
        <v>18</v>
      </c>
    </row>
    <row r="4" spans="1:44" ht="84.95" customHeight="1" x14ac:dyDescent="0.25">
      <c r="A4" s="21" t="s">
        <v>218</v>
      </c>
      <c r="B4" s="11">
        <v>1</v>
      </c>
      <c r="C4" s="21"/>
      <c r="D4" s="21"/>
      <c r="E4" s="21"/>
      <c r="F4" s="21"/>
      <c r="G4" s="21"/>
      <c r="H4" s="21"/>
      <c r="I4" s="9" t="s">
        <v>783</v>
      </c>
      <c r="J4" s="9" t="s">
        <v>657</v>
      </c>
      <c r="K4" s="10" t="s">
        <v>712</v>
      </c>
      <c r="L4" s="32" t="s">
        <v>219</v>
      </c>
      <c r="M4" s="31" t="s">
        <v>669</v>
      </c>
      <c r="N4" s="12">
        <f>19000000+128526000</f>
        <v>147526000</v>
      </c>
      <c r="O4" s="16">
        <v>0</v>
      </c>
      <c r="P4" s="23">
        <v>58675200</v>
      </c>
      <c r="Q4" s="23">
        <v>688397616</v>
      </c>
      <c r="R4" s="23">
        <v>709051644</v>
      </c>
      <c r="S4" s="23">
        <v>730326780</v>
      </c>
      <c r="T4" s="23">
        <v>427714260</v>
      </c>
      <c r="U4" s="18">
        <f t="shared" si="3"/>
        <v>2614165500</v>
      </c>
      <c r="V4" s="18">
        <f t="shared" si="1"/>
        <v>2761691500</v>
      </c>
      <c r="W4" s="18">
        <f t="shared" si="4"/>
        <v>2761691500</v>
      </c>
      <c r="X4" s="24">
        <v>43444</v>
      </c>
      <c r="Y4" s="25">
        <v>44880</v>
      </c>
      <c r="Z4" s="17"/>
      <c r="AA4" s="17"/>
      <c r="AB4" s="13"/>
      <c r="AC4" s="13"/>
      <c r="AD4" s="13"/>
      <c r="AE4" s="13"/>
      <c r="AF4" s="13"/>
      <c r="AG4" s="13"/>
      <c r="AH4" s="13"/>
      <c r="AI4" s="13"/>
      <c r="AJ4" s="13"/>
      <c r="AK4" s="13"/>
      <c r="AL4" s="14" t="s">
        <v>686</v>
      </c>
      <c r="AM4" s="32" t="s">
        <v>207</v>
      </c>
      <c r="AN4" s="19" t="s">
        <v>208</v>
      </c>
      <c r="AO4" s="19" t="s">
        <v>112</v>
      </c>
      <c r="AP4" s="19" t="s">
        <v>113</v>
      </c>
      <c r="AQ4" s="26" t="s">
        <v>209</v>
      </c>
      <c r="AR4" s="19" t="s">
        <v>18</v>
      </c>
    </row>
    <row r="5" spans="1:44" ht="317.25" customHeight="1" x14ac:dyDescent="0.25">
      <c r="A5" s="21" t="s">
        <v>221</v>
      </c>
      <c r="B5" s="11">
        <v>1</v>
      </c>
      <c r="C5" s="21"/>
      <c r="D5" s="21"/>
      <c r="E5" s="21"/>
      <c r="F5" s="21"/>
      <c r="G5" s="21"/>
      <c r="H5" s="21"/>
      <c r="I5" s="9" t="s">
        <v>784</v>
      </c>
      <c r="J5" s="9" t="s">
        <v>96</v>
      </c>
      <c r="K5" s="10" t="s">
        <v>713</v>
      </c>
      <c r="L5" s="32" t="s">
        <v>114</v>
      </c>
      <c r="M5" s="31" t="s">
        <v>222</v>
      </c>
      <c r="N5" s="27">
        <f>170000000+125000000</f>
        <v>295000000</v>
      </c>
      <c r="O5" s="16">
        <v>0</v>
      </c>
      <c r="P5" s="23">
        <v>250000000</v>
      </c>
      <c r="Q5" s="23">
        <v>510000000</v>
      </c>
      <c r="R5" s="23">
        <f>510000000</f>
        <v>510000000</v>
      </c>
      <c r="S5" s="23">
        <v>510000000</v>
      </c>
      <c r="T5" s="23">
        <v>250000000</v>
      </c>
      <c r="U5" s="18">
        <f t="shared" si="3"/>
        <v>2030000000</v>
      </c>
      <c r="V5" s="18">
        <f t="shared" si="1"/>
        <v>2325000000</v>
      </c>
      <c r="W5" s="18">
        <f t="shared" si="4"/>
        <v>2325000000</v>
      </c>
      <c r="X5" s="24">
        <v>43447</v>
      </c>
      <c r="Y5" s="25">
        <v>44865</v>
      </c>
      <c r="Z5" s="17"/>
      <c r="AA5" s="17"/>
      <c r="AB5" s="34"/>
      <c r="AC5" s="34"/>
      <c r="AD5" s="34"/>
      <c r="AE5" s="34"/>
      <c r="AF5" s="34"/>
      <c r="AG5" s="34"/>
      <c r="AH5" s="34"/>
      <c r="AI5" s="34"/>
      <c r="AJ5" s="34"/>
      <c r="AK5" s="34"/>
      <c r="AL5" s="14" t="s">
        <v>81</v>
      </c>
      <c r="AM5" s="32" t="s">
        <v>115</v>
      </c>
      <c r="AN5" s="19" t="s">
        <v>116</v>
      </c>
      <c r="AO5" s="19" t="s">
        <v>223</v>
      </c>
      <c r="AP5" s="19" t="s">
        <v>117</v>
      </c>
      <c r="AQ5" s="26" t="s">
        <v>118</v>
      </c>
      <c r="AR5" s="19" t="s">
        <v>18</v>
      </c>
    </row>
    <row r="6" spans="1:44" ht="127.5" customHeight="1" x14ac:dyDescent="0.25">
      <c r="A6" s="21" t="s">
        <v>224</v>
      </c>
      <c r="B6" s="21"/>
      <c r="C6" s="36">
        <v>1</v>
      </c>
      <c r="D6" s="21"/>
      <c r="E6" s="21"/>
      <c r="F6" s="21"/>
      <c r="G6" s="21"/>
      <c r="H6" s="21"/>
      <c r="I6" s="9" t="s">
        <v>815</v>
      </c>
      <c r="J6" s="9" t="s">
        <v>21</v>
      </c>
      <c r="K6" s="10" t="s">
        <v>714</v>
      </c>
      <c r="L6" s="32" t="s">
        <v>225</v>
      </c>
      <c r="M6" s="31" t="s">
        <v>226</v>
      </c>
      <c r="N6" s="12">
        <f>8625620+144000000</f>
        <v>152625620</v>
      </c>
      <c r="O6" s="16">
        <v>0</v>
      </c>
      <c r="P6" s="23">
        <v>22897200</v>
      </c>
      <c r="Q6" s="23">
        <f>567374380</f>
        <v>567374380</v>
      </c>
      <c r="R6" s="23">
        <v>584395610</v>
      </c>
      <c r="S6" s="23">
        <v>601927480</v>
      </c>
      <c r="T6" s="23">
        <v>361658100</v>
      </c>
      <c r="U6" s="18">
        <f t="shared" si="3"/>
        <v>2138252770</v>
      </c>
      <c r="V6" s="18">
        <f t="shared" si="1"/>
        <v>2290878390</v>
      </c>
      <c r="W6" s="18">
        <f t="shared" si="4"/>
        <v>2290878390</v>
      </c>
      <c r="X6" s="24">
        <v>43447</v>
      </c>
      <c r="Y6" s="25">
        <v>44880</v>
      </c>
      <c r="Z6" s="17"/>
      <c r="AA6" s="17"/>
      <c r="AB6" s="34"/>
      <c r="AC6" s="34"/>
      <c r="AD6" s="34"/>
      <c r="AE6" s="34"/>
      <c r="AF6" s="34"/>
      <c r="AG6" s="34"/>
      <c r="AH6" s="34"/>
      <c r="AI6" s="34"/>
      <c r="AJ6" s="34"/>
      <c r="AK6" s="34"/>
      <c r="AL6" s="14" t="s">
        <v>688</v>
      </c>
      <c r="AM6" s="32" t="s">
        <v>227</v>
      </c>
      <c r="AN6" s="19" t="s">
        <v>228</v>
      </c>
      <c r="AO6" s="19" t="s">
        <v>229</v>
      </c>
      <c r="AP6" s="19" t="s">
        <v>651</v>
      </c>
      <c r="AQ6" s="26" t="s">
        <v>230</v>
      </c>
      <c r="AR6" s="19" t="s">
        <v>18</v>
      </c>
    </row>
    <row r="7" spans="1:44" ht="84.95" customHeight="1" x14ac:dyDescent="0.25">
      <c r="A7" s="21" t="s">
        <v>231</v>
      </c>
      <c r="B7" s="11">
        <v>1</v>
      </c>
      <c r="C7" s="21"/>
      <c r="D7" s="21"/>
      <c r="E7" s="21"/>
      <c r="F7" s="21"/>
      <c r="G7" s="21"/>
      <c r="H7" s="21"/>
      <c r="I7" s="9" t="s">
        <v>82</v>
      </c>
      <c r="J7" s="9" t="s">
        <v>657</v>
      </c>
      <c r="K7" s="10" t="e">
        <v>#N/A</v>
      </c>
      <c r="L7" s="32" t="s">
        <v>232</v>
      </c>
      <c r="M7" s="31" t="s">
        <v>233</v>
      </c>
      <c r="N7" s="12">
        <v>595518</v>
      </c>
      <c r="O7" s="33">
        <v>367403134</v>
      </c>
      <c r="P7" s="23">
        <v>60586940</v>
      </c>
      <c r="Q7" s="23">
        <v>750040940</v>
      </c>
      <c r="R7" s="23">
        <f>772542170</f>
        <v>772542170</v>
      </c>
      <c r="S7" s="23">
        <v>795718440</v>
      </c>
      <c r="T7" s="23">
        <v>478094160</v>
      </c>
      <c r="U7" s="18">
        <f t="shared" si="3"/>
        <v>2856982650</v>
      </c>
      <c r="V7" s="18">
        <f t="shared" si="1"/>
        <v>2857578168</v>
      </c>
      <c r="W7" s="18">
        <f t="shared" si="4"/>
        <v>2490175034</v>
      </c>
      <c r="X7" s="24">
        <v>43447</v>
      </c>
      <c r="Y7" s="25">
        <v>44880</v>
      </c>
      <c r="Z7" s="17"/>
      <c r="AA7" s="17"/>
      <c r="AB7" s="13"/>
      <c r="AC7" s="13"/>
      <c r="AD7" s="13"/>
      <c r="AE7" s="13"/>
      <c r="AF7" s="13"/>
      <c r="AG7" s="13"/>
      <c r="AH7" s="13"/>
      <c r="AI7" s="13"/>
      <c r="AJ7" s="13"/>
      <c r="AK7" s="13"/>
      <c r="AL7" s="14" t="s">
        <v>769</v>
      </c>
      <c r="AM7" s="32" t="s">
        <v>234</v>
      </c>
      <c r="AN7" s="19" t="s">
        <v>768</v>
      </c>
      <c r="AO7" s="19" t="s">
        <v>112</v>
      </c>
      <c r="AP7" s="19" t="s">
        <v>113</v>
      </c>
      <c r="AQ7" s="26" t="s">
        <v>236</v>
      </c>
      <c r="AR7" s="19" t="s">
        <v>18</v>
      </c>
    </row>
    <row r="8" spans="1:44" ht="84.95" customHeight="1" x14ac:dyDescent="0.25">
      <c r="A8" s="21" t="s">
        <v>237</v>
      </c>
      <c r="B8" s="21"/>
      <c r="C8" s="36">
        <v>1</v>
      </c>
      <c r="D8" s="21"/>
      <c r="E8" s="21"/>
      <c r="F8" s="21"/>
      <c r="G8" s="21"/>
      <c r="H8" s="21"/>
      <c r="I8" s="9" t="s">
        <v>772</v>
      </c>
      <c r="J8" s="9" t="s">
        <v>21</v>
      </c>
      <c r="K8" s="10" t="s">
        <v>715</v>
      </c>
      <c r="L8" s="32" t="s">
        <v>159</v>
      </c>
      <c r="M8" s="31" t="s">
        <v>238</v>
      </c>
      <c r="N8" s="12">
        <f>70000000+174460000</f>
        <v>244460000</v>
      </c>
      <c r="O8" s="16">
        <v>25</v>
      </c>
      <c r="P8" s="23">
        <v>20000000</v>
      </c>
      <c r="Q8" s="23">
        <v>366525670</v>
      </c>
      <c r="R8" s="23">
        <v>377521440</v>
      </c>
      <c r="S8" s="23">
        <f>388847000</f>
        <v>388847000</v>
      </c>
      <c r="T8" s="23">
        <v>233632290</v>
      </c>
      <c r="U8" s="18">
        <f t="shared" si="3"/>
        <v>1386526400</v>
      </c>
      <c r="V8" s="18">
        <f t="shared" si="1"/>
        <v>1630986400</v>
      </c>
      <c r="W8" s="18">
        <f t="shared" si="4"/>
        <v>1630986375</v>
      </c>
      <c r="X8" s="24">
        <v>43448</v>
      </c>
      <c r="Y8" s="25">
        <v>44880</v>
      </c>
      <c r="Z8" s="17"/>
      <c r="AA8" s="17"/>
      <c r="AB8" s="13"/>
      <c r="AC8" s="13"/>
      <c r="AD8" s="13"/>
      <c r="AE8" s="13"/>
      <c r="AF8" s="13"/>
      <c r="AG8" s="13"/>
      <c r="AH8" s="13"/>
      <c r="AI8" s="13"/>
      <c r="AJ8" s="13"/>
      <c r="AK8" s="13"/>
      <c r="AL8" s="14" t="s">
        <v>820</v>
      </c>
      <c r="AM8" s="32" t="s">
        <v>239</v>
      </c>
      <c r="AN8" s="19" t="s">
        <v>240</v>
      </c>
      <c r="AO8" s="19" t="s">
        <v>97</v>
      </c>
      <c r="AP8" s="19" t="s">
        <v>98</v>
      </c>
      <c r="AQ8" s="26" t="s">
        <v>99</v>
      </c>
      <c r="AR8" s="19" t="s">
        <v>18</v>
      </c>
    </row>
    <row r="9" spans="1:44" ht="84.95" customHeight="1" x14ac:dyDescent="0.25">
      <c r="A9" s="21" t="s">
        <v>241</v>
      </c>
      <c r="B9" s="21"/>
      <c r="C9" s="36">
        <v>1</v>
      </c>
      <c r="D9" s="21"/>
      <c r="E9" s="21"/>
      <c r="F9" s="21"/>
      <c r="G9" s="21"/>
      <c r="H9" s="21"/>
      <c r="I9" s="9" t="s">
        <v>773</v>
      </c>
      <c r="J9" s="9" t="s">
        <v>17</v>
      </c>
      <c r="K9" s="10" t="s">
        <v>716</v>
      </c>
      <c r="L9" s="32" t="s">
        <v>242</v>
      </c>
      <c r="M9" s="31" t="s">
        <v>243</v>
      </c>
      <c r="N9" s="12">
        <v>913064593</v>
      </c>
      <c r="O9" s="16">
        <v>0</v>
      </c>
      <c r="P9" s="23">
        <v>90263732</v>
      </c>
      <c r="Q9" s="23">
        <v>2257315397</v>
      </c>
      <c r="R9" s="23">
        <v>2352122644</v>
      </c>
      <c r="S9" s="23">
        <v>2450911795</v>
      </c>
      <c r="T9" s="23">
        <v>1489745886</v>
      </c>
      <c r="U9" s="18">
        <f t="shared" si="3"/>
        <v>8640359454</v>
      </c>
      <c r="V9" s="18">
        <f t="shared" si="1"/>
        <v>9553424047</v>
      </c>
      <c r="W9" s="18">
        <f t="shared" si="4"/>
        <v>9553424047</v>
      </c>
      <c r="X9" s="24">
        <v>43453</v>
      </c>
      <c r="Y9" s="25">
        <v>44895</v>
      </c>
      <c r="Z9" s="17"/>
      <c r="AA9" s="17"/>
      <c r="AB9" s="13"/>
      <c r="AC9" s="13"/>
      <c r="AD9" s="13"/>
      <c r="AE9" s="13"/>
      <c r="AF9" s="13"/>
      <c r="AG9" s="13"/>
      <c r="AH9" s="13"/>
      <c r="AI9" s="13"/>
      <c r="AJ9" s="13"/>
      <c r="AK9" s="13"/>
      <c r="AL9" s="14" t="s">
        <v>693</v>
      </c>
      <c r="AM9" s="32" t="s">
        <v>244</v>
      </c>
      <c r="AN9" s="19" t="s">
        <v>245</v>
      </c>
      <c r="AO9" s="19" t="s">
        <v>246</v>
      </c>
      <c r="AP9" s="19" t="s">
        <v>247</v>
      </c>
      <c r="AQ9" s="26" t="s">
        <v>248</v>
      </c>
      <c r="AR9" s="19" t="s">
        <v>18</v>
      </c>
    </row>
    <row r="10" spans="1:44" ht="84.95" customHeight="1" x14ac:dyDescent="0.25">
      <c r="A10" s="21" t="s">
        <v>249</v>
      </c>
      <c r="B10" s="21"/>
      <c r="C10" s="36">
        <v>1</v>
      </c>
      <c r="D10" s="21"/>
      <c r="E10" s="21"/>
      <c r="F10" s="21"/>
      <c r="G10" s="21"/>
      <c r="H10" s="21"/>
      <c r="I10" s="9" t="s">
        <v>774</v>
      </c>
      <c r="J10" s="9" t="s">
        <v>658</v>
      </c>
      <c r="K10" s="10" t="s">
        <v>717</v>
      </c>
      <c r="L10" s="32" t="s">
        <v>250</v>
      </c>
      <c r="M10" s="31" t="s">
        <v>251</v>
      </c>
      <c r="N10" s="12">
        <f>1010000000+920000000</f>
        <v>1930000000</v>
      </c>
      <c r="O10" s="16">
        <v>0</v>
      </c>
      <c r="P10" s="23">
        <v>221450000</v>
      </c>
      <c r="Q10" s="23">
        <v>548753840</v>
      </c>
      <c r="R10" s="23">
        <v>5651974460</v>
      </c>
      <c r="S10" s="23">
        <v>5821533690</v>
      </c>
      <c r="T10" s="23">
        <v>3497771490</v>
      </c>
      <c r="U10" s="18">
        <f t="shared" si="3"/>
        <v>15741483480</v>
      </c>
      <c r="V10" s="18">
        <f t="shared" si="1"/>
        <v>17671483480</v>
      </c>
      <c r="W10" s="18">
        <f t="shared" si="4"/>
        <v>17671483480</v>
      </c>
      <c r="X10" s="24">
        <v>43448</v>
      </c>
      <c r="Y10" s="25">
        <v>44880</v>
      </c>
      <c r="Z10" s="17"/>
      <c r="AA10" s="17"/>
      <c r="AB10" s="13"/>
      <c r="AC10" s="13"/>
      <c r="AD10" s="13"/>
      <c r="AE10" s="13"/>
      <c r="AF10" s="13"/>
      <c r="AG10" s="13"/>
      <c r="AH10" s="13"/>
      <c r="AI10" s="13"/>
      <c r="AJ10" s="13"/>
      <c r="AK10" s="13"/>
      <c r="AL10" s="14" t="s">
        <v>687</v>
      </c>
      <c r="AM10" s="32" t="s">
        <v>252</v>
      </c>
      <c r="AN10" s="19" t="s">
        <v>253</v>
      </c>
      <c r="AO10" s="19" t="s">
        <v>254</v>
      </c>
      <c r="AP10" s="19" t="s">
        <v>255</v>
      </c>
      <c r="AQ10" s="26" t="s">
        <v>256</v>
      </c>
      <c r="AR10" s="19" t="s">
        <v>18</v>
      </c>
    </row>
    <row r="11" spans="1:44" ht="115.5" customHeight="1" x14ac:dyDescent="0.25">
      <c r="A11" s="21" t="s">
        <v>257</v>
      </c>
      <c r="B11" s="11">
        <v>1</v>
      </c>
      <c r="C11" s="21"/>
      <c r="D11" s="21"/>
      <c r="E11" s="21"/>
      <c r="F11" s="21"/>
      <c r="G11" s="21"/>
      <c r="H11" s="21"/>
      <c r="I11" s="9" t="s">
        <v>785</v>
      </c>
      <c r="J11" s="9" t="s">
        <v>657</v>
      </c>
      <c r="K11" s="10" t="s">
        <v>718</v>
      </c>
      <c r="L11" s="32" t="s">
        <v>258</v>
      </c>
      <c r="M11" s="31" t="s">
        <v>259</v>
      </c>
      <c r="N11" s="12">
        <f>184518462+55000000+346500000</f>
        <v>586018462</v>
      </c>
      <c r="O11" s="33">
        <v>130000000</v>
      </c>
      <c r="P11" s="23">
        <v>41142330</v>
      </c>
      <c r="Q11" s="23">
        <f>509737050</f>
        <v>509737050</v>
      </c>
      <c r="R11" s="23">
        <f>525029160</f>
        <v>525029160</v>
      </c>
      <c r="S11" s="23">
        <f>540780030</f>
        <v>540780030</v>
      </c>
      <c r="T11" s="23">
        <v>324918670</v>
      </c>
      <c r="U11" s="18">
        <f t="shared" si="3"/>
        <v>1941607240</v>
      </c>
      <c r="V11" s="18">
        <f t="shared" si="1"/>
        <v>2527625702</v>
      </c>
      <c r="W11" s="18">
        <f t="shared" si="4"/>
        <v>2397625702</v>
      </c>
      <c r="X11" s="24">
        <v>43453</v>
      </c>
      <c r="Y11" s="25">
        <v>44880</v>
      </c>
      <c r="Z11" s="17"/>
      <c r="AA11" s="17"/>
      <c r="AB11" s="13"/>
      <c r="AC11" s="13"/>
      <c r="AD11" s="13"/>
      <c r="AE11" s="13"/>
      <c r="AF11" s="13"/>
      <c r="AG11" s="13"/>
      <c r="AH11" s="13"/>
      <c r="AI11" s="13"/>
      <c r="AJ11" s="13"/>
      <c r="AK11" s="13"/>
      <c r="AL11" s="14" t="s">
        <v>691</v>
      </c>
      <c r="AM11" s="32" t="s">
        <v>260</v>
      </c>
      <c r="AN11" s="19" t="s">
        <v>767</v>
      </c>
      <c r="AO11" s="19" t="s">
        <v>261</v>
      </c>
      <c r="AP11" s="19" t="s">
        <v>262</v>
      </c>
      <c r="AQ11" s="26" t="s">
        <v>263</v>
      </c>
      <c r="AR11" s="19" t="s">
        <v>18</v>
      </c>
    </row>
    <row r="12" spans="1:44" ht="84.95" customHeight="1" x14ac:dyDescent="0.25">
      <c r="A12" s="21" t="s">
        <v>264</v>
      </c>
      <c r="B12" s="11">
        <v>1</v>
      </c>
      <c r="C12" s="21"/>
      <c r="D12" s="21"/>
      <c r="E12" s="21"/>
      <c r="F12" s="21"/>
      <c r="G12" s="21"/>
      <c r="H12" s="21"/>
      <c r="I12" s="9" t="s">
        <v>786</v>
      </c>
      <c r="J12" s="22" t="s">
        <v>21</v>
      </c>
      <c r="K12" s="10" t="s">
        <v>719</v>
      </c>
      <c r="L12" s="32" t="s">
        <v>127</v>
      </c>
      <c r="M12" s="31" t="s">
        <v>265</v>
      </c>
      <c r="N12" s="12">
        <v>0</v>
      </c>
      <c r="O12" s="33">
        <f>115000000+30000000</f>
        <v>145000000</v>
      </c>
      <c r="P12" s="23">
        <v>52122000</v>
      </c>
      <c r="Q12" s="23">
        <v>80000000</v>
      </c>
      <c r="R12" s="23">
        <f>80000000</f>
        <v>80000000</v>
      </c>
      <c r="S12" s="23">
        <f>80000000</f>
        <v>80000000</v>
      </c>
      <c r="T12" s="23">
        <v>40000000</v>
      </c>
      <c r="U12" s="18">
        <f t="shared" si="3"/>
        <v>332122000</v>
      </c>
      <c r="V12" s="18">
        <f t="shared" si="1"/>
        <v>332122000</v>
      </c>
      <c r="W12" s="18">
        <f t="shared" si="4"/>
        <v>187122000</v>
      </c>
      <c r="X12" s="24">
        <v>43452</v>
      </c>
      <c r="Y12" s="25">
        <v>44883</v>
      </c>
      <c r="Z12" s="17"/>
      <c r="AA12" s="17"/>
      <c r="AB12" s="13"/>
      <c r="AC12" s="13"/>
      <c r="AD12" s="13"/>
      <c r="AE12" s="13"/>
      <c r="AF12" s="13"/>
      <c r="AG12" s="13"/>
      <c r="AH12" s="13"/>
      <c r="AI12" s="13"/>
      <c r="AJ12" s="13"/>
      <c r="AK12" s="13"/>
      <c r="AL12" s="14" t="s">
        <v>81</v>
      </c>
      <c r="AM12" s="32" t="s">
        <v>266</v>
      </c>
      <c r="AN12" s="19" t="s">
        <v>128</v>
      </c>
      <c r="AO12" s="19" t="s">
        <v>129</v>
      </c>
      <c r="AP12" s="19" t="s">
        <v>130</v>
      </c>
      <c r="AQ12" s="26" t="s">
        <v>131</v>
      </c>
      <c r="AR12" s="19" t="s">
        <v>18</v>
      </c>
    </row>
    <row r="13" spans="1:44" ht="227.25" customHeight="1" x14ac:dyDescent="0.25">
      <c r="A13" s="21" t="s">
        <v>268</v>
      </c>
      <c r="B13" s="11">
        <v>1</v>
      </c>
      <c r="C13" s="21"/>
      <c r="D13" s="21"/>
      <c r="E13" s="21"/>
      <c r="F13" s="21"/>
      <c r="G13" s="21"/>
      <c r="H13" s="21"/>
      <c r="I13" s="9" t="s">
        <v>787</v>
      </c>
      <c r="J13" s="9" t="s">
        <v>657</v>
      </c>
      <c r="K13" s="10" t="s">
        <v>720</v>
      </c>
      <c r="L13" s="32" t="s">
        <v>269</v>
      </c>
      <c r="M13" s="31" t="s">
        <v>270</v>
      </c>
      <c r="N13" s="12">
        <v>2553000000</v>
      </c>
      <c r="O13" s="33">
        <f>100000000+800000000+500000000+1000000000+700000000</f>
        <v>3100000000</v>
      </c>
      <c r="P13" s="23">
        <f>512643980</f>
        <v>512643980</v>
      </c>
      <c r="Q13" s="23">
        <f>6351453850</f>
        <v>6351453850</v>
      </c>
      <c r="R13" s="23">
        <f>6541997470</f>
        <v>6541997470</v>
      </c>
      <c r="S13" s="23">
        <f>6738257390</f>
        <v>6738257390</v>
      </c>
      <c r="T13" s="23">
        <v>4048569650</v>
      </c>
      <c r="U13" s="18">
        <f t="shared" ref="U13:U50" si="5">P13+Q13+R13+S13+T13</f>
        <v>24192922340</v>
      </c>
      <c r="V13" s="18">
        <f t="shared" ref="V13:V48" si="6">U13+N13</f>
        <v>26745922340</v>
      </c>
      <c r="W13" s="18">
        <f t="shared" ref="W13:W50" si="7">V13-O13</f>
        <v>23645922340</v>
      </c>
      <c r="X13" s="24">
        <v>43453</v>
      </c>
      <c r="Y13" s="25">
        <v>44880</v>
      </c>
      <c r="Z13" s="17"/>
      <c r="AA13" s="17"/>
      <c r="AB13" s="13"/>
      <c r="AC13" s="13"/>
      <c r="AD13" s="13"/>
      <c r="AE13" s="13"/>
      <c r="AF13" s="13"/>
      <c r="AG13" s="13"/>
      <c r="AH13" s="13"/>
      <c r="AI13" s="13"/>
      <c r="AJ13" s="13"/>
      <c r="AK13" s="13"/>
      <c r="AL13" s="14" t="s">
        <v>682</v>
      </c>
      <c r="AM13" s="32" t="s">
        <v>271</v>
      </c>
      <c r="AN13" s="19" t="s">
        <v>761</v>
      </c>
      <c r="AO13" s="19" t="s">
        <v>272</v>
      </c>
      <c r="AP13" s="19" t="s">
        <v>273</v>
      </c>
      <c r="AQ13" s="26" t="s">
        <v>274</v>
      </c>
      <c r="AR13" s="19" t="s">
        <v>18</v>
      </c>
    </row>
    <row r="14" spans="1:44" ht="130.5" customHeight="1" x14ac:dyDescent="0.25">
      <c r="A14" s="21" t="s">
        <v>639</v>
      </c>
      <c r="B14" s="11">
        <v>1</v>
      </c>
      <c r="C14" s="21"/>
      <c r="D14" s="21"/>
      <c r="E14" s="21"/>
      <c r="F14" s="21"/>
      <c r="G14" s="21"/>
      <c r="H14" s="21"/>
      <c r="I14" s="9" t="s">
        <v>788</v>
      </c>
      <c r="J14" s="9" t="s">
        <v>657</v>
      </c>
      <c r="K14" s="10" t="s">
        <v>721</v>
      </c>
      <c r="L14" s="32" t="s">
        <v>219</v>
      </c>
      <c r="M14" s="31" t="s">
        <v>665</v>
      </c>
      <c r="N14" s="27">
        <f>550059337+202946472</f>
        <v>753005809</v>
      </c>
      <c r="O14" s="16">
        <v>0</v>
      </c>
      <c r="P14" s="23">
        <v>50555411</v>
      </c>
      <c r="Q14" s="23">
        <f>623129152</f>
        <v>623129152</v>
      </c>
      <c r="R14" s="23">
        <f>643610826</f>
        <v>643610826</v>
      </c>
      <c r="S14" s="23">
        <f>662919151</f>
        <v>662919151</v>
      </c>
      <c r="T14" s="23">
        <v>398303923</v>
      </c>
      <c r="U14" s="18">
        <f t="shared" si="5"/>
        <v>2378518463</v>
      </c>
      <c r="V14" s="18">
        <f t="shared" si="6"/>
        <v>3131524272</v>
      </c>
      <c r="W14" s="18">
        <f t="shared" si="7"/>
        <v>3131524272</v>
      </c>
      <c r="X14" s="24">
        <v>43461</v>
      </c>
      <c r="Y14" s="25">
        <v>44880</v>
      </c>
      <c r="Z14" s="17"/>
      <c r="AA14" s="17"/>
      <c r="AB14" s="13"/>
      <c r="AC14" s="13"/>
      <c r="AD14" s="13"/>
      <c r="AE14" s="13"/>
      <c r="AF14" s="13"/>
      <c r="AG14" s="13"/>
      <c r="AH14" s="13"/>
      <c r="AI14" s="13"/>
      <c r="AJ14" s="13"/>
      <c r="AK14" s="13"/>
      <c r="AL14" s="14" t="s">
        <v>686</v>
      </c>
      <c r="AM14" s="32" t="s">
        <v>207</v>
      </c>
      <c r="AN14" s="19" t="s">
        <v>666</v>
      </c>
      <c r="AO14" s="19" t="s">
        <v>667</v>
      </c>
      <c r="AP14" s="19" t="s">
        <v>113</v>
      </c>
      <c r="AQ14" s="26" t="s">
        <v>668</v>
      </c>
      <c r="AR14" s="19" t="s">
        <v>18</v>
      </c>
    </row>
    <row r="15" spans="1:44" ht="159" customHeight="1" x14ac:dyDescent="0.25">
      <c r="A15" s="21" t="s">
        <v>632</v>
      </c>
      <c r="B15" s="11">
        <v>1</v>
      </c>
      <c r="C15" s="21"/>
      <c r="D15" s="21"/>
      <c r="E15" s="21"/>
      <c r="F15" s="21"/>
      <c r="G15" s="21"/>
      <c r="H15" s="21"/>
      <c r="I15" s="9" t="s">
        <v>789</v>
      </c>
      <c r="J15" s="9" t="s">
        <v>657</v>
      </c>
      <c r="K15" s="10" t="s">
        <v>722</v>
      </c>
      <c r="L15" s="32" t="s">
        <v>633</v>
      </c>
      <c r="M15" s="31" t="s">
        <v>643</v>
      </c>
      <c r="N15" s="12">
        <v>0</v>
      </c>
      <c r="O15" s="33">
        <f>430000000+700000000+1400000000+230000000+1190000000+710000000</f>
        <v>4660000000</v>
      </c>
      <c r="P15" s="23">
        <v>223265210</v>
      </c>
      <c r="Q15" s="23">
        <f>2459355860</f>
        <v>2459355860</v>
      </c>
      <c r="R15" s="23">
        <f>2976036541</f>
        <v>2976036541</v>
      </c>
      <c r="S15" s="23">
        <f>3065317638</f>
        <v>3065317638</v>
      </c>
      <c r="T15" s="23">
        <v>1841745018</v>
      </c>
      <c r="U15" s="18">
        <f t="shared" si="5"/>
        <v>10565720267</v>
      </c>
      <c r="V15" s="18">
        <f t="shared" si="6"/>
        <v>10565720267</v>
      </c>
      <c r="W15" s="18">
        <f t="shared" si="7"/>
        <v>5905720267</v>
      </c>
      <c r="X15" s="24">
        <v>43453</v>
      </c>
      <c r="Y15" s="25">
        <v>44880</v>
      </c>
      <c r="Z15" s="17"/>
      <c r="AA15" s="17"/>
      <c r="AB15" s="13"/>
      <c r="AC15" s="13"/>
      <c r="AD15" s="13"/>
      <c r="AE15" s="13"/>
      <c r="AF15" s="13"/>
      <c r="AG15" s="13"/>
      <c r="AH15" s="13"/>
      <c r="AI15" s="13"/>
      <c r="AJ15" s="13"/>
      <c r="AK15" s="13"/>
      <c r="AL15" s="14" t="s">
        <v>28</v>
      </c>
      <c r="AM15" s="32" t="s">
        <v>634</v>
      </c>
      <c r="AN15" s="19" t="s">
        <v>638</v>
      </c>
      <c r="AO15" s="19" t="s">
        <v>635</v>
      </c>
      <c r="AP15" s="19" t="s">
        <v>636</v>
      </c>
      <c r="AQ15" s="26" t="s">
        <v>637</v>
      </c>
      <c r="AR15" s="19" t="s">
        <v>18</v>
      </c>
    </row>
    <row r="16" spans="1:44" ht="84.95" customHeight="1" x14ac:dyDescent="0.25">
      <c r="A16" s="21" t="s">
        <v>276</v>
      </c>
      <c r="B16" s="11">
        <v>1</v>
      </c>
      <c r="C16" s="21"/>
      <c r="D16" s="21"/>
      <c r="E16" s="21"/>
      <c r="F16" s="21"/>
      <c r="G16" s="21"/>
      <c r="H16" s="21"/>
      <c r="I16" s="9" t="s">
        <v>790</v>
      </c>
      <c r="J16" s="22" t="s">
        <v>21</v>
      </c>
      <c r="K16" s="10" t="s">
        <v>723</v>
      </c>
      <c r="L16" s="32" t="s">
        <v>277</v>
      </c>
      <c r="M16" s="31" t="s">
        <v>278</v>
      </c>
      <c r="N16" s="12">
        <v>60744553</v>
      </c>
      <c r="O16" s="16">
        <v>0</v>
      </c>
      <c r="P16" s="23">
        <v>46000000</v>
      </c>
      <c r="Q16" s="23">
        <v>90000000</v>
      </c>
      <c r="R16" s="23">
        <f>80000000</f>
        <v>80000000</v>
      </c>
      <c r="S16" s="23">
        <f>90000000</f>
        <v>90000000</v>
      </c>
      <c r="T16" s="23">
        <v>80000000</v>
      </c>
      <c r="U16" s="18">
        <f t="shared" si="5"/>
        <v>386000000</v>
      </c>
      <c r="V16" s="18">
        <f t="shared" si="6"/>
        <v>446744553</v>
      </c>
      <c r="W16" s="18">
        <f t="shared" si="7"/>
        <v>446744553</v>
      </c>
      <c r="X16" s="24">
        <v>43453</v>
      </c>
      <c r="Y16" s="25">
        <v>44883</v>
      </c>
      <c r="Z16" s="17"/>
      <c r="AA16" s="17"/>
      <c r="AB16" s="13"/>
      <c r="AC16" s="13"/>
      <c r="AD16" s="13"/>
      <c r="AE16" s="13"/>
      <c r="AF16" s="13"/>
      <c r="AG16" s="13"/>
      <c r="AH16" s="13"/>
      <c r="AI16" s="13"/>
      <c r="AJ16" s="13"/>
      <c r="AK16" s="13"/>
      <c r="AL16" s="14" t="s">
        <v>81</v>
      </c>
      <c r="AM16" s="32" t="s">
        <v>100</v>
      </c>
      <c r="AN16" s="19" t="s">
        <v>101</v>
      </c>
      <c r="AO16" s="19" t="s">
        <v>279</v>
      </c>
      <c r="AP16" s="19" t="s">
        <v>102</v>
      </c>
      <c r="AQ16" s="26" t="s">
        <v>103</v>
      </c>
      <c r="AR16" s="19" t="s">
        <v>160</v>
      </c>
    </row>
    <row r="17" spans="1:44" ht="84.95" customHeight="1" x14ac:dyDescent="0.25">
      <c r="A17" s="21" t="s">
        <v>280</v>
      </c>
      <c r="B17" s="11">
        <v>1</v>
      </c>
      <c r="C17" s="21"/>
      <c r="D17" s="21"/>
      <c r="E17" s="21"/>
      <c r="F17" s="21"/>
      <c r="G17" s="21"/>
      <c r="H17" s="21"/>
      <c r="I17" s="9" t="s">
        <v>791</v>
      </c>
      <c r="J17" s="9" t="s">
        <v>21</v>
      </c>
      <c r="K17" s="10" t="s">
        <v>724</v>
      </c>
      <c r="L17" s="32" t="s">
        <v>281</v>
      </c>
      <c r="M17" s="31" t="s">
        <v>282</v>
      </c>
      <c r="N17" s="12">
        <v>0</v>
      </c>
      <c r="O17" s="16">
        <v>0</v>
      </c>
      <c r="P17" s="23">
        <v>174000000</v>
      </c>
      <c r="Q17" s="23">
        <v>230000000</v>
      </c>
      <c r="R17" s="23">
        <v>230000000</v>
      </c>
      <c r="S17" s="23">
        <v>230000000</v>
      </c>
      <c r="T17" s="23">
        <v>135753630</v>
      </c>
      <c r="U17" s="18">
        <f t="shared" si="5"/>
        <v>999753630</v>
      </c>
      <c r="V17" s="18">
        <f t="shared" si="6"/>
        <v>999753630</v>
      </c>
      <c r="W17" s="18">
        <f t="shared" si="7"/>
        <v>999753630</v>
      </c>
      <c r="X17" s="24">
        <v>43454</v>
      </c>
      <c r="Y17" s="25">
        <v>44865</v>
      </c>
      <c r="Z17" s="17"/>
      <c r="AA17" s="17"/>
      <c r="AB17" s="13"/>
      <c r="AC17" s="13"/>
      <c r="AD17" s="13"/>
      <c r="AE17" s="13"/>
      <c r="AF17" s="13"/>
      <c r="AG17" s="13"/>
      <c r="AH17" s="13"/>
      <c r="AI17" s="13"/>
      <c r="AJ17" s="13"/>
      <c r="AK17" s="13"/>
      <c r="AL17" s="14" t="s">
        <v>81</v>
      </c>
      <c r="AM17" s="32" t="s">
        <v>283</v>
      </c>
      <c r="AN17" s="19" t="s">
        <v>284</v>
      </c>
      <c r="AO17" s="19" t="s">
        <v>285</v>
      </c>
      <c r="AP17" s="19" t="s">
        <v>286</v>
      </c>
      <c r="AQ17" s="26" t="s">
        <v>287</v>
      </c>
      <c r="AR17" s="19" t="s">
        <v>18</v>
      </c>
    </row>
    <row r="18" spans="1:44" ht="84.95" customHeight="1" x14ac:dyDescent="0.25">
      <c r="A18" s="21" t="s">
        <v>288</v>
      </c>
      <c r="B18" s="11">
        <v>1</v>
      </c>
      <c r="C18" s="21"/>
      <c r="D18" s="21"/>
      <c r="E18" s="21"/>
      <c r="F18" s="21"/>
      <c r="G18" s="21"/>
      <c r="H18" s="21"/>
      <c r="I18" s="9" t="s">
        <v>792</v>
      </c>
      <c r="J18" s="9" t="s">
        <v>21</v>
      </c>
      <c r="K18" s="10" t="s">
        <v>725</v>
      </c>
      <c r="L18" s="32" t="s">
        <v>136</v>
      </c>
      <c r="M18" s="31" t="s">
        <v>289</v>
      </c>
      <c r="N18" s="12">
        <v>0</v>
      </c>
      <c r="O18" s="16">
        <v>0</v>
      </c>
      <c r="P18" s="23">
        <v>30000000</v>
      </c>
      <c r="Q18" s="23">
        <v>110000000</v>
      </c>
      <c r="R18" s="23">
        <v>150000000</v>
      </c>
      <c r="S18" s="23">
        <v>150000000</v>
      </c>
      <c r="T18" s="23">
        <v>75000000</v>
      </c>
      <c r="U18" s="18">
        <f t="shared" si="5"/>
        <v>515000000</v>
      </c>
      <c r="V18" s="18">
        <f t="shared" si="6"/>
        <v>515000000</v>
      </c>
      <c r="W18" s="18">
        <f t="shared" si="7"/>
        <v>515000000</v>
      </c>
      <c r="X18" s="24">
        <v>43454</v>
      </c>
      <c r="Y18" s="25">
        <v>44883</v>
      </c>
      <c r="Z18" s="17"/>
      <c r="AA18" s="17"/>
      <c r="AB18" s="13"/>
      <c r="AC18" s="13"/>
      <c r="AD18" s="13"/>
      <c r="AE18" s="13"/>
      <c r="AF18" s="13"/>
      <c r="AG18" s="13"/>
      <c r="AH18" s="13"/>
      <c r="AI18" s="13"/>
      <c r="AJ18" s="13"/>
      <c r="AK18" s="13"/>
      <c r="AL18" s="14" t="s">
        <v>81</v>
      </c>
      <c r="AM18" s="32" t="s">
        <v>137</v>
      </c>
      <c r="AN18" s="19" t="s">
        <v>138</v>
      </c>
      <c r="AO18" s="19" t="s">
        <v>139</v>
      </c>
      <c r="AP18" s="19" t="s">
        <v>140</v>
      </c>
      <c r="AQ18" s="26" t="s">
        <v>290</v>
      </c>
      <c r="AR18" s="19" t="s">
        <v>18</v>
      </c>
    </row>
    <row r="19" spans="1:44" ht="141" customHeight="1" x14ac:dyDescent="0.25">
      <c r="A19" s="21" t="s">
        <v>291</v>
      </c>
      <c r="B19" s="11">
        <v>1</v>
      </c>
      <c r="C19" s="21"/>
      <c r="D19" s="21"/>
      <c r="E19" s="21"/>
      <c r="F19" s="21"/>
      <c r="G19" s="21"/>
      <c r="H19" s="21"/>
      <c r="I19" s="9" t="s">
        <v>793</v>
      </c>
      <c r="J19" s="9" t="s">
        <v>96</v>
      </c>
      <c r="K19" s="10" t="s">
        <v>726</v>
      </c>
      <c r="L19" s="32" t="s">
        <v>23</v>
      </c>
      <c r="M19" s="31" t="s">
        <v>292</v>
      </c>
      <c r="N19" s="12">
        <f>40000000+17000000</f>
        <v>57000000</v>
      </c>
      <c r="O19" s="16">
        <v>0</v>
      </c>
      <c r="P19" s="23">
        <v>60000000</v>
      </c>
      <c r="Q19" s="23">
        <v>100000000</v>
      </c>
      <c r="R19" s="23">
        <v>106000000</v>
      </c>
      <c r="S19" s="23">
        <f>80000000+40000000</f>
        <v>120000000</v>
      </c>
      <c r="T19" s="23">
        <v>40000000</v>
      </c>
      <c r="U19" s="18">
        <f t="shared" si="5"/>
        <v>426000000</v>
      </c>
      <c r="V19" s="18">
        <f t="shared" si="6"/>
        <v>483000000</v>
      </c>
      <c r="W19" s="18">
        <f t="shared" si="7"/>
        <v>483000000</v>
      </c>
      <c r="X19" s="24">
        <v>43454</v>
      </c>
      <c r="Y19" s="25">
        <v>44864</v>
      </c>
      <c r="Z19" s="17"/>
      <c r="AA19" s="17"/>
      <c r="AB19" s="13"/>
      <c r="AC19" s="13"/>
      <c r="AD19" s="13"/>
      <c r="AE19" s="13"/>
      <c r="AF19" s="13"/>
      <c r="AG19" s="13"/>
      <c r="AH19" s="13"/>
      <c r="AI19" s="13"/>
      <c r="AJ19" s="13"/>
      <c r="AK19" s="13"/>
      <c r="AL19" s="14" t="s">
        <v>81</v>
      </c>
      <c r="AM19" s="32" t="s">
        <v>146</v>
      </c>
      <c r="AN19" s="19" t="s">
        <v>45</v>
      </c>
      <c r="AO19" s="19" t="s">
        <v>293</v>
      </c>
      <c r="AP19" s="19" t="s">
        <v>24</v>
      </c>
      <c r="AQ19" s="26" t="s">
        <v>275</v>
      </c>
      <c r="AR19" s="19" t="s">
        <v>18</v>
      </c>
    </row>
    <row r="20" spans="1:44" ht="84.95" customHeight="1" x14ac:dyDescent="0.25">
      <c r="A20" s="21" t="s">
        <v>294</v>
      </c>
      <c r="B20" s="11">
        <v>1</v>
      </c>
      <c r="C20" s="21"/>
      <c r="D20" s="21"/>
      <c r="E20" s="21"/>
      <c r="F20" s="21"/>
      <c r="G20" s="21"/>
      <c r="H20" s="21"/>
      <c r="I20" s="9" t="s">
        <v>794</v>
      </c>
      <c r="J20" s="9" t="s">
        <v>96</v>
      </c>
      <c r="K20" s="10" t="s">
        <v>727</v>
      </c>
      <c r="L20" s="32" t="s">
        <v>217</v>
      </c>
      <c r="M20" s="31" t="s">
        <v>661</v>
      </c>
      <c r="N20" s="12">
        <f>50000000+25400000</f>
        <v>75400000</v>
      </c>
      <c r="O20" s="16">
        <v>0</v>
      </c>
      <c r="P20" s="23">
        <v>60000000</v>
      </c>
      <c r="Q20" s="23">
        <v>100000000</v>
      </c>
      <c r="R20" s="23">
        <v>100000000</v>
      </c>
      <c r="S20" s="23">
        <v>100000000</v>
      </c>
      <c r="T20" s="23">
        <v>50000000</v>
      </c>
      <c r="U20" s="18">
        <f t="shared" si="5"/>
        <v>410000000</v>
      </c>
      <c r="V20" s="18">
        <f t="shared" si="6"/>
        <v>485400000</v>
      </c>
      <c r="W20" s="18">
        <f t="shared" si="7"/>
        <v>485400000</v>
      </c>
      <c r="X20" s="24">
        <v>43454</v>
      </c>
      <c r="Y20" s="25">
        <v>44865</v>
      </c>
      <c r="Z20" s="17"/>
      <c r="AA20" s="17"/>
      <c r="AB20" s="13"/>
      <c r="AC20" s="13"/>
      <c r="AD20" s="13"/>
      <c r="AE20" s="13"/>
      <c r="AF20" s="13"/>
      <c r="AG20" s="13"/>
      <c r="AH20" s="13"/>
      <c r="AI20" s="13"/>
      <c r="AJ20" s="13"/>
      <c r="AK20" s="13"/>
      <c r="AL20" s="14" t="s">
        <v>81</v>
      </c>
      <c r="AM20" s="32" t="s">
        <v>122</v>
      </c>
      <c r="AN20" s="19" t="s">
        <v>123</v>
      </c>
      <c r="AO20" s="19" t="s">
        <v>124</v>
      </c>
      <c r="AP20" s="19" t="s">
        <v>125</v>
      </c>
      <c r="AQ20" s="26" t="s">
        <v>126</v>
      </c>
      <c r="AR20" s="19" t="s">
        <v>18</v>
      </c>
    </row>
    <row r="21" spans="1:44" ht="84.95" customHeight="1" x14ac:dyDescent="0.25">
      <c r="A21" s="21" t="s">
        <v>295</v>
      </c>
      <c r="B21" s="11">
        <v>1</v>
      </c>
      <c r="C21" s="21"/>
      <c r="D21" s="21"/>
      <c r="E21" s="21"/>
      <c r="F21" s="21"/>
      <c r="G21" s="21"/>
      <c r="H21" s="21"/>
      <c r="I21" s="9" t="s">
        <v>795</v>
      </c>
      <c r="J21" s="9" t="s">
        <v>21</v>
      </c>
      <c r="K21" s="10" t="s">
        <v>728</v>
      </c>
      <c r="L21" s="32" t="s">
        <v>84</v>
      </c>
      <c r="M21" s="31" t="s">
        <v>296</v>
      </c>
      <c r="N21" s="27">
        <v>115743388</v>
      </c>
      <c r="O21" s="16">
        <v>0</v>
      </c>
      <c r="P21" s="23">
        <v>104000000</v>
      </c>
      <c r="Q21" s="23">
        <v>250000000</v>
      </c>
      <c r="R21" s="23">
        <f>250000000</f>
        <v>250000000</v>
      </c>
      <c r="S21" s="23">
        <v>250000000</v>
      </c>
      <c r="T21" s="23">
        <v>135000000</v>
      </c>
      <c r="U21" s="18">
        <f t="shared" si="5"/>
        <v>989000000</v>
      </c>
      <c r="V21" s="18">
        <f t="shared" si="6"/>
        <v>1104743388</v>
      </c>
      <c r="W21" s="18">
        <f t="shared" si="7"/>
        <v>1104743388</v>
      </c>
      <c r="X21" s="24">
        <v>43453</v>
      </c>
      <c r="Y21" s="25">
        <v>44865</v>
      </c>
      <c r="Z21" s="17"/>
      <c r="AA21" s="17"/>
      <c r="AB21" s="13"/>
      <c r="AC21" s="13"/>
      <c r="AD21" s="13"/>
      <c r="AE21" s="13"/>
      <c r="AF21" s="13"/>
      <c r="AG21" s="13"/>
      <c r="AH21" s="13"/>
      <c r="AI21" s="13"/>
      <c r="AJ21" s="13"/>
      <c r="AK21" s="13"/>
      <c r="AL21" s="14" t="s">
        <v>707</v>
      </c>
      <c r="AM21" s="19" t="s">
        <v>220</v>
      </c>
      <c r="AN21" s="19" t="s">
        <v>46</v>
      </c>
      <c r="AO21" s="19" t="s">
        <v>47</v>
      </c>
      <c r="AP21" s="19" t="s">
        <v>48</v>
      </c>
      <c r="AQ21" s="26" t="s">
        <v>49</v>
      </c>
      <c r="AR21" s="19" t="s">
        <v>18</v>
      </c>
    </row>
    <row r="22" spans="1:44" ht="84.95" customHeight="1" x14ac:dyDescent="0.25">
      <c r="A22" s="21" t="s">
        <v>297</v>
      </c>
      <c r="B22" s="11">
        <v>1</v>
      </c>
      <c r="C22" s="21"/>
      <c r="D22" s="21"/>
      <c r="E22" s="21"/>
      <c r="F22" s="21"/>
      <c r="G22" s="21"/>
      <c r="H22" s="21"/>
      <c r="I22" s="9" t="s">
        <v>796</v>
      </c>
      <c r="J22" s="9" t="s">
        <v>657</v>
      </c>
      <c r="K22" s="10" t="s">
        <v>729</v>
      </c>
      <c r="L22" s="32" t="s">
        <v>298</v>
      </c>
      <c r="M22" s="31" t="s">
        <v>681</v>
      </c>
      <c r="N22" s="12">
        <v>390507037</v>
      </c>
      <c r="O22" s="16">
        <v>0</v>
      </c>
      <c r="P22" s="23">
        <v>62113160</v>
      </c>
      <c r="Q22" s="23">
        <v>1535437308</v>
      </c>
      <c r="R22" s="23">
        <v>1581500424</v>
      </c>
      <c r="S22" s="23">
        <v>1628945436</v>
      </c>
      <c r="T22" s="23">
        <v>978724719</v>
      </c>
      <c r="U22" s="18">
        <f t="shared" si="5"/>
        <v>5786721047</v>
      </c>
      <c r="V22" s="18">
        <f t="shared" si="6"/>
        <v>6177228084</v>
      </c>
      <c r="W22" s="18">
        <f t="shared" si="7"/>
        <v>6177228084</v>
      </c>
      <c r="X22" s="24">
        <v>43455</v>
      </c>
      <c r="Y22" s="25">
        <v>44880</v>
      </c>
      <c r="Z22" s="17"/>
      <c r="AA22" s="17"/>
      <c r="AB22" s="13"/>
      <c r="AC22" s="13"/>
      <c r="AD22" s="13"/>
      <c r="AE22" s="13"/>
      <c r="AF22" s="13"/>
      <c r="AG22" s="13"/>
      <c r="AH22" s="13"/>
      <c r="AI22" s="13"/>
      <c r="AJ22" s="13"/>
      <c r="AK22" s="13"/>
      <c r="AL22" s="14" t="s">
        <v>671</v>
      </c>
      <c r="AM22" s="32" t="s">
        <v>79</v>
      </c>
      <c r="AN22" s="19" t="s">
        <v>80</v>
      </c>
      <c r="AO22" s="19" t="s">
        <v>299</v>
      </c>
      <c r="AP22" s="19" t="s">
        <v>300</v>
      </c>
      <c r="AQ22" s="26" t="s">
        <v>301</v>
      </c>
      <c r="AR22" s="19" t="s">
        <v>18</v>
      </c>
    </row>
    <row r="23" spans="1:44" ht="179.25" customHeight="1" x14ac:dyDescent="0.25">
      <c r="A23" s="21" t="s">
        <v>644</v>
      </c>
      <c r="B23" s="11">
        <v>1</v>
      </c>
      <c r="C23" s="21"/>
      <c r="D23" s="21"/>
      <c r="E23" s="21"/>
      <c r="F23" s="21"/>
      <c r="G23" s="21"/>
      <c r="H23" s="21"/>
      <c r="I23" s="9" t="s">
        <v>797</v>
      </c>
      <c r="J23" s="9" t="s">
        <v>657</v>
      </c>
      <c r="K23" s="10" t="s">
        <v>730</v>
      </c>
      <c r="L23" s="32" t="s">
        <v>219</v>
      </c>
      <c r="M23" s="31" t="s">
        <v>645</v>
      </c>
      <c r="N23" s="12">
        <v>150500000</v>
      </c>
      <c r="O23" s="33">
        <f>119036932+250000000+200000000</f>
        <v>569036932</v>
      </c>
      <c r="P23" s="23">
        <v>86000000</v>
      </c>
      <c r="Q23" s="23">
        <v>2387477502</v>
      </c>
      <c r="R23" s="23">
        <f>2520353639</f>
        <v>2520353639</v>
      </c>
      <c r="S23" s="23">
        <v>2595964248</v>
      </c>
      <c r="T23" s="23">
        <v>1559741852</v>
      </c>
      <c r="U23" s="18">
        <f t="shared" si="5"/>
        <v>9149537241</v>
      </c>
      <c r="V23" s="18">
        <f t="shared" si="6"/>
        <v>9300037241</v>
      </c>
      <c r="W23" s="18">
        <f t="shared" si="7"/>
        <v>8731000309</v>
      </c>
      <c r="X23" s="24">
        <v>43455</v>
      </c>
      <c r="Y23" s="25">
        <v>44880</v>
      </c>
      <c r="Z23" s="17"/>
      <c r="AA23" s="17"/>
      <c r="AB23" s="13"/>
      <c r="AC23" s="13"/>
      <c r="AD23" s="13"/>
      <c r="AE23" s="13"/>
      <c r="AF23" s="13"/>
      <c r="AG23" s="13"/>
      <c r="AH23" s="13"/>
      <c r="AI23" s="13"/>
      <c r="AJ23" s="13"/>
      <c r="AK23" s="13"/>
      <c r="AL23" s="14" t="s">
        <v>44</v>
      </c>
      <c r="AM23" s="32" t="s">
        <v>207</v>
      </c>
      <c r="AN23" s="19" t="s">
        <v>208</v>
      </c>
      <c r="AO23" s="19" t="s">
        <v>112</v>
      </c>
      <c r="AP23" s="19" t="s">
        <v>113</v>
      </c>
      <c r="AQ23" s="26" t="s">
        <v>209</v>
      </c>
      <c r="AR23" s="19" t="s">
        <v>18</v>
      </c>
    </row>
    <row r="24" spans="1:44" ht="84.95" customHeight="1" x14ac:dyDescent="0.25">
      <c r="A24" s="21" t="s">
        <v>308</v>
      </c>
      <c r="B24" s="11">
        <v>1</v>
      </c>
      <c r="C24" s="21"/>
      <c r="D24" s="21"/>
      <c r="E24" s="21"/>
      <c r="F24" s="21"/>
      <c r="G24" s="21"/>
      <c r="H24" s="21"/>
      <c r="I24" s="9" t="s">
        <v>798</v>
      </c>
      <c r="J24" s="9" t="s">
        <v>657</v>
      </c>
      <c r="K24" s="10" t="s">
        <v>731</v>
      </c>
      <c r="L24" s="32" t="s">
        <v>309</v>
      </c>
      <c r="M24" s="31" t="s">
        <v>310</v>
      </c>
      <c r="N24" s="12">
        <v>548000000</v>
      </c>
      <c r="O24" s="33">
        <v>33650000</v>
      </c>
      <c r="P24" s="23">
        <v>80000000</v>
      </c>
      <c r="Q24" s="23">
        <v>2793050000</v>
      </c>
      <c r="R24" s="23">
        <v>2923700000</v>
      </c>
      <c r="S24" s="23">
        <v>3000600000</v>
      </c>
      <c r="T24" s="23">
        <v>1792000000</v>
      </c>
      <c r="U24" s="18">
        <f t="shared" si="5"/>
        <v>10589350000</v>
      </c>
      <c r="V24" s="18">
        <f t="shared" si="6"/>
        <v>11137350000</v>
      </c>
      <c r="W24" s="18">
        <f t="shared" si="7"/>
        <v>11103700000</v>
      </c>
      <c r="X24" s="24">
        <v>43458</v>
      </c>
      <c r="Y24" s="25">
        <v>44880</v>
      </c>
      <c r="Z24" s="17"/>
      <c r="AA24" s="17"/>
      <c r="AB24" s="13"/>
      <c r="AC24" s="13"/>
      <c r="AD24" s="13"/>
      <c r="AE24" s="13"/>
      <c r="AF24" s="13"/>
      <c r="AG24" s="13"/>
      <c r="AH24" s="13"/>
      <c r="AI24" s="13"/>
      <c r="AJ24" s="13"/>
      <c r="AK24" s="13"/>
      <c r="AL24" s="14" t="s">
        <v>199</v>
      </c>
      <c r="AM24" s="32" t="s">
        <v>311</v>
      </c>
      <c r="AN24" s="19" t="s">
        <v>760</v>
      </c>
      <c r="AO24" s="19" t="s">
        <v>759</v>
      </c>
      <c r="AP24" s="19" t="s">
        <v>113</v>
      </c>
      <c r="AQ24" s="26" t="s">
        <v>312</v>
      </c>
      <c r="AR24" s="19" t="s">
        <v>18</v>
      </c>
    </row>
    <row r="25" spans="1:44" ht="107.25" customHeight="1" x14ac:dyDescent="0.25">
      <c r="A25" s="21" t="s">
        <v>652</v>
      </c>
      <c r="B25" s="11">
        <v>1</v>
      </c>
      <c r="C25" s="21"/>
      <c r="D25" s="21"/>
      <c r="E25" s="21"/>
      <c r="F25" s="21"/>
      <c r="G25" s="21"/>
      <c r="H25" s="21"/>
      <c r="I25" s="9" t="s">
        <v>799</v>
      </c>
      <c r="J25" s="9" t="s">
        <v>21</v>
      </c>
      <c r="K25" s="10" t="s">
        <v>732</v>
      </c>
      <c r="L25" s="32" t="s">
        <v>653</v>
      </c>
      <c r="M25" s="31" t="s">
        <v>821</v>
      </c>
      <c r="N25" s="12">
        <v>0</v>
      </c>
      <c r="O25" s="33">
        <v>105000000</v>
      </c>
      <c r="P25" s="23">
        <v>50000000</v>
      </c>
      <c r="Q25" s="23">
        <v>85000000</v>
      </c>
      <c r="R25" s="23">
        <f>85000000</f>
        <v>85000000</v>
      </c>
      <c r="S25" s="23">
        <v>85000000</v>
      </c>
      <c r="T25" s="23">
        <v>50000000</v>
      </c>
      <c r="U25" s="18">
        <f t="shared" si="5"/>
        <v>355000000</v>
      </c>
      <c r="V25" s="18">
        <f t="shared" si="6"/>
        <v>355000000</v>
      </c>
      <c r="W25" s="18">
        <f t="shared" si="7"/>
        <v>250000000</v>
      </c>
      <c r="X25" s="24">
        <v>43461</v>
      </c>
      <c r="Y25" s="25">
        <v>44865</v>
      </c>
      <c r="Z25" s="17"/>
      <c r="AA25" s="17"/>
      <c r="AB25" s="13"/>
      <c r="AC25" s="13"/>
      <c r="AD25" s="13"/>
      <c r="AE25" s="13"/>
      <c r="AF25" s="13"/>
      <c r="AG25" s="13"/>
      <c r="AH25" s="13"/>
      <c r="AI25" s="13"/>
      <c r="AJ25" s="13"/>
      <c r="AK25" s="13"/>
      <c r="AL25" s="14" t="s">
        <v>81</v>
      </c>
      <c r="AM25" s="32" t="s">
        <v>654</v>
      </c>
      <c r="AN25" s="19" t="s">
        <v>656</v>
      </c>
      <c r="AO25" s="19" t="s">
        <v>655</v>
      </c>
      <c r="AP25" s="19"/>
      <c r="AQ25" s="26"/>
      <c r="AR25" s="19" t="s">
        <v>18</v>
      </c>
    </row>
    <row r="26" spans="1:44" ht="80.25" customHeight="1" x14ac:dyDescent="0.25">
      <c r="A26" s="21" t="s">
        <v>640</v>
      </c>
      <c r="B26" s="11">
        <v>1</v>
      </c>
      <c r="C26" s="21"/>
      <c r="D26" s="21"/>
      <c r="E26" s="21"/>
      <c r="F26" s="21"/>
      <c r="G26" s="21"/>
      <c r="H26" s="21"/>
      <c r="I26" s="9" t="s">
        <v>800</v>
      </c>
      <c r="J26" s="9" t="s">
        <v>657</v>
      </c>
      <c r="K26" s="10" t="s">
        <v>733</v>
      </c>
      <c r="L26" s="32" t="s">
        <v>219</v>
      </c>
      <c r="M26" s="31" t="s">
        <v>641</v>
      </c>
      <c r="N26" s="12">
        <v>175500000</v>
      </c>
      <c r="O26" s="33">
        <v>88981797</v>
      </c>
      <c r="P26" s="23">
        <v>102935000</v>
      </c>
      <c r="Q26" s="23">
        <v>1183294803</v>
      </c>
      <c r="R26" s="23">
        <f>1310444898</f>
        <v>1310444898</v>
      </c>
      <c r="S26" s="23">
        <f>1349758245</f>
        <v>1349758245</v>
      </c>
      <c r="T26" s="23">
        <v>810979746</v>
      </c>
      <c r="U26" s="18">
        <f t="shared" si="5"/>
        <v>4757412692</v>
      </c>
      <c r="V26" s="18">
        <f t="shared" si="6"/>
        <v>4932912692</v>
      </c>
      <c r="W26" s="18">
        <f t="shared" si="7"/>
        <v>4843930895</v>
      </c>
      <c r="X26" s="24">
        <v>43458</v>
      </c>
      <c r="Y26" s="25">
        <v>44880</v>
      </c>
      <c r="Z26" s="17"/>
      <c r="AA26" s="17"/>
      <c r="AB26" s="13"/>
      <c r="AC26" s="13"/>
      <c r="AD26" s="13"/>
      <c r="AE26" s="13"/>
      <c r="AF26" s="13"/>
      <c r="AG26" s="13"/>
      <c r="AH26" s="13"/>
      <c r="AI26" s="13"/>
      <c r="AJ26" s="13"/>
      <c r="AK26" s="13"/>
      <c r="AL26" s="28" t="s">
        <v>770</v>
      </c>
      <c r="AM26" s="32" t="s">
        <v>207</v>
      </c>
      <c r="AN26" s="19" t="s">
        <v>208</v>
      </c>
      <c r="AO26" s="19" t="s">
        <v>112</v>
      </c>
      <c r="AP26" s="19" t="s">
        <v>113</v>
      </c>
      <c r="AQ26" s="26" t="s">
        <v>209</v>
      </c>
      <c r="AR26" s="19" t="s">
        <v>18</v>
      </c>
    </row>
    <row r="27" spans="1:44" ht="158.25" customHeight="1" x14ac:dyDescent="0.25">
      <c r="A27" s="21" t="s">
        <v>313</v>
      </c>
      <c r="B27" s="11">
        <v>1</v>
      </c>
      <c r="C27" s="21"/>
      <c r="D27" s="21"/>
      <c r="E27" s="21"/>
      <c r="F27" s="21"/>
      <c r="G27" s="21"/>
      <c r="H27" s="21"/>
      <c r="I27" s="9" t="s">
        <v>801</v>
      </c>
      <c r="J27" s="9" t="s">
        <v>657</v>
      </c>
      <c r="K27" s="10" t="s">
        <v>734</v>
      </c>
      <c r="L27" s="32" t="s">
        <v>314</v>
      </c>
      <c r="M27" s="31" t="s">
        <v>650</v>
      </c>
      <c r="N27" s="27">
        <f>100846623+185914750</f>
        <v>286761373</v>
      </c>
      <c r="O27" s="16">
        <v>0</v>
      </c>
      <c r="P27" s="23">
        <v>38999600</v>
      </c>
      <c r="Q27" s="23">
        <v>482035056</v>
      </c>
      <c r="R27" s="23">
        <v>496496108</v>
      </c>
      <c r="S27" s="23">
        <v>511390991</v>
      </c>
      <c r="T27" s="23">
        <f>307260754</f>
        <v>307260754</v>
      </c>
      <c r="U27" s="18">
        <f t="shared" si="5"/>
        <v>1836182509</v>
      </c>
      <c r="V27" s="18">
        <f t="shared" si="6"/>
        <v>2122943882</v>
      </c>
      <c r="W27" s="18">
        <f t="shared" si="7"/>
        <v>2122943882</v>
      </c>
      <c r="X27" s="24">
        <v>43458</v>
      </c>
      <c r="Y27" s="25">
        <v>44880</v>
      </c>
      <c r="Z27" s="17"/>
      <c r="AA27" s="17"/>
      <c r="AB27" s="13"/>
      <c r="AC27" s="13"/>
      <c r="AD27" s="13"/>
      <c r="AE27" s="13"/>
      <c r="AF27" s="13"/>
      <c r="AG27" s="13"/>
      <c r="AH27" s="13"/>
      <c r="AI27" s="13"/>
      <c r="AJ27" s="13"/>
      <c r="AK27" s="13"/>
      <c r="AL27" s="14" t="s">
        <v>692</v>
      </c>
      <c r="AM27" s="32" t="s">
        <v>234</v>
      </c>
      <c r="AN27" s="19" t="s">
        <v>235</v>
      </c>
      <c r="AO27" s="19" t="s">
        <v>112</v>
      </c>
      <c r="AP27" s="19" t="s">
        <v>113</v>
      </c>
      <c r="AQ27" s="26" t="s">
        <v>236</v>
      </c>
      <c r="AR27" s="19" t="s">
        <v>18</v>
      </c>
    </row>
    <row r="28" spans="1:44" ht="84.95" customHeight="1" x14ac:dyDescent="0.25">
      <c r="A28" s="21" t="s">
        <v>316</v>
      </c>
      <c r="B28" s="21"/>
      <c r="C28" s="36">
        <v>1</v>
      </c>
      <c r="D28" s="21"/>
      <c r="E28" s="21"/>
      <c r="F28" s="21"/>
      <c r="G28" s="21"/>
      <c r="H28" s="21"/>
      <c r="I28" s="9" t="s">
        <v>775</v>
      </c>
      <c r="J28" s="9" t="s">
        <v>20</v>
      </c>
      <c r="K28" s="10" t="s">
        <v>735</v>
      </c>
      <c r="L28" s="32" t="s">
        <v>86</v>
      </c>
      <c r="M28" s="31" t="s">
        <v>315</v>
      </c>
      <c r="N28" s="12">
        <v>0</v>
      </c>
      <c r="O28" s="33">
        <f>500000000+600000000</f>
        <v>1100000000</v>
      </c>
      <c r="P28" s="23">
        <v>43326914</v>
      </c>
      <c r="Q28" s="23">
        <v>566213813</v>
      </c>
      <c r="R28" s="23">
        <f>904221785</f>
        <v>904221785</v>
      </c>
      <c r="S28" s="23">
        <f>962852667</f>
        <v>962852667</v>
      </c>
      <c r="T28" s="23">
        <v>542399132</v>
      </c>
      <c r="U28" s="18">
        <f t="shared" si="5"/>
        <v>3019014311</v>
      </c>
      <c r="V28" s="18">
        <f t="shared" si="6"/>
        <v>3019014311</v>
      </c>
      <c r="W28" s="18">
        <f t="shared" si="7"/>
        <v>1919014311</v>
      </c>
      <c r="X28" s="24">
        <v>43460</v>
      </c>
      <c r="Y28" s="25">
        <v>44895</v>
      </c>
      <c r="Z28" s="17"/>
      <c r="AA28" s="17"/>
      <c r="AB28" s="13"/>
      <c r="AC28" s="13"/>
      <c r="AD28" s="13"/>
      <c r="AE28" s="13"/>
      <c r="AF28" s="13"/>
      <c r="AG28" s="13"/>
      <c r="AH28" s="13"/>
      <c r="AI28" s="13"/>
      <c r="AJ28" s="13"/>
      <c r="AK28" s="13"/>
      <c r="AL28" s="14" t="s">
        <v>684</v>
      </c>
      <c r="AM28" s="32" t="s">
        <v>317</v>
      </c>
      <c r="AN28" s="19" t="s">
        <v>318</v>
      </c>
      <c r="AO28" s="19" t="s">
        <v>319</v>
      </c>
      <c r="AP28" s="19" t="s">
        <v>320</v>
      </c>
      <c r="AQ28" s="26" t="s">
        <v>321</v>
      </c>
      <c r="AR28" s="19" t="s">
        <v>18</v>
      </c>
    </row>
    <row r="29" spans="1:44" ht="114.75" customHeight="1" x14ac:dyDescent="0.25">
      <c r="A29" s="21" t="s">
        <v>322</v>
      </c>
      <c r="B29" s="21"/>
      <c r="C29" s="36">
        <v>1</v>
      </c>
      <c r="D29" s="21"/>
      <c r="E29" s="21"/>
      <c r="F29" s="21"/>
      <c r="G29" s="21"/>
      <c r="H29" s="21"/>
      <c r="I29" s="9" t="s">
        <v>775</v>
      </c>
      <c r="J29" s="9" t="s">
        <v>20</v>
      </c>
      <c r="K29" s="10" t="s">
        <v>735</v>
      </c>
      <c r="L29" s="32" t="s">
        <v>165</v>
      </c>
      <c r="M29" s="31" t="s">
        <v>315</v>
      </c>
      <c r="N29" s="12">
        <v>0</v>
      </c>
      <c r="O29" s="33">
        <v>653235019</v>
      </c>
      <c r="P29" s="23">
        <v>26749102</v>
      </c>
      <c r="Q29" s="23">
        <v>502302895</v>
      </c>
      <c r="R29" s="23">
        <f>653235019</f>
        <v>653235019</v>
      </c>
      <c r="S29" s="23">
        <v>703070526</v>
      </c>
      <c r="T29" s="23">
        <v>208521882</v>
      </c>
      <c r="U29" s="18">
        <f t="shared" si="5"/>
        <v>2093879424</v>
      </c>
      <c r="V29" s="18">
        <f t="shared" si="6"/>
        <v>2093879424</v>
      </c>
      <c r="W29" s="18">
        <f t="shared" si="7"/>
        <v>1440644405</v>
      </c>
      <c r="X29" s="24">
        <v>43460</v>
      </c>
      <c r="Y29" s="25">
        <v>44880</v>
      </c>
      <c r="Z29" s="17"/>
      <c r="AA29" s="17"/>
      <c r="AB29" s="13"/>
      <c r="AC29" s="13"/>
      <c r="AD29" s="13"/>
      <c r="AE29" s="13"/>
      <c r="AF29" s="13"/>
      <c r="AG29" s="13"/>
      <c r="AH29" s="13"/>
      <c r="AI29" s="13"/>
      <c r="AJ29" s="13"/>
      <c r="AK29" s="13"/>
      <c r="AL29" s="14" t="s">
        <v>684</v>
      </c>
      <c r="AM29" s="32" t="s">
        <v>323</v>
      </c>
      <c r="AN29" s="19" t="s">
        <v>166</v>
      </c>
      <c r="AO29" s="19" t="s">
        <v>167</v>
      </c>
      <c r="AP29" s="19" t="s">
        <v>324</v>
      </c>
      <c r="AQ29" s="26" t="s">
        <v>325</v>
      </c>
      <c r="AR29" s="19" t="s">
        <v>18</v>
      </c>
    </row>
    <row r="30" spans="1:44" ht="84.95" customHeight="1" x14ac:dyDescent="0.25">
      <c r="A30" s="21" t="s">
        <v>326</v>
      </c>
      <c r="B30" s="21"/>
      <c r="C30" s="36">
        <v>1</v>
      </c>
      <c r="D30" s="21"/>
      <c r="E30" s="21"/>
      <c r="F30" s="21"/>
      <c r="G30" s="21"/>
      <c r="H30" s="21"/>
      <c r="I30" s="9" t="s">
        <v>775</v>
      </c>
      <c r="J30" s="9" t="s">
        <v>20</v>
      </c>
      <c r="K30" s="10" t="s">
        <v>735</v>
      </c>
      <c r="L30" s="32" t="s">
        <v>327</v>
      </c>
      <c r="M30" s="31" t="s">
        <v>315</v>
      </c>
      <c r="N30" s="27">
        <v>60000000</v>
      </c>
      <c r="O30" s="16">
        <v>0</v>
      </c>
      <c r="P30" s="23">
        <v>31700000</v>
      </c>
      <c r="Q30" s="23">
        <v>707800000</v>
      </c>
      <c r="R30" s="23">
        <v>855300000</v>
      </c>
      <c r="S30" s="23">
        <v>959000000</v>
      </c>
      <c r="T30" s="23">
        <v>495000000</v>
      </c>
      <c r="U30" s="18">
        <f t="shared" si="5"/>
        <v>3048800000</v>
      </c>
      <c r="V30" s="18">
        <f t="shared" si="6"/>
        <v>3108800000</v>
      </c>
      <c r="W30" s="18">
        <f t="shared" si="7"/>
        <v>3108800000</v>
      </c>
      <c r="X30" s="24">
        <v>43460</v>
      </c>
      <c r="Y30" s="25">
        <v>44880</v>
      </c>
      <c r="Z30" s="17"/>
      <c r="AA30" s="17"/>
      <c r="AB30" s="13"/>
      <c r="AC30" s="13"/>
      <c r="AD30" s="13"/>
      <c r="AE30" s="13"/>
      <c r="AF30" s="13"/>
      <c r="AG30" s="13"/>
      <c r="AH30" s="13"/>
      <c r="AI30" s="13"/>
      <c r="AJ30" s="13"/>
      <c r="AK30" s="13"/>
      <c r="AL30" s="14" t="s">
        <v>684</v>
      </c>
      <c r="AM30" s="32" t="s">
        <v>328</v>
      </c>
      <c r="AN30" s="19" t="s">
        <v>329</v>
      </c>
      <c r="AO30" s="19" t="s">
        <v>330</v>
      </c>
      <c r="AP30" s="19" t="s">
        <v>331</v>
      </c>
      <c r="AQ30" s="26" t="s">
        <v>647</v>
      </c>
      <c r="AR30" s="19" t="s">
        <v>18</v>
      </c>
    </row>
    <row r="31" spans="1:44" ht="84.95" customHeight="1" x14ac:dyDescent="0.25">
      <c r="A31" s="21" t="s">
        <v>332</v>
      </c>
      <c r="B31" s="21"/>
      <c r="C31" s="36">
        <v>1</v>
      </c>
      <c r="D31" s="21"/>
      <c r="E31" s="21"/>
      <c r="F31" s="21"/>
      <c r="G31" s="21"/>
      <c r="H31" s="21"/>
      <c r="I31" s="9" t="s">
        <v>775</v>
      </c>
      <c r="J31" s="9" t="s">
        <v>20</v>
      </c>
      <c r="K31" s="10" t="s">
        <v>735</v>
      </c>
      <c r="L31" s="32" t="s">
        <v>151</v>
      </c>
      <c r="M31" s="31" t="s">
        <v>315</v>
      </c>
      <c r="N31" s="12">
        <v>0</v>
      </c>
      <c r="O31" s="33">
        <v>10000000</v>
      </c>
      <c r="P31" s="23">
        <v>8420326</v>
      </c>
      <c r="Q31" s="23">
        <v>176297134</v>
      </c>
      <c r="R31" s="23">
        <v>261726929</v>
      </c>
      <c r="S31" s="23">
        <v>262062848</v>
      </c>
      <c r="T31" s="23">
        <v>183431503</v>
      </c>
      <c r="U31" s="18">
        <f t="shared" si="5"/>
        <v>891938740</v>
      </c>
      <c r="V31" s="18">
        <f t="shared" si="6"/>
        <v>891938740</v>
      </c>
      <c r="W31" s="18">
        <f t="shared" si="7"/>
        <v>881938740</v>
      </c>
      <c r="X31" s="24">
        <v>43460</v>
      </c>
      <c r="Y31" s="25">
        <v>44880</v>
      </c>
      <c r="Z31" s="17"/>
      <c r="AA31" s="17"/>
      <c r="AB31" s="13"/>
      <c r="AC31" s="13"/>
      <c r="AD31" s="13"/>
      <c r="AE31" s="13"/>
      <c r="AF31" s="13"/>
      <c r="AG31" s="13"/>
      <c r="AH31" s="13"/>
      <c r="AI31" s="13"/>
      <c r="AJ31" s="13"/>
      <c r="AK31" s="13"/>
      <c r="AL31" s="14" t="s">
        <v>684</v>
      </c>
      <c r="AM31" s="32" t="s">
        <v>152</v>
      </c>
      <c r="AN31" s="19" t="s">
        <v>153</v>
      </c>
      <c r="AO31" s="19" t="s">
        <v>333</v>
      </c>
      <c r="AP31" s="19" t="s">
        <v>179</v>
      </c>
      <c r="AQ31" s="26" t="s">
        <v>154</v>
      </c>
      <c r="AR31" s="19" t="s">
        <v>18</v>
      </c>
    </row>
    <row r="32" spans="1:44" ht="105" customHeight="1" x14ac:dyDescent="0.25">
      <c r="A32" s="21" t="s">
        <v>334</v>
      </c>
      <c r="B32" s="21"/>
      <c r="C32" s="36">
        <v>1</v>
      </c>
      <c r="D32" s="21"/>
      <c r="E32" s="21"/>
      <c r="F32" s="21"/>
      <c r="G32" s="21"/>
      <c r="H32" s="21"/>
      <c r="I32" s="9" t="s">
        <v>775</v>
      </c>
      <c r="J32" s="9" t="s">
        <v>20</v>
      </c>
      <c r="K32" s="10" t="s">
        <v>735</v>
      </c>
      <c r="L32" s="32" t="s">
        <v>161</v>
      </c>
      <c r="M32" s="31" t="s">
        <v>315</v>
      </c>
      <c r="N32" s="12">
        <v>0</v>
      </c>
      <c r="O32" s="33">
        <v>250000000</v>
      </c>
      <c r="P32" s="23">
        <v>44397157</v>
      </c>
      <c r="Q32" s="23">
        <v>638854812</v>
      </c>
      <c r="R32" s="23">
        <f>1082105570</f>
        <v>1082105570</v>
      </c>
      <c r="S32" s="23">
        <v>1057080083</v>
      </c>
      <c r="T32" s="23">
        <v>736994817</v>
      </c>
      <c r="U32" s="18">
        <f t="shared" si="5"/>
        <v>3559432439</v>
      </c>
      <c r="V32" s="18">
        <f t="shared" si="6"/>
        <v>3559432439</v>
      </c>
      <c r="W32" s="18">
        <f t="shared" si="7"/>
        <v>3309432439</v>
      </c>
      <c r="X32" s="24">
        <v>43460</v>
      </c>
      <c r="Y32" s="25">
        <v>44910</v>
      </c>
      <c r="Z32" s="17"/>
      <c r="AA32" s="17"/>
      <c r="AB32" s="13"/>
      <c r="AC32" s="13"/>
      <c r="AD32" s="13"/>
      <c r="AE32" s="13"/>
      <c r="AF32" s="13"/>
      <c r="AG32" s="13"/>
      <c r="AH32" s="13"/>
      <c r="AI32" s="13"/>
      <c r="AJ32" s="13"/>
      <c r="AK32" s="13"/>
      <c r="AL32" s="14" t="s">
        <v>684</v>
      </c>
      <c r="AM32" s="32" t="s">
        <v>335</v>
      </c>
      <c r="AN32" s="19" t="s">
        <v>162</v>
      </c>
      <c r="AO32" s="19" t="s">
        <v>336</v>
      </c>
      <c r="AP32" s="19" t="s">
        <v>163</v>
      </c>
      <c r="AQ32" s="26" t="s">
        <v>164</v>
      </c>
      <c r="AR32" s="19" t="s">
        <v>18</v>
      </c>
    </row>
    <row r="33" spans="1:44" ht="84.95" customHeight="1" x14ac:dyDescent="0.25">
      <c r="A33" s="21" t="s">
        <v>337</v>
      </c>
      <c r="B33" s="21"/>
      <c r="C33" s="36">
        <v>1</v>
      </c>
      <c r="D33" s="21"/>
      <c r="E33" s="21"/>
      <c r="F33" s="21"/>
      <c r="G33" s="21"/>
      <c r="H33" s="21"/>
      <c r="I33" s="9" t="s">
        <v>775</v>
      </c>
      <c r="J33" s="9" t="s">
        <v>20</v>
      </c>
      <c r="K33" s="10" t="s">
        <v>735</v>
      </c>
      <c r="L33" s="32" t="s">
        <v>155</v>
      </c>
      <c r="M33" s="31" t="s">
        <v>315</v>
      </c>
      <c r="N33" s="12">
        <v>0</v>
      </c>
      <c r="O33" s="16">
        <v>0</v>
      </c>
      <c r="P33" s="23">
        <v>9774203</v>
      </c>
      <c r="Q33" s="23">
        <v>186598411</v>
      </c>
      <c r="R33" s="23">
        <v>262126339</v>
      </c>
      <c r="S33" s="23">
        <v>294686633</v>
      </c>
      <c r="T33" s="23">
        <v>157534095</v>
      </c>
      <c r="U33" s="18">
        <f t="shared" si="5"/>
        <v>910719681</v>
      </c>
      <c r="V33" s="18">
        <f t="shared" si="6"/>
        <v>910719681</v>
      </c>
      <c r="W33" s="18">
        <f t="shared" si="7"/>
        <v>910719681</v>
      </c>
      <c r="X33" s="24">
        <v>43460</v>
      </c>
      <c r="Y33" s="25">
        <v>44880</v>
      </c>
      <c r="Z33" s="17"/>
      <c r="AA33" s="17"/>
      <c r="AB33" s="13"/>
      <c r="AC33" s="13"/>
      <c r="AD33" s="13"/>
      <c r="AE33" s="13"/>
      <c r="AF33" s="13"/>
      <c r="AG33" s="13"/>
      <c r="AH33" s="13"/>
      <c r="AI33" s="13"/>
      <c r="AJ33" s="13"/>
      <c r="AK33" s="13"/>
      <c r="AL33" s="14" t="s">
        <v>684</v>
      </c>
      <c r="AM33" s="32" t="s">
        <v>156</v>
      </c>
      <c r="AN33" s="19" t="s">
        <v>157</v>
      </c>
      <c r="AO33" s="19" t="s">
        <v>338</v>
      </c>
      <c r="AP33" s="19" t="s">
        <v>339</v>
      </c>
      <c r="AQ33" s="26" t="s">
        <v>158</v>
      </c>
      <c r="AR33" s="19" t="s">
        <v>18</v>
      </c>
    </row>
    <row r="34" spans="1:44" ht="84.95" customHeight="1" x14ac:dyDescent="0.25">
      <c r="A34" s="21" t="s">
        <v>340</v>
      </c>
      <c r="B34" s="21"/>
      <c r="C34" s="36">
        <v>1</v>
      </c>
      <c r="D34" s="21"/>
      <c r="E34" s="21"/>
      <c r="F34" s="21"/>
      <c r="G34" s="21"/>
      <c r="H34" s="21"/>
      <c r="I34" s="9" t="s">
        <v>775</v>
      </c>
      <c r="J34" s="9" t="s">
        <v>20</v>
      </c>
      <c r="K34" s="10" t="s">
        <v>735</v>
      </c>
      <c r="L34" s="32" t="s">
        <v>34</v>
      </c>
      <c r="M34" s="31" t="s">
        <v>315</v>
      </c>
      <c r="N34" s="12">
        <v>15000000</v>
      </c>
      <c r="O34" s="33">
        <v>120000000</v>
      </c>
      <c r="P34" s="23">
        <v>5973888</v>
      </c>
      <c r="Q34" s="23">
        <v>114085136</v>
      </c>
      <c r="R34" s="23">
        <f>160262453</f>
        <v>160262453</v>
      </c>
      <c r="S34" s="23">
        <v>152113514</v>
      </c>
      <c r="T34" s="23">
        <v>110825560</v>
      </c>
      <c r="U34" s="18">
        <f t="shared" si="5"/>
        <v>543260551</v>
      </c>
      <c r="V34" s="18">
        <f t="shared" si="6"/>
        <v>558260551</v>
      </c>
      <c r="W34" s="18">
        <f t="shared" si="7"/>
        <v>438260551</v>
      </c>
      <c r="X34" s="24">
        <v>43460</v>
      </c>
      <c r="Y34" s="25">
        <v>44880</v>
      </c>
      <c r="Z34" s="17"/>
      <c r="AA34" s="17"/>
      <c r="AB34" s="13"/>
      <c r="AC34" s="13"/>
      <c r="AD34" s="13"/>
      <c r="AE34" s="13"/>
      <c r="AF34" s="13"/>
      <c r="AG34" s="13"/>
      <c r="AH34" s="13"/>
      <c r="AI34" s="13"/>
      <c r="AJ34" s="13"/>
      <c r="AK34" s="13"/>
      <c r="AL34" s="14" t="s">
        <v>684</v>
      </c>
      <c r="AM34" s="32" t="s">
        <v>50</v>
      </c>
      <c r="AN34" s="19" t="s">
        <v>36</v>
      </c>
      <c r="AO34" s="19" t="s">
        <v>341</v>
      </c>
      <c r="AP34" s="19" t="s">
        <v>37</v>
      </c>
      <c r="AQ34" s="26" t="s">
        <v>38</v>
      </c>
      <c r="AR34" s="19" t="s">
        <v>27</v>
      </c>
    </row>
    <row r="35" spans="1:44" ht="156" customHeight="1" x14ac:dyDescent="0.25">
      <c r="A35" s="21" t="s">
        <v>342</v>
      </c>
      <c r="B35" s="21"/>
      <c r="C35" s="36">
        <v>1</v>
      </c>
      <c r="D35" s="21"/>
      <c r="E35" s="21"/>
      <c r="F35" s="21"/>
      <c r="G35" s="21"/>
      <c r="H35" s="21"/>
      <c r="I35" s="9" t="s">
        <v>775</v>
      </c>
      <c r="J35" s="9" t="s">
        <v>20</v>
      </c>
      <c r="K35" s="10" t="s">
        <v>735</v>
      </c>
      <c r="L35" s="32" t="s">
        <v>343</v>
      </c>
      <c r="M35" s="31" t="s">
        <v>315</v>
      </c>
      <c r="N35" s="27">
        <f>1057000000+887600000</f>
        <v>1944600000</v>
      </c>
      <c r="O35" s="16">
        <v>0</v>
      </c>
      <c r="P35" s="23">
        <v>39200000</v>
      </c>
      <c r="Q35" s="23">
        <v>907000000</v>
      </c>
      <c r="R35" s="23">
        <f>1050000000</f>
        <v>1050000000</v>
      </c>
      <c r="S35" s="23">
        <f>1000000000</f>
        <v>1000000000</v>
      </c>
      <c r="T35" s="23">
        <v>900000000</v>
      </c>
      <c r="U35" s="18">
        <f t="shared" si="5"/>
        <v>3896200000</v>
      </c>
      <c r="V35" s="18">
        <f t="shared" si="6"/>
        <v>5840800000</v>
      </c>
      <c r="W35" s="18">
        <f t="shared" si="7"/>
        <v>5840800000</v>
      </c>
      <c r="X35" s="24">
        <v>43460</v>
      </c>
      <c r="Y35" s="25">
        <v>44880</v>
      </c>
      <c r="Z35" s="17"/>
      <c r="AA35" s="17"/>
      <c r="AB35" s="13"/>
      <c r="AC35" s="13"/>
      <c r="AD35" s="13"/>
      <c r="AE35" s="13"/>
      <c r="AF35" s="13"/>
      <c r="AG35" s="13"/>
      <c r="AH35" s="13"/>
      <c r="AI35" s="13"/>
      <c r="AJ35" s="13"/>
      <c r="AK35" s="13"/>
      <c r="AL35" s="14" t="s">
        <v>684</v>
      </c>
      <c r="AM35" s="32" t="s">
        <v>344</v>
      </c>
      <c r="AN35" s="19" t="s">
        <v>196</v>
      </c>
      <c r="AO35" s="19" t="s">
        <v>345</v>
      </c>
      <c r="AP35" s="19" t="s">
        <v>197</v>
      </c>
      <c r="AQ35" s="26" t="s">
        <v>198</v>
      </c>
      <c r="AR35" s="19" t="s">
        <v>18</v>
      </c>
    </row>
    <row r="36" spans="1:44" ht="84.95" customHeight="1" x14ac:dyDescent="0.25">
      <c r="A36" s="21" t="s">
        <v>346</v>
      </c>
      <c r="B36" s="21"/>
      <c r="C36" s="36">
        <v>1</v>
      </c>
      <c r="D36" s="21"/>
      <c r="E36" s="21"/>
      <c r="F36" s="21"/>
      <c r="G36" s="21"/>
      <c r="H36" s="21"/>
      <c r="I36" s="9" t="s">
        <v>775</v>
      </c>
      <c r="J36" s="9" t="s">
        <v>20</v>
      </c>
      <c r="K36" s="10" t="s">
        <v>735</v>
      </c>
      <c r="L36" s="32" t="s">
        <v>104</v>
      </c>
      <c r="M36" s="31" t="s">
        <v>315</v>
      </c>
      <c r="N36" s="12">
        <v>0</v>
      </c>
      <c r="O36" s="33">
        <v>80000000</v>
      </c>
      <c r="P36" s="23">
        <v>12526136</v>
      </c>
      <c r="Q36" s="23">
        <v>159135355</v>
      </c>
      <c r="R36" s="23">
        <f>346928237</f>
        <v>346928237</v>
      </c>
      <c r="S36" s="23">
        <v>340679557</v>
      </c>
      <c r="T36" s="23">
        <v>232302916</v>
      </c>
      <c r="U36" s="18">
        <f t="shared" si="5"/>
        <v>1091572201</v>
      </c>
      <c r="V36" s="18">
        <f t="shared" si="6"/>
        <v>1091572201</v>
      </c>
      <c r="W36" s="18">
        <f t="shared" si="7"/>
        <v>1011572201</v>
      </c>
      <c r="X36" s="24">
        <v>43460</v>
      </c>
      <c r="Y36" s="25">
        <v>44880</v>
      </c>
      <c r="Z36" s="17"/>
      <c r="AA36" s="17"/>
      <c r="AB36" s="13"/>
      <c r="AC36" s="13"/>
      <c r="AD36" s="13"/>
      <c r="AE36" s="13"/>
      <c r="AF36" s="13"/>
      <c r="AG36" s="13"/>
      <c r="AH36" s="13"/>
      <c r="AI36" s="13"/>
      <c r="AJ36" s="13"/>
      <c r="AK36" s="13"/>
      <c r="AL36" s="14" t="s">
        <v>684</v>
      </c>
      <c r="AM36" s="32" t="s">
        <v>29</v>
      </c>
      <c r="AN36" s="19" t="s">
        <v>30</v>
      </c>
      <c r="AO36" s="19" t="s">
        <v>347</v>
      </c>
      <c r="AP36" s="19" t="s">
        <v>32</v>
      </c>
      <c r="AQ36" s="26" t="s">
        <v>348</v>
      </c>
      <c r="AR36" s="19" t="s">
        <v>18</v>
      </c>
    </row>
    <row r="37" spans="1:44" ht="144" customHeight="1" x14ac:dyDescent="0.25">
      <c r="A37" s="21" t="s">
        <v>349</v>
      </c>
      <c r="B37" s="21"/>
      <c r="C37" s="36">
        <v>1</v>
      </c>
      <c r="D37" s="21"/>
      <c r="E37" s="21"/>
      <c r="F37" s="21"/>
      <c r="G37" s="21"/>
      <c r="H37" s="21"/>
      <c r="I37" s="9" t="s">
        <v>775</v>
      </c>
      <c r="J37" s="9" t="s">
        <v>20</v>
      </c>
      <c r="K37" s="10" t="s">
        <v>735</v>
      </c>
      <c r="L37" s="32" t="s">
        <v>64</v>
      </c>
      <c r="M37" s="31" t="s">
        <v>315</v>
      </c>
      <c r="N37" s="12">
        <v>0</v>
      </c>
      <c r="O37" s="33">
        <f>57772400+78000000+32000000</f>
        <v>167772400</v>
      </c>
      <c r="P37" s="23">
        <v>2200000</v>
      </c>
      <c r="Q37" s="23">
        <v>6227600</v>
      </c>
      <c r="R37" s="23">
        <f>78000000</f>
        <v>78000000</v>
      </c>
      <c r="S37" s="23">
        <f>78000000</f>
        <v>78000000</v>
      </c>
      <c r="T37" s="23">
        <v>51600000</v>
      </c>
      <c r="U37" s="18">
        <f t="shared" si="5"/>
        <v>216027600</v>
      </c>
      <c r="V37" s="18">
        <f t="shared" si="6"/>
        <v>216027600</v>
      </c>
      <c r="W37" s="18">
        <f t="shared" si="7"/>
        <v>48255200</v>
      </c>
      <c r="X37" s="24">
        <v>43460</v>
      </c>
      <c r="Y37" s="25">
        <v>44880</v>
      </c>
      <c r="Z37" s="17"/>
      <c r="AA37" s="17"/>
      <c r="AB37" s="13"/>
      <c r="AC37" s="13"/>
      <c r="AD37" s="13"/>
      <c r="AE37" s="13"/>
      <c r="AF37" s="13"/>
      <c r="AG37" s="13"/>
      <c r="AH37" s="13"/>
      <c r="AI37" s="13"/>
      <c r="AJ37" s="13"/>
      <c r="AK37" s="13"/>
      <c r="AL37" s="14" t="s">
        <v>684</v>
      </c>
      <c r="AM37" s="32" t="s">
        <v>65</v>
      </c>
      <c r="AN37" s="19" t="s">
        <v>66</v>
      </c>
      <c r="AO37" s="19" t="s">
        <v>350</v>
      </c>
      <c r="AP37" s="19" t="s">
        <v>67</v>
      </c>
      <c r="AQ37" s="26" t="s">
        <v>351</v>
      </c>
      <c r="AR37" s="19" t="s">
        <v>18</v>
      </c>
    </row>
    <row r="38" spans="1:44" ht="84.95" customHeight="1" x14ac:dyDescent="0.25">
      <c r="A38" s="21" t="s">
        <v>352</v>
      </c>
      <c r="B38" s="21"/>
      <c r="C38" s="36">
        <v>1</v>
      </c>
      <c r="D38" s="21"/>
      <c r="E38" s="21"/>
      <c r="F38" s="21"/>
      <c r="G38" s="21"/>
      <c r="H38" s="21"/>
      <c r="I38" s="9" t="s">
        <v>775</v>
      </c>
      <c r="J38" s="9" t="s">
        <v>20</v>
      </c>
      <c r="K38" s="10" t="s">
        <v>735</v>
      </c>
      <c r="L38" s="32" t="s">
        <v>190</v>
      </c>
      <c r="M38" s="31" t="s">
        <v>315</v>
      </c>
      <c r="N38" s="12">
        <v>0</v>
      </c>
      <c r="O38" s="33">
        <v>12813681</v>
      </c>
      <c r="P38" s="23">
        <v>929241</v>
      </c>
      <c r="Q38" s="23">
        <v>17740049</v>
      </c>
      <c r="R38" s="23">
        <v>24920545</v>
      </c>
      <c r="S38" s="23">
        <f>23653399</f>
        <v>23653399</v>
      </c>
      <c r="T38" s="23">
        <v>17233190</v>
      </c>
      <c r="U38" s="18">
        <f t="shared" si="5"/>
        <v>84476424</v>
      </c>
      <c r="V38" s="18">
        <f t="shared" si="6"/>
        <v>84476424</v>
      </c>
      <c r="W38" s="18">
        <f t="shared" si="7"/>
        <v>71662743</v>
      </c>
      <c r="X38" s="24">
        <v>43460</v>
      </c>
      <c r="Y38" s="25">
        <v>44880</v>
      </c>
      <c r="Z38" s="17"/>
      <c r="AA38" s="17"/>
      <c r="AB38" s="13"/>
      <c r="AC38" s="13"/>
      <c r="AD38" s="13"/>
      <c r="AE38" s="13"/>
      <c r="AF38" s="13"/>
      <c r="AG38" s="13"/>
      <c r="AH38" s="13"/>
      <c r="AI38" s="13"/>
      <c r="AJ38" s="13"/>
      <c r="AK38" s="13"/>
      <c r="AL38" s="14" t="s">
        <v>684</v>
      </c>
      <c r="AM38" s="32" t="s">
        <v>353</v>
      </c>
      <c r="AN38" s="19" t="s">
        <v>191</v>
      </c>
      <c r="AO38" s="19" t="s">
        <v>354</v>
      </c>
      <c r="AP38" s="19" t="s">
        <v>192</v>
      </c>
      <c r="AQ38" s="26" t="s">
        <v>193</v>
      </c>
      <c r="AR38" s="19" t="s">
        <v>18</v>
      </c>
    </row>
    <row r="39" spans="1:44" ht="84.95" customHeight="1" x14ac:dyDescent="0.25">
      <c r="A39" s="21" t="s">
        <v>355</v>
      </c>
      <c r="B39" s="21"/>
      <c r="C39" s="36">
        <v>1</v>
      </c>
      <c r="D39" s="21"/>
      <c r="E39" s="21"/>
      <c r="F39" s="21"/>
      <c r="G39" s="21"/>
      <c r="H39" s="21"/>
      <c r="I39" s="9" t="s">
        <v>775</v>
      </c>
      <c r="J39" s="9" t="s">
        <v>20</v>
      </c>
      <c r="K39" s="10" t="s">
        <v>735</v>
      </c>
      <c r="L39" s="32" t="s">
        <v>356</v>
      </c>
      <c r="M39" s="31" t="s">
        <v>315</v>
      </c>
      <c r="N39" s="12">
        <v>0</v>
      </c>
      <c r="O39" s="33">
        <v>75411993</v>
      </c>
      <c r="P39" s="23">
        <v>2848328</v>
      </c>
      <c r="Q39" s="23">
        <v>58558995</v>
      </c>
      <c r="R39" s="23">
        <v>76223350</v>
      </c>
      <c r="S39" s="23">
        <f>75411993</f>
        <v>75411993</v>
      </c>
      <c r="T39" s="23">
        <v>57114452</v>
      </c>
      <c r="U39" s="18">
        <f t="shared" si="5"/>
        <v>270157118</v>
      </c>
      <c r="V39" s="18">
        <f t="shared" si="6"/>
        <v>270157118</v>
      </c>
      <c r="W39" s="18">
        <f t="shared" si="7"/>
        <v>194745125</v>
      </c>
      <c r="X39" s="24">
        <v>43460</v>
      </c>
      <c r="Y39" s="25">
        <v>44880</v>
      </c>
      <c r="Z39" s="17"/>
      <c r="AA39" s="17"/>
      <c r="AB39" s="13"/>
      <c r="AC39" s="13"/>
      <c r="AD39" s="13"/>
      <c r="AE39" s="13"/>
      <c r="AF39" s="13"/>
      <c r="AG39" s="13"/>
      <c r="AH39" s="13"/>
      <c r="AI39" s="13"/>
      <c r="AJ39" s="13"/>
      <c r="AK39" s="13"/>
      <c r="AL39" s="14" t="s">
        <v>684</v>
      </c>
      <c r="AM39" s="32" t="s">
        <v>357</v>
      </c>
      <c r="AN39" s="19" t="s">
        <v>358</v>
      </c>
      <c r="AO39" s="19" t="s">
        <v>359</v>
      </c>
      <c r="AP39" s="19" t="s">
        <v>360</v>
      </c>
      <c r="AQ39" s="26" t="s">
        <v>648</v>
      </c>
      <c r="AR39" s="19" t="s">
        <v>18</v>
      </c>
    </row>
    <row r="40" spans="1:44" ht="113.25" customHeight="1" x14ac:dyDescent="0.25">
      <c r="A40" s="21" t="s">
        <v>361</v>
      </c>
      <c r="B40" s="21"/>
      <c r="C40" s="36">
        <v>1</v>
      </c>
      <c r="D40" s="21"/>
      <c r="E40" s="21"/>
      <c r="F40" s="21"/>
      <c r="G40" s="21"/>
      <c r="H40" s="21"/>
      <c r="I40" s="9" t="s">
        <v>775</v>
      </c>
      <c r="J40" s="9" t="s">
        <v>20</v>
      </c>
      <c r="K40" s="10" t="s">
        <v>735</v>
      </c>
      <c r="L40" s="32" t="s">
        <v>362</v>
      </c>
      <c r="M40" s="31" t="s">
        <v>315</v>
      </c>
      <c r="N40" s="27">
        <f>85000000+210000000</f>
        <v>295000000</v>
      </c>
      <c r="O40" s="16">
        <v>0</v>
      </c>
      <c r="P40" s="23">
        <v>60000000</v>
      </c>
      <c r="Q40" s="23">
        <v>452437796</v>
      </c>
      <c r="R40" s="23">
        <f>590188517</f>
        <v>590188517</v>
      </c>
      <c r="S40" s="23">
        <v>700444181</v>
      </c>
      <c r="T40" s="23">
        <v>228929506</v>
      </c>
      <c r="U40" s="18">
        <f t="shared" si="5"/>
        <v>2032000000</v>
      </c>
      <c r="V40" s="18">
        <f t="shared" si="6"/>
        <v>2327000000</v>
      </c>
      <c r="W40" s="18">
        <f t="shared" si="7"/>
        <v>2327000000</v>
      </c>
      <c r="X40" s="24">
        <v>43460</v>
      </c>
      <c r="Y40" s="25">
        <v>44880</v>
      </c>
      <c r="Z40" s="17"/>
      <c r="AA40" s="17"/>
      <c r="AB40" s="13"/>
      <c r="AC40" s="13"/>
      <c r="AD40" s="13"/>
      <c r="AE40" s="13"/>
      <c r="AF40" s="13"/>
      <c r="AG40" s="13"/>
      <c r="AH40" s="13"/>
      <c r="AI40" s="13"/>
      <c r="AJ40" s="13"/>
      <c r="AK40" s="13"/>
      <c r="AL40" s="14" t="s">
        <v>684</v>
      </c>
      <c r="AM40" s="32" t="s">
        <v>363</v>
      </c>
      <c r="AN40" s="19" t="s">
        <v>364</v>
      </c>
      <c r="AO40" s="19" t="s">
        <v>365</v>
      </c>
      <c r="AP40" s="19" t="s">
        <v>366</v>
      </c>
      <c r="AQ40" s="26" t="s">
        <v>649</v>
      </c>
      <c r="AR40" s="19" t="s">
        <v>367</v>
      </c>
    </row>
    <row r="41" spans="1:44" ht="84.95" customHeight="1" x14ac:dyDescent="0.25">
      <c r="A41" s="21" t="s">
        <v>368</v>
      </c>
      <c r="B41" s="21"/>
      <c r="C41" s="36">
        <v>1</v>
      </c>
      <c r="D41" s="21"/>
      <c r="E41" s="21"/>
      <c r="F41" s="21"/>
      <c r="G41" s="21"/>
      <c r="H41" s="21"/>
      <c r="I41" s="9" t="s">
        <v>775</v>
      </c>
      <c r="J41" s="9" t="s">
        <v>20</v>
      </c>
      <c r="K41" s="10" t="s">
        <v>735</v>
      </c>
      <c r="L41" s="32" t="s">
        <v>84</v>
      </c>
      <c r="M41" s="31" t="s">
        <v>315</v>
      </c>
      <c r="N41" s="27">
        <v>20000000</v>
      </c>
      <c r="O41" s="16">
        <v>0</v>
      </c>
      <c r="P41" s="23">
        <v>2000000</v>
      </c>
      <c r="Q41" s="23">
        <v>45000000</v>
      </c>
      <c r="R41" s="23">
        <v>65000000</v>
      </c>
      <c r="S41" s="23">
        <v>75000000</v>
      </c>
      <c r="T41" s="23">
        <v>12800000</v>
      </c>
      <c r="U41" s="18">
        <f t="shared" si="5"/>
        <v>199800000</v>
      </c>
      <c r="V41" s="18">
        <f t="shared" si="6"/>
        <v>219800000</v>
      </c>
      <c r="W41" s="18">
        <f t="shared" si="7"/>
        <v>219800000</v>
      </c>
      <c r="X41" s="24">
        <v>43460</v>
      </c>
      <c r="Y41" s="25">
        <v>44880</v>
      </c>
      <c r="Z41" s="17"/>
      <c r="AA41" s="17"/>
      <c r="AB41" s="13"/>
      <c r="AC41" s="13"/>
      <c r="AD41" s="13"/>
      <c r="AE41" s="13"/>
      <c r="AF41" s="13"/>
      <c r="AG41" s="13"/>
      <c r="AH41" s="13"/>
      <c r="AI41" s="13"/>
      <c r="AJ41" s="13"/>
      <c r="AK41" s="13"/>
      <c r="AL41" s="14" t="s">
        <v>684</v>
      </c>
      <c r="AM41" s="32" t="s">
        <v>85</v>
      </c>
      <c r="AN41" s="19" t="s">
        <v>46</v>
      </c>
      <c r="AO41" s="19" t="s">
        <v>369</v>
      </c>
      <c r="AP41" s="19" t="s">
        <v>48</v>
      </c>
      <c r="AQ41" s="26" t="s">
        <v>49</v>
      </c>
      <c r="AR41" s="19" t="s">
        <v>18</v>
      </c>
    </row>
    <row r="42" spans="1:44" ht="102.75" customHeight="1" x14ac:dyDescent="0.25">
      <c r="A42" s="21" t="s">
        <v>370</v>
      </c>
      <c r="B42" s="11">
        <v>1</v>
      </c>
      <c r="C42" s="21"/>
      <c r="D42" s="21"/>
      <c r="E42" s="21"/>
      <c r="F42" s="21"/>
      <c r="G42" s="21"/>
      <c r="H42" s="21"/>
      <c r="I42" s="9" t="s">
        <v>802</v>
      </c>
      <c r="J42" s="9" t="s">
        <v>657</v>
      </c>
      <c r="K42" s="10" t="s">
        <v>736</v>
      </c>
      <c r="L42" s="32" t="s">
        <v>371</v>
      </c>
      <c r="M42" s="31" t="s">
        <v>372</v>
      </c>
      <c r="N42" s="27">
        <f>200000000+150000000+700000000</f>
        <v>1050000000</v>
      </c>
      <c r="O42" s="16">
        <v>0</v>
      </c>
      <c r="P42" s="23">
        <v>75568942</v>
      </c>
      <c r="Q42" s="23">
        <v>2059459678</v>
      </c>
      <c r="R42" s="23">
        <v>1850220270</v>
      </c>
      <c r="S42" s="23">
        <f>1905726880</f>
        <v>1905726880</v>
      </c>
      <c r="T42" s="23">
        <v>1145024230</v>
      </c>
      <c r="U42" s="18">
        <f t="shared" si="5"/>
        <v>7036000000</v>
      </c>
      <c r="V42" s="18">
        <f t="shared" si="6"/>
        <v>8086000000</v>
      </c>
      <c r="W42" s="18">
        <f t="shared" si="7"/>
        <v>8086000000</v>
      </c>
      <c r="X42" s="24">
        <v>43462</v>
      </c>
      <c r="Y42" s="25">
        <v>44880</v>
      </c>
      <c r="Z42" s="17"/>
      <c r="AA42" s="17"/>
      <c r="AB42" s="13"/>
      <c r="AC42" s="13"/>
      <c r="AD42" s="13"/>
      <c r="AE42" s="13"/>
      <c r="AF42" s="13"/>
      <c r="AG42" s="13"/>
      <c r="AH42" s="13"/>
      <c r="AI42" s="13"/>
      <c r="AJ42" s="13"/>
      <c r="AK42" s="13"/>
      <c r="AL42" s="14" t="s">
        <v>679</v>
      </c>
      <c r="AM42" s="32" t="s">
        <v>373</v>
      </c>
      <c r="AN42" s="19" t="s">
        <v>766</v>
      </c>
      <c r="AO42" s="19" t="s">
        <v>374</v>
      </c>
      <c r="AP42" s="19" t="s">
        <v>375</v>
      </c>
      <c r="AQ42" s="26" t="s">
        <v>376</v>
      </c>
      <c r="AR42" s="19" t="s">
        <v>18</v>
      </c>
    </row>
    <row r="43" spans="1:44" ht="84.95" customHeight="1" x14ac:dyDescent="0.25">
      <c r="A43" s="21" t="s">
        <v>377</v>
      </c>
      <c r="B43" s="21"/>
      <c r="C43" s="36">
        <v>1</v>
      </c>
      <c r="D43" s="21"/>
      <c r="E43" s="21"/>
      <c r="F43" s="21"/>
      <c r="G43" s="21"/>
      <c r="H43" s="21"/>
      <c r="I43" s="9" t="s">
        <v>816</v>
      </c>
      <c r="J43" s="9" t="s">
        <v>20</v>
      </c>
      <c r="K43" s="10" t="s">
        <v>737</v>
      </c>
      <c r="L43" s="32" t="s">
        <v>378</v>
      </c>
      <c r="M43" s="31" t="s">
        <v>379</v>
      </c>
      <c r="N43" s="27">
        <v>27000000</v>
      </c>
      <c r="O43" s="16">
        <v>0</v>
      </c>
      <c r="P43" s="23">
        <v>13750000</v>
      </c>
      <c r="Q43" s="23">
        <v>340714000</v>
      </c>
      <c r="R43" s="23">
        <v>350935420</v>
      </c>
      <c r="S43" s="23">
        <f>361463480</f>
        <v>361463480</v>
      </c>
      <c r="T43" s="23">
        <v>217179310</v>
      </c>
      <c r="U43" s="18">
        <f t="shared" si="5"/>
        <v>1284042210</v>
      </c>
      <c r="V43" s="18">
        <f t="shared" si="6"/>
        <v>1311042210</v>
      </c>
      <c r="W43" s="18">
        <f t="shared" si="7"/>
        <v>1311042210</v>
      </c>
      <c r="X43" s="24">
        <v>43460</v>
      </c>
      <c r="Y43" s="25">
        <v>44814</v>
      </c>
      <c r="Z43" s="17"/>
      <c r="AA43" s="17"/>
      <c r="AB43" s="13"/>
      <c r="AC43" s="13"/>
      <c r="AD43" s="13"/>
      <c r="AE43" s="13"/>
      <c r="AF43" s="13"/>
      <c r="AG43" s="13"/>
      <c r="AH43" s="13"/>
      <c r="AI43" s="13"/>
      <c r="AJ43" s="13"/>
      <c r="AK43" s="13"/>
      <c r="AL43" s="14" t="s">
        <v>95</v>
      </c>
      <c r="AM43" s="32" t="s">
        <v>380</v>
      </c>
      <c r="AN43" s="19" t="s">
        <v>240</v>
      </c>
      <c r="AO43" s="19" t="s">
        <v>381</v>
      </c>
      <c r="AP43" s="19" t="s">
        <v>382</v>
      </c>
      <c r="AQ43" s="26" t="s">
        <v>383</v>
      </c>
      <c r="AR43" s="19" t="s">
        <v>26</v>
      </c>
    </row>
    <row r="44" spans="1:44" ht="101.25" customHeight="1" x14ac:dyDescent="0.25">
      <c r="A44" s="21" t="s">
        <v>384</v>
      </c>
      <c r="B44" s="11">
        <v>1</v>
      </c>
      <c r="C44" s="21"/>
      <c r="D44" s="21"/>
      <c r="E44" s="21"/>
      <c r="F44" s="21"/>
      <c r="G44" s="21"/>
      <c r="H44" s="21"/>
      <c r="I44" s="9" t="s">
        <v>803</v>
      </c>
      <c r="J44" s="9" t="s">
        <v>657</v>
      </c>
      <c r="K44" s="10" t="s">
        <v>738</v>
      </c>
      <c r="L44" s="32" t="s">
        <v>219</v>
      </c>
      <c r="M44" s="31" t="s">
        <v>385</v>
      </c>
      <c r="N44" s="12">
        <v>92500000</v>
      </c>
      <c r="O44" s="33">
        <f>17000000+50000000+40000000</f>
        <v>107000000</v>
      </c>
      <c r="P44" s="23">
        <f>20592750</f>
        <v>20592750</v>
      </c>
      <c r="Q44" s="23">
        <f>255135980</f>
        <v>255135980</v>
      </c>
      <c r="R44" s="23">
        <f>262790060</f>
        <v>262790060</v>
      </c>
      <c r="S44" s="23">
        <v>270673760</v>
      </c>
      <c r="T44" s="23">
        <v>162629820</v>
      </c>
      <c r="U44" s="18">
        <f t="shared" si="5"/>
        <v>971822370</v>
      </c>
      <c r="V44" s="18">
        <f t="shared" si="6"/>
        <v>1064322370</v>
      </c>
      <c r="W44" s="18">
        <f t="shared" si="7"/>
        <v>957322370</v>
      </c>
      <c r="X44" s="24">
        <v>43461</v>
      </c>
      <c r="Y44" s="25">
        <v>44880</v>
      </c>
      <c r="Z44" s="17"/>
      <c r="AA44" s="17"/>
      <c r="AB44" s="13"/>
      <c r="AC44" s="13"/>
      <c r="AD44" s="13"/>
      <c r="AE44" s="13"/>
      <c r="AF44" s="13"/>
      <c r="AG44" s="13"/>
      <c r="AH44" s="13"/>
      <c r="AI44" s="13"/>
      <c r="AJ44" s="13"/>
      <c r="AK44" s="13"/>
      <c r="AL44" s="14" t="s">
        <v>689</v>
      </c>
      <c r="AM44" s="32" t="s">
        <v>207</v>
      </c>
      <c r="AN44" s="19" t="s">
        <v>386</v>
      </c>
      <c r="AO44" s="19" t="s">
        <v>112</v>
      </c>
      <c r="AP44" s="19" t="s">
        <v>113</v>
      </c>
      <c r="AQ44" s="26" t="s">
        <v>209</v>
      </c>
      <c r="AR44" s="19" t="s">
        <v>18</v>
      </c>
    </row>
    <row r="45" spans="1:44" ht="112.5" customHeight="1" x14ac:dyDescent="0.25">
      <c r="A45" s="21" t="s">
        <v>387</v>
      </c>
      <c r="B45" s="11">
        <v>1</v>
      </c>
      <c r="C45" s="21"/>
      <c r="D45" s="21"/>
      <c r="E45" s="21"/>
      <c r="F45" s="21"/>
      <c r="G45" s="21"/>
      <c r="H45" s="21"/>
      <c r="I45" s="9" t="s">
        <v>804</v>
      </c>
      <c r="J45" s="9" t="s">
        <v>657</v>
      </c>
      <c r="K45" s="10" t="s">
        <v>739</v>
      </c>
      <c r="L45" s="32" t="s">
        <v>388</v>
      </c>
      <c r="M45" s="31" t="s">
        <v>389</v>
      </c>
      <c r="N45" s="12">
        <v>0</v>
      </c>
      <c r="O45" s="33">
        <f>123000000+400000000</f>
        <v>523000000</v>
      </c>
      <c r="P45" s="23">
        <v>68828250</v>
      </c>
      <c r="Q45" s="23">
        <v>742144120</v>
      </c>
      <c r="R45" s="23">
        <f>891098440</f>
        <v>891098440</v>
      </c>
      <c r="S45" s="23">
        <v>917831390</v>
      </c>
      <c r="T45" s="23">
        <v>551463690</v>
      </c>
      <c r="U45" s="18">
        <f t="shared" si="5"/>
        <v>3171365890</v>
      </c>
      <c r="V45" s="18">
        <f t="shared" si="6"/>
        <v>3171365890</v>
      </c>
      <c r="W45" s="18">
        <f t="shared" si="7"/>
        <v>2648365890</v>
      </c>
      <c r="X45" s="24">
        <v>43461</v>
      </c>
      <c r="Y45" s="25">
        <v>44880</v>
      </c>
      <c r="Z45" s="17"/>
      <c r="AA45" s="17"/>
      <c r="AB45" s="13"/>
      <c r="AC45" s="13"/>
      <c r="AD45" s="13"/>
      <c r="AE45" s="13"/>
      <c r="AF45" s="13"/>
      <c r="AG45" s="13"/>
      <c r="AH45" s="13"/>
      <c r="AI45" s="13"/>
      <c r="AJ45" s="13"/>
      <c r="AK45" s="13"/>
      <c r="AL45" s="14" t="s">
        <v>44</v>
      </c>
      <c r="AM45" s="32" t="s">
        <v>390</v>
      </c>
      <c r="AN45" s="19" t="s">
        <v>762</v>
      </c>
      <c r="AO45" s="19" t="s">
        <v>112</v>
      </c>
      <c r="AP45" s="19" t="s">
        <v>113</v>
      </c>
      <c r="AQ45" s="26" t="s">
        <v>391</v>
      </c>
      <c r="AR45" s="19" t="s">
        <v>18</v>
      </c>
    </row>
    <row r="46" spans="1:44" ht="84.95" customHeight="1" x14ac:dyDescent="0.25">
      <c r="A46" s="21" t="s">
        <v>392</v>
      </c>
      <c r="B46" s="11">
        <v>1</v>
      </c>
      <c r="C46" s="21"/>
      <c r="D46" s="21"/>
      <c r="E46" s="21"/>
      <c r="F46" s="21"/>
      <c r="G46" s="21"/>
      <c r="H46" s="21"/>
      <c r="I46" s="9" t="s">
        <v>805</v>
      </c>
      <c r="J46" s="9" t="s">
        <v>657</v>
      </c>
      <c r="K46" s="10" t="s">
        <v>740</v>
      </c>
      <c r="L46" s="32" t="s">
        <v>393</v>
      </c>
      <c r="M46" s="31" t="s">
        <v>394</v>
      </c>
      <c r="N46" s="27">
        <f>579520548+1168875312</f>
        <v>1748395860</v>
      </c>
      <c r="O46" s="33">
        <f>65703941+99073886</f>
        <v>164777827</v>
      </c>
      <c r="P46" s="23">
        <v>95404865</v>
      </c>
      <c r="Q46" s="23">
        <v>3569152669</v>
      </c>
      <c r="R46" s="23">
        <v>3733205445</v>
      </c>
      <c r="S46" s="23">
        <f>3859224224</f>
        <v>3859224224</v>
      </c>
      <c r="T46" s="23">
        <v>2296483809</v>
      </c>
      <c r="U46" s="18">
        <f t="shared" si="5"/>
        <v>13553471012</v>
      </c>
      <c r="V46" s="18">
        <f t="shared" si="6"/>
        <v>15301866872</v>
      </c>
      <c r="W46" s="18">
        <f t="shared" si="7"/>
        <v>15137089045</v>
      </c>
      <c r="X46" s="24">
        <v>43461</v>
      </c>
      <c r="Y46" s="25">
        <v>44880</v>
      </c>
      <c r="Z46" s="17"/>
      <c r="AA46" s="17"/>
      <c r="AB46" s="13"/>
      <c r="AC46" s="13"/>
      <c r="AD46" s="13"/>
      <c r="AE46" s="13"/>
      <c r="AF46" s="13"/>
      <c r="AG46" s="13"/>
      <c r="AH46" s="13"/>
      <c r="AI46" s="13"/>
      <c r="AJ46" s="13"/>
      <c r="AK46" s="13"/>
      <c r="AL46" s="14" t="s">
        <v>395</v>
      </c>
      <c r="AM46" s="32" t="s">
        <v>396</v>
      </c>
      <c r="AN46" s="19" t="s">
        <v>397</v>
      </c>
      <c r="AO46" s="19" t="s">
        <v>398</v>
      </c>
      <c r="AP46" s="19" t="s">
        <v>399</v>
      </c>
      <c r="AQ46" s="26" t="s">
        <v>400</v>
      </c>
      <c r="AR46" s="19" t="s">
        <v>18</v>
      </c>
    </row>
    <row r="47" spans="1:44" ht="177" customHeight="1" x14ac:dyDescent="0.25">
      <c r="A47" s="21" t="s">
        <v>401</v>
      </c>
      <c r="B47" s="11">
        <v>1</v>
      </c>
      <c r="C47" s="21"/>
      <c r="D47" s="21"/>
      <c r="E47" s="21"/>
      <c r="F47" s="21"/>
      <c r="G47" s="21"/>
      <c r="H47" s="21"/>
      <c r="I47" s="9" t="s">
        <v>806</v>
      </c>
      <c r="J47" s="9" t="s">
        <v>657</v>
      </c>
      <c r="K47" s="10" t="s">
        <v>741</v>
      </c>
      <c r="L47" s="32" t="s">
        <v>402</v>
      </c>
      <c r="M47" s="31" t="s">
        <v>403</v>
      </c>
      <c r="N47" s="12">
        <v>0</v>
      </c>
      <c r="O47" s="33">
        <f>1750000000+1900000000+130000000+430000000</f>
        <v>4210000000</v>
      </c>
      <c r="P47" s="23">
        <v>266732480</v>
      </c>
      <c r="Q47" s="23">
        <v>1554708790</v>
      </c>
      <c r="R47" s="23">
        <f>3403850050</f>
        <v>3403850050</v>
      </c>
      <c r="S47" s="23">
        <f>3505965550</f>
        <v>3505965550</v>
      </c>
      <c r="T47" s="23">
        <v>2106500970</v>
      </c>
      <c r="U47" s="18">
        <f t="shared" si="5"/>
        <v>10837757840</v>
      </c>
      <c r="V47" s="18">
        <f t="shared" si="6"/>
        <v>10837757840</v>
      </c>
      <c r="W47" s="18">
        <f t="shared" si="7"/>
        <v>6627757840</v>
      </c>
      <c r="X47" s="24">
        <v>43461</v>
      </c>
      <c r="Y47" s="25">
        <v>44880</v>
      </c>
      <c r="Z47" s="17"/>
      <c r="AA47" s="17"/>
      <c r="AB47" s="13"/>
      <c r="AC47" s="13"/>
      <c r="AD47" s="13"/>
      <c r="AE47" s="13"/>
      <c r="AF47" s="13"/>
      <c r="AG47" s="13"/>
      <c r="AH47" s="13"/>
      <c r="AI47" s="13"/>
      <c r="AJ47" s="13"/>
      <c r="AK47" s="13"/>
      <c r="AL47" s="14" t="s">
        <v>690</v>
      </c>
      <c r="AM47" s="32" t="s">
        <v>405</v>
      </c>
      <c r="AN47" s="19" t="s">
        <v>406</v>
      </c>
      <c r="AO47" s="19" t="s">
        <v>407</v>
      </c>
      <c r="AP47" s="19" t="s">
        <v>408</v>
      </c>
      <c r="AQ47" s="26" t="s">
        <v>409</v>
      </c>
      <c r="AR47" s="19" t="s">
        <v>18</v>
      </c>
    </row>
    <row r="48" spans="1:44" ht="84.95" customHeight="1" x14ac:dyDescent="0.25">
      <c r="A48" s="21" t="s">
        <v>410</v>
      </c>
      <c r="B48" s="11">
        <v>1</v>
      </c>
      <c r="C48" s="21"/>
      <c r="D48" s="21"/>
      <c r="E48" s="21"/>
      <c r="F48" s="21"/>
      <c r="G48" s="21"/>
      <c r="H48" s="21"/>
      <c r="I48" s="9" t="s">
        <v>807</v>
      </c>
      <c r="J48" s="9" t="s">
        <v>96</v>
      </c>
      <c r="K48" s="10" t="s">
        <v>742</v>
      </c>
      <c r="L48" s="32" t="s">
        <v>411</v>
      </c>
      <c r="M48" s="31" t="s">
        <v>412</v>
      </c>
      <c r="N48" s="30">
        <v>33000000</v>
      </c>
      <c r="O48" s="35">
        <v>125000000</v>
      </c>
      <c r="P48" s="23">
        <v>157000000</v>
      </c>
      <c r="Q48" s="23">
        <v>258720520</v>
      </c>
      <c r="R48" s="23">
        <f>191720520</f>
        <v>191720520</v>
      </c>
      <c r="S48" s="23">
        <v>198720520</v>
      </c>
      <c r="T48" s="23">
        <v>170000000</v>
      </c>
      <c r="U48" s="18">
        <f t="shared" si="5"/>
        <v>976161560</v>
      </c>
      <c r="V48" s="18">
        <f t="shared" si="6"/>
        <v>1009161560</v>
      </c>
      <c r="W48" s="18">
        <f t="shared" si="7"/>
        <v>884161560</v>
      </c>
      <c r="X48" s="24">
        <v>43461</v>
      </c>
      <c r="Y48" s="25">
        <v>44883</v>
      </c>
      <c r="Z48" s="17"/>
      <c r="AA48" s="17"/>
      <c r="AB48" s="13"/>
      <c r="AC48" s="13"/>
      <c r="AD48" s="13"/>
      <c r="AE48" s="13"/>
      <c r="AF48" s="13"/>
      <c r="AG48" s="13"/>
      <c r="AH48" s="13"/>
      <c r="AI48" s="13"/>
      <c r="AJ48" s="13"/>
      <c r="AK48" s="13"/>
      <c r="AL48" s="14" t="s">
        <v>81</v>
      </c>
      <c r="AM48" s="32" t="s">
        <v>413</v>
      </c>
      <c r="AN48" s="19" t="s">
        <v>57</v>
      </c>
      <c r="AO48" s="19" t="s">
        <v>58</v>
      </c>
      <c r="AP48" s="19" t="s">
        <v>414</v>
      </c>
      <c r="AQ48" s="26" t="s">
        <v>415</v>
      </c>
      <c r="AR48" s="19" t="s">
        <v>18</v>
      </c>
    </row>
    <row r="49" spans="1:44" ht="84.95" customHeight="1" x14ac:dyDescent="0.25">
      <c r="A49" s="21" t="s">
        <v>416</v>
      </c>
      <c r="B49" s="21"/>
      <c r="C49" s="36">
        <v>1</v>
      </c>
      <c r="D49" s="21"/>
      <c r="E49" s="21"/>
      <c r="F49" s="21"/>
      <c r="G49" s="21"/>
      <c r="H49" s="21"/>
      <c r="I49" s="9" t="s">
        <v>817</v>
      </c>
      <c r="J49" s="9" t="s">
        <v>83</v>
      </c>
      <c r="K49" s="10" t="s">
        <v>19</v>
      </c>
      <c r="L49" s="32" t="s">
        <v>302</v>
      </c>
      <c r="M49" s="31" t="s">
        <v>417</v>
      </c>
      <c r="N49" s="12">
        <v>0</v>
      </c>
      <c r="O49" s="16">
        <v>0</v>
      </c>
      <c r="P49" s="23">
        <v>100000000</v>
      </c>
      <c r="Q49" s="23">
        <v>1100000000</v>
      </c>
      <c r="R49" s="23">
        <v>1359600000</v>
      </c>
      <c r="S49" s="23">
        <v>1400388000</v>
      </c>
      <c r="T49" s="23">
        <v>841399790</v>
      </c>
      <c r="U49" s="18">
        <f t="shared" si="5"/>
        <v>4801387790</v>
      </c>
      <c r="V49" s="18">
        <f t="shared" ref="V49:V94" si="8">U49+N49</f>
        <v>4801387790</v>
      </c>
      <c r="W49" s="18">
        <f t="shared" si="7"/>
        <v>4801387790</v>
      </c>
      <c r="X49" s="24">
        <v>43462</v>
      </c>
      <c r="Y49" s="25">
        <v>44895</v>
      </c>
      <c r="Z49" s="17"/>
      <c r="AA49" s="17"/>
      <c r="AB49" s="13"/>
      <c r="AC49" s="13"/>
      <c r="AD49" s="13"/>
      <c r="AE49" s="13"/>
      <c r="AF49" s="13"/>
      <c r="AG49" s="13"/>
      <c r="AH49" s="13"/>
      <c r="AI49" s="13"/>
      <c r="AJ49" s="13"/>
      <c r="AK49" s="13"/>
      <c r="AL49" s="14" t="s">
        <v>685</v>
      </c>
      <c r="AM49" s="32" t="s">
        <v>418</v>
      </c>
      <c r="AN49" s="19" t="s">
        <v>304</v>
      </c>
      <c r="AO49" s="19" t="s">
        <v>419</v>
      </c>
      <c r="AP49" s="19" t="s">
        <v>420</v>
      </c>
      <c r="AQ49" s="26" t="s">
        <v>307</v>
      </c>
      <c r="AR49" s="19" t="s">
        <v>18</v>
      </c>
    </row>
    <row r="50" spans="1:44" ht="104.25" customHeight="1" x14ac:dyDescent="0.25">
      <c r="A50" s="21" t="s">
        <v>421</v>
      </c>
      <c r="B50" s="21"/>
      <c r="C50" s="36">
        <v>1</v>
      </c>
      <c r="D50" s="21"/>
      <c r="E50" s="21"/>
      <c r="F50" s="21"/>
      <c r="G50" s="21"/>
      <c r="H50" s="21"/>
      <c r="I50" s="9" t="s">
        <v>818</v>
      </c>
      <c r="J50" s="9" t="s">
        <v>657</v>
      </c>
      <c r="K50" s="10" t="s">
        <v>743</v>
      </c>
      <c r="L50" s="32" t="s">
        <v>422</v>
      </c>
      <c r="M50" s="31" t="s">
        <v>659</v>
      </c>
      <c r="N50" s="12">
        <v>0</v>
      </c>
      <c r="O50" s="33">
        <f>600000000+3239629657</f>
        <v>3839629657</v>
      </c>
      <c r="P50" s="23">
        <v>120000000</v>
      </c>
      <c r="Q50" s="23">
        <v>5960480000</v>
      </c>
      <c r="R50" s="23">
        <f>6757294400</f>
        <v>6757294400</v>
      </c>
      <c r="S50" s="23">
        <v>6960013232</v>
      </c>
      <c r="T50" s="23">
        <v>4181807951</v>
      </c>
      <c r="U50" s="18">
        <f t="shared" si="5"/>
        <v>23979595583</v>
      </c>
      <c r="V50" s="18">
        <f t="shared" si="8"/>
        <v>23979595583</v>
      </c>
      <c r="W50" s="18">
        <f t="shared" si="7"/>
        <v>20139965926</v>
      </c>
      <c r="X50" s="24">
        <v>43462</v>
      </c>
      <c r="Y50" s="25">
        <v>44819</v>
      </c>
      <c r="Z50" s="17"/>
      <c r="AA50" s="17"/>
      <c r="AB50" s="13"/>
      <c r="AC50" s="13"/>
      <c r="AD50" s="13"/>
      <c r="AE50" s="13"/>
      <c r="AF50" s="13"/>
      <c r="AG50" s="13"/>
      <c r="AH50" s="13"/>
      <c r="AI50" s="13"/>
      <c r="AJ50" s="13"/>
      <c r="AK50" s="13"/>
      <c r="AL50" s="14" t="s">
        <v>690</v>
      </c>
      <c r="AM50" s="32" t="s">
        <v>423</v>
      </c>
      <c r="AN50" s="19" t="s">
        <v>765</v>
      </c>
      <c r="AO50" s="19" t="s">
        <v>424</v>
      </c>
      <c r="AP50" s="19" t="s">
        <v>425</v>
      </c>
      <c r="AQ50" s="26" t="s">
        <v>426</v>
      </c>
      <c r="AR50" s="19" t="s">
        <v>18</v>
      </c>
    </row>
    <row r="51" spans="1:44" ht="84.95" customHeight="1" x14ac:dyDescent="0.25">
      <c r="A51" s="21" t="s">
        <v>427</v>
      </c>
      <c r="B51" s="11">
        <v>1</v>
      </c>
      <c r="C51" s="21"/>
      <c r="D51" s="21"/>
      <c r="E51" s="21"/>
      <c r="F51" s="21"/>
      <c r="G51" s="21"/>
      <c r="H51" s="21"/>
      <c r="I51" s="9" t="s">
        <v>808</v>
      </c>
      <c r="J51" s="9" t="s">
        <v>657</v>
      </c>
      <c r="K51" s="10" t="s">
        <v>744</v>
      </c>
      <c r="L51" s="32" t="s">
        <v>428</v>
      </c>
      <c r="M51" s="31" t="s">
        <v>429</v>
      </c>
      <c r="N51" s="12">
        <v>272883835</v>
      </c>
      <c r="O51" s="16">
        <v>0</v>
      </c>
      <c r="P51" s="23">
        <v>23000000</v>
      </c>
      <c r="Q51" s="23">
        <v>856208100</v>
      </c>
      <c r="R51" s="23">
        <v>881894340</v>
      </c>
      <c r="S51" s="23">
        <v>908351160</v>
      </c>
      <c r="T51" s="23">
        <v>545767670</v>
      </c>
      <c r="U51" s="18">
        <f t="shared" ref="U51:U94" si="9">P51+Q51+R51+S51+T51</f>
        <v>3215221270</v>
      </c>
      <c r="V51" s="18">
        <f t="shared" si="8"/>
        <v>3488105105</v>
      </c>
      <c r="W51" s="18">
        <f t="shared" ref="W51:W94" si="10">V51-O51</f>
        <v>3488105105</v>
      </c>
      <c r="X51" s="24">
        <v>43462</v>
      </c>
      <c r="Y51" s="25">
        <v>44880</v>
      </c>
      <c r="Z51" s="17"/>
      <c r="AA51" s="17"/>
      <c r="AB51" s="13"/>
      <c r="AC51" s="13"/>
      <c r="AD51" s="13"/>
      <c r="AE51" s="13"/>
      <c r="AF51" s="13"/>
      <c r="AG51" s="13"/>
      <c r="AH51" s="13"/>
      <c r="AI51" s="13"/>
      <c r="AJ51" s="13"/>
      <c r="AK51" s="13"/>
      <c r="AL51" s="14" t="s">
        <v>94</v>
      </c>
      <c r="AM51" s="32" t="s">
        <v>430</v>
      </c>
      <c r="AN51" s="19" t="s">
        <v>431</v>
      </c>
      <c r="AO51" s="19" t="s">
        <v>432</v>
      </c>
      <c r="AP51" s="19" t="s">
        <v>433</v>
      </c>
      <c r="AQ51" s="26" t="s">
        <v>434</v>
      </c>
      <c r="AR51" s="19" t="s">
        <v>18</v>
      </c>
    </row>
    <row r="52" spans="1:44" ht="110.25" customHeight="1" x14ac:dyDescent="0.25">
      <c r="A52" s="21" t="s">
        <v>435</v>
      </c>
      <c r="B52" s="11">
        <v>1</v>
      </c>
      <c r="C52" s="21"/>
      <c r="D52" s="21"/>
      <c r="E52" s="21"/>
      <c r="F52" s="21"/>
      <c r="G52" s="21"/>
      <c r="H52" s="21"/>
      <c r="I52" s="9" t="s">
        <v>809</v>
      </c>
      <c r="J52" s="9" t="s">
        <v>657</v>
      </c>
      <c r="K52" s="10" t="s">
        <v>745</v>
      </c>
      <c r="L52" s="32" t="s">
        <v>219</v>
      </c>
      <c r="M52" s="31" t="s">
        <v>436</v>
      </c>
      <c r="N52" s="30">
        <v>585000000</v>
      </c>
      <c r="O52" s="35">
        <f>100000000+22000000</f>
        <v>122000000</v>
      </c>
      <c r="P52" s="23">
        <v>20000000</v>
      </c>
      <c r="Q52" s="23">
        <v>890000000</v>
      </c>
      <c r="R52" s="23">
        <f>770400000</f>
        <v>770400000</v>
      </c>
      <c r="S52" s="23">
        <f>824400000</f>
        <v>824400000</v>
      </c>
      <c r="T52" s="23">
        <f>514500000</f>
        <v>514500000</v>
      </c>
      <c r="U52" s="18">
        <f t="shared" si="9"/>
        <v>3019300000</v>
      </c>
      <c r="V52" s="18">
        <f t="shared" si="8"/>
        <v>3604300000</v>
      </c>
      <c r="W52" s="18">
        <f t="shared" si="10"/>
        <v>3482300000</v>
      </c>
      <c r="X52" s="24">
        <v>43462</v>
      </c>
      <c r="Y52" s="25">
        <v>44880</v>
      </c>
      <c r="Z52" s="17"/>
      <c r="AA52" s="17"/>
      <c r="AB52" s="13"/>
      <c r="AC52" s="13"/>
      <c r="AD52" s="13"/>
      <c r="AE52" s="13"/>
      <c r="AF52" s="13"/>
      <c r="AG52" s="13"/>
      <c r="AH52" s="13"/>
      <c r="AI52" s="13"/>
      <c r="AJ52" s="13"/>
      <c r="AK52" s="13"/>
      <c r="AL52" s="14" t="s">
        <v>22</v>
      </c>
      <c r="AM52" s="32" t="s">
        <v>207</v>
      </c>
      <c r="AN52" s="19" t="s">
        <v>437</v>
      </c>
      <c r="AO52" s="19" t="s">
        <v>112</v>
      </c>
      <c r="AP52" s="19" t="s">
        <v>113</v>
      </c>
      <c r="AQ52" s="26" t="s">
        <v>438</v>
      </c>
      <c r="AR52" s="19" t="s">
        <v>18</v>
      </c>
    </row>
    <row r="53" spans="1:44" ht="206.25" customHeight="1" x14ac:dyDescent="0.25">
      <c r="A53" s="21" t="s">
        <v>439</v>
      </c>
      <c r="B53" s="11">
        <v>1</v>
      </c>
      <c r="C53" s="21"/>
      <c r="D53" s="21"/>
      <c r="E53" s="21"/>
      <c r="F53" s="21"/>
      <c r="G53" s="21"/>
      <c r="H53" s="21"/>
      <c r="I53" s="9" t="s">
        <v>810</v>
      </c>
      <c r="J53" s="9" t="s">
        <v>657</v>
      </c>
      <c r="K53" s="10" t="s">
        <v>746</v>
      </c>
      <c r="L53" s="32" t="s">
        <v>219</v>
      </c>
      <c r="M53" s="31" t="s">
        <v>440</v>
      </c>
      <c r="N53" s="27">
        <v>150000000</v>
      </c>
      <c r="O53" s="33">
        <f>313886353+800000000+400000000</f>
        <v>1513886353</v>
      </c>
      <c r="P53" s="23">
        <v>80348819</v>
      </c>
      <c r="Q53" s="23">
        <v>2665447856</v>
      </c>
      <c r="R53" s="23">
        <f>3068714235</f>
        <v>3068714235</v>
      </c>
      <c r="S53" s="23">
        <f>3160775662</f>
        <v>3160775662</v>
      </c>
      <c r="T53" s="23">
        <v>1899099377</v>
      </c>
      <c r="U53" s="18">
        <f t="shared" si="9"/>
        <v>10874385949</v>
      </c>
      <c r="V53" s="18">
        <f t="shared" si="8"/>
        <v>11024385949</v>
      </c>
      <c r="W53" s="18">
        <f t="shared" si="10"/>
        <v>9510499596</v>
      </c>
      <c r="X53" s="24">
        <v>43462</v>
      </c>
      <c r="Y53" s="25">
        <v>44880</v>
      </c>
      <c r="Z53" s="17"/>
      <c r="AA53" s="17"/>
      <c r="AB53" s="13"/>
      <c r="AC53" s="13"/>
      <c r="AD53" s="13"/>
      <c r="AE53" s="13"/>
      <c r="AF53" s="13"/>
      <c r="AG53" s="13"/>
      <c r="AH53" s="13"/>
      <c r="AI53" s="13"/>
      <c r="AJ53" s="13"/>
      <c r="AK53" s="13"/>
      <c r="AL53" s="28" t="s">
        <v>709</v>
      </c>
      <c r="AM53" s="32" t="s">
        <v>207</v>
      </c>
      <c r="AN53" s="19" t="s">
        <v>208</v>
      </c>
      <c r="AO53" s="19" t="s">
        <v>112</v>
      </c>
      <c r="AP53" s="19" t="s">
        <v>113</v>
      </c>
      <c r="AQ53" s="26" t="s">
        <v>209</v>
      </c>
      <c r="AR53" s="19" t="s">
        <v>18</v>
      </c>
    </row>
    <row r="54" spans="1:44" ht="84.95" customHeight="1" x14ac:dyDescent="0.25">
      <c r="A54" s="21" t="s">
        <v>441</v>
      </c>
      <c r="B54" s="11">
        <v>1</v>
      </c>
      <c r="C54" s="21"/>
      <c r="D54" s="21"/>
      <c r="E54" s="21"/>
      <c r="F54" s="21"/>
      <c r="G54" s="21"/>
      <c r="H54" s="21"/>
      <c r="I54" s="9" t="s">
        <v>811</v>
      </c>
      <c r="J54" s="9" t="s">
        <v>657</v>
      </c>
      <c r="K54" s="10" t="s">
        <v>747</v>
      </c>
      <c r="L54" s="32" t="s">
        <v>442</v>
      </c>
      <c r="M54" s="31" t="s">
        <v>443</v>
      </c>
      <c r="N54" s="27">
        <f>160000000+2214000000</f>
        <v>2374000000</v>
      </c>
      <c r="O54" s="33">
        <v>216956490</v>
      </c>
      <c r="P54" s="23">
        <v>183522918</v>
      </c>
      <c r="Q54" s="23">
        <v>6588073292</v>
      </c>
      <c r="R54" s="23">
        <f>7009180676</f>
        <v>7009180676</v>
      </c>
      <c r="S54" s="23">
        <f>7219456096</f>
        <v>7219456096</v>
      </c>
      <c r="T54" s="23">
        <v>4337689871</v>
      </c>
      <c r="U54" s="18">
        <f t="shared" si="9"/>
        <v>25337922853</v>
      </c>
      <c r="V54" s="18">
        <f t="shared" si="8"/>
        <v>27711922853</v>
      </c>
      <c r="W54" s="18">
        <f t="shared" si="10"/>
        <v>27494966363</v>
      </c>
      <c r="X54" s="24">
        <v>43462</v>
      </c>
      <c r="Y54" s="25">
        <v>44880</v>
      </c>
      <c r="Z54" s="17"/>
      <c r="AA54" s="17"/>
      <c r="AB54" s="13"/>
      <c r="AC54" s="13"/>
      <c r="AD54" s="13"/>
      <c r="AE54" s="13"/>
      <c r="AF54" s="13"/>
      <c r="AG54" s="13"/>
      <c r="AH54" s="13"/>
      <c r="AI54" s="13"/>
      <c r="AJ54" s="13"/>
      <c r="AK54" s="13"/>
      <c r="AL54" s="14" t="s">
        <v>678</v>
      </c>
      <c r="AM54" s="32" t="s">
        <v>444</v>
      </c>
      <c r="AN54" s="19" t="s">
        <v>763</v>
      </c>
      <c r="AO54" s="19" t="s">
        <v>112</v>
      </c>
      <c r="AP54" s="19" t="s">
        <v>113</v>
      </c>
      <c r="AQ54" s="26" t="s">
        <v>445</v>
      </c>
      <c r="AR54" s="19" t="s">
        <v>18</v>
      </c>
    </row>
    <row r="55" spans="1:44" ht="117.75" customHeight="1" x14ac:dyDescent="0.25">
      <c r="A55" s="21" t="s">
        <v>446</v>
      </c>
      <c r="B55" s="11">
        <v>1</v>
      </c>
      <c r="C55" s="21"/>
      <c r="D55" s="21"/>
      <c r="E55" s="21"/>
      <c r="F55" s="21"/>
      <c r="G55" s="21"/>
      <c r="H55" s="21"/>
      <c r="I55" s="9" t="s">
        <v>812</v>
      </c>
      <c r="J55" s="9" t="s">
        <v>657</v>
      </c>
      <c r="K55" s="10" t="s">
        <v>748</v>
      </c>
      <c r="L55" s="32" t="s">
        <v>219</v>
      </c>
      <c r="M55" s="31" t="s">
        <v>447</v>
      </c>
      <c r="N55" s="27">
        <v>227500000</v>
      </c>
      <c r="O55" s="33">
        <f>350000000+100000000</f>
        <v>450000000</v>
      </c>
      <c r="P55" s="23">
        <v>20864574</v>
      </c>
      <c r="Q55" s="23">
        <v>773658402</v>
      </c>
      <c r="R55" s="23">
        <f>796868154</f>
        <v>796868154</v>
      </c>
      <c r="S55" s="23">
        <v>820774199</v>
      </c>
      <c r="T55" s="23">
        <f>493148498</f>
        <v>493148498</v>
      </c>
      <c r="U55" s="18">
        <f t="shared" si="9"/>
        <v>2905313827</v>
      </c>
      <c r="V55" s="18">
        <f t="shared" si="8"/>
        <v>3132813827</v>
      </c>
      <c r="W55" s="18">
        <f t="shared" si="10"/>
        <v>2682813827</v>
      </c>
      <c r="X55" s="24">
        <v>43462</v>
      </c>
      <c r="Y55" s="25">
        <v>44880</v>
      </c>
      <c r="Z55" s="17"/>
      <c r="AA55" s="17"/>
      <c r="AB55" s="13"/>
      <c r="AC55" s="13"/>
      <c r="AD55" s="13"/>
      <c r="AE55" s="13"/>
      <c r="AF55" s="13"/>
      <c r="AG55" s="13"/>
      <c r="AH55" s="13"/>
      <c r="AI55" s="13"/>
      <c r="AJ55" s="13"/>
      <c r="AK55" s="13"/>
      <c r="AL55" s="28" t="s">
        <v>674</v>
      </c>
      <c r="AM55" s="32" t="s">
        <v>207</v>
      </c>
      <c r="AN55" s="19" t="s">
        <v>437</v>
      </c>
      <c r="AO55" s="19" t="s">
        <v>112</v>
      </c>
      <c r="AP55" s="19" t="s">
        <v>113</v>
      </c>
      <c r="AQ55" s="26" t="s">
        <v>438</v>
      </c>
      <c r="AR55" s="19" t="s">
        <v>18</v>
      </c>
    </row>
    <row r="56" spans="1:44" ht="84.95" customHeight="1" x14ac:dyDescent="0.25">
      <c r="A56" s="21" t="s">
        <v>448</v>
      </c>
      <c r="B56" s="11">
        <v>1</v>
      </c>
      <c r="C56" s="21"/>
      <c r="D56" s="21"/>
      <c r="E56" s="21"/>
      <c r="F56" s="21"/>
      <c r="G56" s="21"/>
      <c r="H56" s="21"/>
      <c r="I56" s="9" t="s">
        <v>813</v>
      </c>
      <c r="J56" s="9" t="s">
        <v>657</v>
      </c>
      <c r="K56" s="10" t="s">
        <v>749</v>
      </c>
      <c r="L56" s="32" t="s">
        <v>449</v>
      </c>
      <c r="M56" s="31" t="s">
        <v>450</v>
      </c>
      <c r="N56" s="12">
        <v>0</v>
      </c>
      <c r="O56" s="33">
        <f>420000000+550000000</f>
        <v>970000000</v>
      </c>
      <c r="P56" s="23">
        <v>32000000</v>
      </c>
      <c r="Q56" s="23">
        <v>508877910</v>
      </c>
      <c r="R56" s="23">
        <f>956744250</f>
        <v>956744250</v>
      </c>
      <c r="S56" s="23">
        <v>985446580</v>
      </c>
      <c r="T56" s="23">
        <v>592089150</v>
      </c>
      <c r="U56" s="18">
        <f t="shared" si="9"/>
        <v>3075157890</v>
      </c>
      <c r="V56" s="18">
        <f t="shared" si="8"/>
        <v>3075157890</v>
      </c>
      <c r="W56" s="18">
        <f t="shared" si="10"/>
        <v>2105157890</v>
      </c>
      <c r="X56" s="24">
        <v>43462</v>
      </c>
      <c r="Y56" s="25">
        <v>44880</v>
      </c>
      <c r="Z56" s="17"/>
      <c r="AA56" s="17"/>
      <c r="AB56" s="13"/>
      <c r="AC56" s="13"/>
      <c r="AD56" s="13"/>
      <c r="AE56" s="13"/>
      <c r="AF56" s="13"/>
      <c r="AG56" s="13"/>
      <c r="AH56" s="13"/>
      <c r="AI56" s="13"/>
      <c r="AJ56" s="13"/>
      <c r="AK56" s="13"/>
      <c r="AL56" s="14" t="s">
        <v>404</v>
      </c>
      <c r="AM56" s="32" t="s">
        <v>451</v>
      </c>
      <c r="AN56" s="19" t="s">
        <v>452</v>
      </c>
      <c r="AO56" s="19" t="s">
        <v>453</v>
      </c>
      <c r="AP56" s="19" t="s">
        <v>454</v>
      </c>
      <c r="AQ56" s="26" t="s">
        <v>455</v>
      </c>
      <c r="AR56" s="19" t="s">
        <v>18</v>
      </c>
    </row>
    <row r="57" spans="1:44" ht="84.95" customHeight="1" x14ac:dyDescent="0.25">
      <c r="A57" s="21" t="s">
        <v>456</v>
      </c>
      <c r="B57" s="21"/>
      <c r="C57" s="36">
        <v>1</v>
      </c>
      <c r="D57" s="21"/>
      <c r="E57" s="21"/>
      <c r="F57" s="21"/>
      <c r="G57" s="21"/>
      <c r="H57" s="21"/>
      <c r="I57" s="9" t="s">
        <v>819</v>
      </c>
      <c r="J57" s="9" t="s">
        <v>20</v>
      </c>
      <c r="K57" s="10" t="s">
        <v>750</v>
      </c>
      <c r="L57" s="32" t="s">
        <v>457</v>
      </c>
      <c r="M57" s="31" t="s">
        <v>458</v>
      </c>
      <c r="N57" s="27">
        <v>50689675931</v>
      </c>
      <c r="O57" s="16">
        <v>0</v>
      </c>
      <c r="P57" s="23">
        <v>350708924</v>
      </c>
      <c r="Q57" s="23">
        <v>44466057823</v>
      </c>
      <c r="R57" s="23">
        <f>25070039596</f>
        <v>25070039596</v>
      </c>
      <c r="S57" s="23">
        <f>26722140970</f>
        <v>26722140970</v>
      </c>
      <c r="T57" s="23">
        <v>17643590218</v>
      </c>
      <c r="U57" s="18">
        <f t="shared" si="9"/>
        <v>114252537531</v>
      </c>
      <c r="V57" s="18">
        <f t="shared" si="8"/>
        <v>164942213462</v>
      </c>
      <c r="W57" s="18">
        <f t="shared" si="10"/>
        <v>164942213462</v>
      </c>
      <c r="X57" s="24">
        <v>43462</v>
      </c>
      <c r="Y57" s="25">
        <v>44865</v>
      </c>
      <c r="Z57" s="17"/>
      <c r="AA57" s="17"/>
      <c r="AB57" s="13"/>
      <c r="AC57" s="13"/>
      <c r="AD57" s="13"/>
      <c r="AE57" s="13"/>
      <c r="AF57" s="13"/>
      <c r="AG57" s="13"/>
      <c r="AH57" s="13"/>
      <c r="AI57" s="13"/>
      <c r="AJ57" s="13"/>
      <c r="AK57" s="13"/>
      <c r="AL57" s="14" t="s">
        <v>672</v>
      </c>
      <c r="AM57" s="32" t="s">
        <v>459</v>
      </c>
      <c r="AN57" s="19" t="s">
        <v>460</v>
      </c>
      <c r="AO57" s="19" t="s">
        <v>461</v>
      </c>
      <c r="AP57" s="19" t="s">
        <v>462</v>
      </c>
      <c r="AQ57" s="26" t="s">
        <v>463</v>
      </c>
      <c r="AR57" s="19" t="s">
        <v>18</v>
      </c>
    </row>
    <row r="58" spans="1:44" ht="129" customHeight="1" x14ac:dyDescent="0.25">
      <c r="A58" s="21" t="s">
        <v>624</v>
      </c>
      <c r="B58" s="11">
        <v>1</v>
      </c>
      <c r="C58" s="21"/>
      <c r="D58" s="21"/>
      <c r="E58" s="21"/>
      <c r="F58" s="21"/>
      <c r="G58" s="21"/>
      <c r="H58" s="21"/>
      <c r="I58" s="9" t="s">
        <v>814</v>
      </c>
      <c r="J58" s="9" t="s">
        <v>657</v>
      </c>
      <c r="K58" s="10" t="s">
        <v>751</v>
      </c>
      <c r="L58" s="32" t="s">
        <v>662</v>
      </c>
      <c r="M58" s="31" t="s">
        <v>625</v>
      </c>
      <c r="N58" s="12">
        <v>762000000</v>
      </c>
      <c r="O58" s="33">
        <f>280000000+500000000+250000000</f>
        <v>1030000000</v>
      </c>
      <c r="P58" s="23">
        <v>40000000</v>
      </c>
      <c r="Q58" s="23">
        <v>732512000</v>
      </c>
      <c r="R58" s="23">
        <f>1067896406</f>
        <v>1067896406</v>
      </c>
      <c r="S58" s="23">
        <f>1126310340</f>
        <v>1126310340</v>
      </c>
      <c r="T58" s="23">
        <v>692953051</v>
      </c>
      <c r="U58" s="18">
        <f t="shared" si="9"/>
        <v>3659671797</v>
      </c>
      <c r="V58" s="18">
        <f t="shared" si="8"/>
        <v>4421671797</v>
      </c>
      <c r="W58" s="18">
        <f t="shared" si="10"/>
        <v>3391671797</v>
      </c>
      <c r="X58" s="24">
        <v>43462</v>
      </c>
      <c r="Y58" s="25">
        <v>44880</v>
      </c>
      <c r="Z58" s="17"/>
      <c r="AA58" s="17"/>
      <c r="AB58" s="13"/>
      <c r="AC58" s="13"/>
      <c r="AD58" s="13"/>
      <c r="AE58" s="13"/>
      <c r="AF58" s="13"/>
      <c r="AG58" s="13"/>
      <c r="AH58" s="13"/>
      <c r="AI58" s="13"/>
      <c r="AJ58" s="13"/>
      <c r="AK58" s="13"/>
      <c r="AL58" s="28" t="s">
        <v>758</v>
      </c>
      <c r="AM58" s="32" t="s">
        <v>626</v>
      </c>
      <c r="AN58" s="19" t="s">
        <v>764</v>
      </c>
      <c r="AO58" s="19" t="s">
        <v>627</v>
      </c>
      <c r="AP58" s="19" t="s">
        <v>628</v>
      </c>
      <c r="AQ58" s="26" t="s">
        <v>629</v>
      </c>
      <c r="AR58" s="19" t="s">
        <v>18</v>
      </c>
    </row>
    <row r="59" spans="1:44" ht="84.95" customHeight="1" x14ac:dyDescent="0.25">
      <c r="A59" s="21" t="s">
        <v>623</v>
      </c>
      <c r="B59" s="21"/>
      <c r="C59" s="36">
        <v>1</v>
      </c>
      <c r="D59" s="21"/>
      <c r="E59" s="21"/>
      <c r="F59" s="21"/>
      <c r="G59" s="21"/>
      <c r="H59" s="21"/>
      <c r="I59" s="9" t="s">
        <v>781</v>
      </c>
      <c r="J59" s="9" t="s">
        <v>20</v>
      </c>
      <c r="K59" s="10" t="s">
        <v>752</v>
      </c>
      <c r="L59" s="32" t="s">
        <v>200</v>
      </c>
      <c r="M59" s="31" t="s">
        <v>620</v>
      </c>
      <c r="N59" s="12">
        <v>0</v>
      </c>
      <c r="O59" s="33">
        <v>290000000</v>
      </c>
      <c r="P59" s="23">
        <v>34276077</v>
      </c>
      <c r="Q59" s="23">
        <v>590741885</v>
      </c>
      <c r="R59" s="23">
        <v>612918411</v>
      </c>
      <c r="S59" s="23">
        <v>631088393</v>
      </c>
      <c r="T59" s="23">
        <v>379178956</v>
      </c>
      <c r="U59" s="18">
        <f t="shared" si="9"/>
        <v>2248203722</v>
      </c>
      <c r="V59" s="18">
        <f t="shared" si="8"/>
        <v>2248203722</v>
      </c>
      <c r="W59" s="18">
        <f t="shared" si="10"/>
        <v>1958203722</v>
      </c>
      <c r="X59" s="24">
        <v>43462</v>
      </c>
      <c r="Y59" s="25">
        <v>44895</v>
      </c>
      <c r="Z59" s="17"/>
      <c r="AA59" s="17"/>
      <c r="AB59" s="13"/>
      <c r="AC59" s="13"/>
      <c r="AD59" s="13"/>
      <c r="AE59" s="13"/>
      <c r="AF59" s="13"/>
      <c r="AG59" s="13"/>
      <c r="AH59" s="13"/>
      <c r="AI59" s="13"/>
      <c r="AJ59" s="13"/>
      <c r="AK59" s="13"/>
      <c r="AL59" s="14" t="s">
        <v>684</v>
      </c>
      <c r="AM59" s="32" t="s">
        <v>585</v>
      </c>
      <c r="AN59" s="19" t="s">
        <v>201</v>
      </c>
      <c r="AO59" s="19" t="s">
        <v>202</v>
      </c>
      <c r="AP59" s="19" t="s">
        <v>203</v>
      </c>
      <c r="AQ59" s="26" t="s">
        <v>204</v>
      </c>
      <c r="AR59" s="19" t="s">
        <v>18</v>
      </c>
    </row>
    <row r="60" spans="1:44" ht="84.95" customHeight="1" x14ac:dyDescent="0.25">
      <c r="A60" s="21" t="s">
        <v>630</v>
      </c>
      <c r="B60" s="21"/>
      <c r="C60" s="36">
        <v>1</v>
      </c>
      <c r="D60" s="21"/>
      <c r="E60" s="21"/>
      <c r="F60" s="21"/>
      <c r="G60" s="21"/>
      <c r="H60" s="21"/>
      <c r="I60" s="9" t="s">
        <v>781</v>
      </c>
      <c r="J60" s="9" t="s">
        <v>20</v>
      </c>
      <c r="K60" s="10" t="s">
        <v>752</v>
      </c>
      <c r="L60" s="32" t="s">
        <v>168</v>
      </c>
      <c r="M60" s="31" t="s">
        <v>620</v>
      </c>
      <c r="N60" s="12">
        <v>0</v>
      </c>
      <c r="O60" s="33">
        <f>276000000+200000000</f>
        <v>476000000</v>
      </c>
      <c r="P60" s="23">
        <v>34276077</v>
      </c>
      <c r="Q60" s="23">
        <v>590741885</v>
      </c>
      <c r="R60" s="23">
        <f>612918411</f>
        <v>612918411</v>
      </c>
      <c r="S60" s="23">
        <f>631088393</f>
        <v>631088393</v>
      </c>
      <c r="T60" s="23">
        <v>379178931</v>
      </c>
      <c r="U60" s="18">
        <f t="shared" si="9"/>
        <v>2248203697</v>
      </c>
      <c r="V60" s="18">
        <f t="shared" si="8"/>
        <v>2248203697</v>
      </c>
      <c r="W60" s="18">
        <f t="shared" si="10"/>
        <v>1772203697</v>
      </c>
      <c r="X60" s="24">
        <v>43462</v>
      </c>
      <c r="Y60" s="25">
        <v>44895</v>
      </c>
      <c r="Z60" s="17"/>
      <c r="AA60" s="17"/>
      <c r="AB60" s="13"/>
      <c r="AC60" s="13"/>
      <c r="AD60" s="13"/>
      <c r="AE60" s="13"/>
      <c r="AF60" s="13"/>
      <c r="AG60" s="13"/>
      <c r="AH60" s="13"/>
      <c r="AI60" s="13"/>
      <c r="AJ60" s="13"/>
      <c r="AK60" s="13"/>
      <c r="AL60" s="14" t="s">
        <v>684</v>
      </c>
      <c r="AM60" s="32" t="s">
        <v>169</v>
      </c>
      <c r="AN60" s="19" t="s">
        <v>170</v>
      </c>
      <c r="AO60" s="19" t="s">
        <v>171</v>
      </c>
      <c r="AP60" s="19" t="s">
        <v>631</v>
      </c>
      <c r="AQ60" s="26" t="s">
        <v>173</v>
      </c>
      <c r="AR60" s="19" t="s">
        <v>174</v>
      </c>
    </row>
    <row r="61" spans="1:44" ht="84.95" customHeight="1" x14ac:dyDescent="0.25">
      <c r="A61" s="21" t="s">
        <v>619</v>
      </c>
      <c r="B61" s="21"/>
      <c r="C61" s="36">
        <v>1</v>
      </c>
      <c r="D61" s="21"/>
      <c r="E61" s="21"/>
      <c r="F61" s="21"/>
      <c r="G61" s="21"/>
      <c r="H61" s="21"/>
      <c r="I61" s="9" t="s">
        <v>781</v>
      </c>
      <c r="J61" s="9" t="s">
        <v>20</v>
      </c>
      <c r="K61" s="10" t="s">
        <v>752</v>
      </c>
      <c r="L61" s="32" t="s">
        <v>107</v>
      </c>
      <c r="M61" s="31" t="s">
        <v>620</v>
      </c>
      <c r="N61" s="12">
        <v>0</v>
      </c>
      <c r="O61" s="33">
        <v>70000000</v>
      </c>
      <c r="P61" s="23">
        <v>5712679</v>
      </c>
      <c r="Q61" s="23">
        <v>98456980</v>
      </c>
      <c r="R61" s="23">
        <f>102153068</f>
        <v>102153068</v>
      </c>
      <c r="S61" s="12">
        <v>105181398</v>
      </c>
      <c r="T61" s="12">
        <v>0</v>
      </c>
      <c r="U61" s="18">
        <f t="shared" si="9"/>
        <v>311504125</v>
      </c>
      <c r="V61" s="18">
        <f t="shared" si="8"/>
        <v>311504125</v>
      </c>
      <c r="W61" s="18">
        <f t="shared" si="10"/>
        <v>241504125</v>
      </c>
      <c r="X61" s="24">
        <v>43462</v>
      </c>
      <c r="Y61" s="25">
        <v>44834</v>
      </c>
      <c r="Z61" s="17"/>
      <c r="AA61" s="17"/>
      <c r="AB61" s="13"/>
      <c r="AC61" s="13"/>
      <c r="AD61" s="13"/>
      <c r="AE61" s="13"/>
      <c r="AF61" s="13"/>
      <c r="AG61" s="13"/>
      <c r="AH61" s="13"/>
      <c r="AI61" s="13"/>
      <c r="AJ61" s="13"/>
      <c r="AK61" s="13"/>
      <c r="AL61" s="14" t="s">
        <v>684</v>
      </c>
      <c r="AM61" s="32" t="s">
        <v>108</v>
      </c>
      <c r="AN61" s="19" t="s">
        <v>109</v>
      </c>
      <c r="AO61" s="19" t="s">
        <v>110</v>
      </c>
      <c r="AP61" s="19" t="s">
        <v>621</v>
      </c>
      <c r="AQ61" s="26" t="s">
        <v>111</v>
      </c>
      <c r="AR61" s="19" t="s">
        <v>18</v>
      </c>
    </row>
    <row r="62" spans="1:44" ht="84.95" customHeight="1" x14ac:dyDescent="0.25">
      <c r="A62" s="21" t="s">
        <v>663</v>
      </c>
      <c r="B62" s="21"/>
      <c r="C62" s="36">
        <v>1</v>
      </c>
      <c r="D62" s="21"/>
      <c r="E62" s="21"/>
      <c r="F62" s="21"/>
      <c r="G62" s="21"/>
      <c r="H62" s="21"/>
      <c r="I62" s="9" t="s">
        <v>819</v>
      </c>
      <c r="J62" s="9" t="s">
        <v>25</v>
      </c>
      <c r="K62" s="10" t="s">
        <v>750</v>
      </c>
      <c r="L62" s="32" t="s">
        <v>457</v>
      </c>
      <c r="M62" s="31" t="s">
        <v>664</v>
      </c>
      <c r="N62" s="12">
        <v>0</v>
      </c>
      <c r="O62" s="16">
        <v>0</v>
      </c>
      <c r="P62" s="23">
        <v>829121958</v>
      </c>
      <c r="Q62" s="12">
        <v>0</v>
      </c>
      <c r="R62" s="12">
        <v>0</v>
      </c>
      <c r="S62" s="12">
        <v>0</v>
      </c>
      <c r="T62" s="12">
        <v>0</v>
      </c>
      <c r="U62" s="18">
        <f t="shared" si="9"/>
        <v>829121958</v>
      </c>
      <c r="V62" s="18">
        <f t="shared" si="8"/>
        <v>829121958</v>
      </c>
      <c r="W62" s="18">
        <f t="shared" si="10"/>
        <v>829121958</v>
      </c>
      <c r="X62" s="24">
        <v>43462</v>
      </c>
      <c r="Y62" s="25">
        <v>44865</v>
      </c>
      <c r="Z62" s="17"/>
      <c r="AA62" s="17"/>
      <c r="AB62" s="13"/>
      <c r="AC62" s="13"/>
      <c r="AD62" s="13"/>
      <c r="AE62" s="13"/>
      <c r="AF62" s="13"/>
      <c r="AG62" s="13"/>
      <c r="AH62" s="13"/>
      <c r="AI62" s="13"/>
      <c r="AJ62" s="13"/>
      <c r="AK62" s="13"/>
      <c r="AL62" s="14" t="s">
        <v>677</v>
      </c>
      <c r="AM62" s="32" t="s">
        <v>459</v>
      </c>
      <c r="AN62" s="19" t="s">
        <v>460</v>
      </c>
      <c r="AO62" s="19" t="s">
        <v>461</v>
      </c>
      <c r="AP62" s="19" t="s">
        <v>462</v>
      </c>
      <c r="AQ62" s="26" t="s">
        <v>463</v>
      </c>
      <c r="AR62" s="19" t="s">
        <v>18</v>
      </c>
    </row>
    <row r="63" spans="1:44" ht="104.25" customHeight="1" x14ac:dyDescent="0.25">
      <c r="A63" s="21" t="s">
        <v>466</v>
      </c>
      <c r="B63" s="29"/>
      <c r="C63" s="36">
        <v>1</v>
      </c>
      <c r="D63" s="29"/>
      <c r="E63" s="29"/>
      <c r="F63" s="29"/>
      <c r="G63" s="29"/>
      <c r="H63" s="29"/>
      <c r="I63" s="9" t="s">
        <v>776</v>
      </c>
      <c r="J63" s="9" t="s">
        <v>20</v>
      </c>
      <c r="K63" s="10" t="s">
        <v>753</v>
      </c>
      <c r="L63" s="32" t="s">
        <v>168</v>
      </c>
      <c r="M63" s="31" t="s">
        <v>467</v>
      </c>
      <c r="N63" s="12">
        <v>0</v>
      </c>
      <c r="O63" s="16">
        <v>0</v>
      </c>
      <c r="P63" s="23">
        <v>168925</v>
      </c>
      <c r="Q63" s="23">
        <v>6800000</v>
      </c>
      <c r="R63" s="23">
        <v>7000000</v>
      </c>
      <c r="S63" s="23">
        <v>7300000</v>
      </c>
      <c r="T63" s="23">
        <v>4000000</v>
      </c>
      <c r="U63" s="18">
        <f t="shared" si="9"/>
        <v>25268925</v>
      </c>
      <c r="V63" s="18">
        <f t="shared" si="8"/>
        <v>25268925</v>
      </c>
      <c r="W63" s="18">
        <f t="shared" si="10"/>
        <v>25268925</v>
      </c>
      <c r="X63" s="24">
        <v>43462</v>
      </c>
      <c r="Y63" s="25">
        <v>44880</v>
      </c>
      <c r="Z63" s="17"/>
      <c r="AA63" s="17"/>
      <c r="AB63" s="13"/>
      <c r="AC63" s="13"/>
      <c r="AD63" s="13"/>
      <c r="AE63" s="13"/>
      <c r="AF63" s="13"/>
      <c r="AG63" s="13"/>
      <c r="AH63" s="13"/>
      <c r="AI63" s="13"/>
      <c r="AJ63" s="13"/>
      <c r="AK63" s="13"/>
      <c r="AL63" s="14" t="s">
        <v>684</v>
      </c>
      <c r="AM63" s="32" t="s">
        <v>169</v>
      </c>
      <c r="AN63" s="19" t="s">
        <v>468</v>
      </c>
      <c r="AO63" s="19" t="s">
        <v>171</v>
      </c>
      <c r="AP63" s="19" t="s">
        <v>172</v>
      </c>
      <c r="AQ63" s="26" t="s">
        <v>173</v>
      </c>
      <c r="AR63" s="19" t="s">
        <v>18</v>
      </c>
    </row>
    <row r="64" spans="1:44" ht="111" customHeight="1" x14ac:dyDescent="0.25">
      <c r="A64" s="21" t="s">
        <v>469</v>
      </c>
      <c r="B64" s="21"/>
      <c r="C64" s="36">
        <v>1</v>
      </c>
      <c r="D64" s="21"/>
      <c r="E64" s="21"/>
      <c r="F64" s="21"/>
      <c r="G64" s="21"/>
      <c r="H64" s="21"/>
      <c r="I64" s="9" t="s">
        <v>776</v>
      </c>
      <c r="J64" s="9" t="s">
        <v>20</v>
      </c>
      <c r="K64" s="10" t="s">
        <v>753</v>
      </c>
      <c r="L64" s="32" t="s">
        <v>470</v>
      </c>
      <c r="M64" s="31" t="s">
        <v>467</v>
      </c>
      <c r="N64" s="12">
        <v>0</v>
      </c>
      <c r="O64" s="33">
        <v>70000000</v>
      </c>
      <c r="P64" s="23">
        <v>8130302</v>
      </c>
      <c r="Q64" s="23">
        <v>390000000</v>
      </c>
      <c r="R64" s="23">
        <f>400000000</f>
        <v>400000000</v>
      </c>
      <c r="S64" s="23">
        <v>413000000</v>
      </c>
      <c r="T64" s="23">
        <v>248000000</v>
      </c>
      <c r="U64" s="18">
        <f t="shared" si="9"/>
        <v>1459130302</v>
      </c>
      <c r="V64" s="18">
        <f t="shared" si="8"/>
        <v>1459130302</v>
      </c>
      <c r="W64" s="18">
        <f t="shared" si="10"/>
        <v>1389130302</v>
      </c>
      <c r="X64" s="24">
        <v>43462</v>
      </c>
      <c r="Y64" s="25">
        <v>44895</v>
      </c>
      <c r="Z64" s="17"/>
      <c r="AA64" s="17"/>
      <c r="AB64" s="13"/>
      <c r="AC64" s="13"/>
      <c r="AD64" s="13"/>
      <c r="AE64" s="13"/>
      <c r="AF64" s="13"/>
      <c r="AG64" s="13"/>
      <c r="AH64" s="13"/>
      <c r="AI64" s="13"/>
      <c r="AJ64" s="13"/>
      <c r="AK64" s="13"/>
      <c r="AL64" s="14" t="s">
        <v>684</v>
      </c>
      <c r="AM64" s="32" t="s">
        <v>175</v>
      </c>
      <c r="AN64" s="19" t="s">
        <v>176</v>
      </c>
      <c r="AO64" s="19" t="s">
        <v>471</v>
      </c>
      <c r="AP64" s="19" t="s">
        <v>177</v>
      </c>
      <c r="AQ64" s="26" t="s">
        <v>178</v>
      </c>
      <c r="AR64" s="19" t="s">
        <v>18</v>
      </c>
    </row>
    <row r="65" spans="1:44" ht="110.25" customHeight="1" x14ac:dyDescent="0.25">
      <c r="A65" s="21" t="s">
        <v>472</v>
      </c>
      <c r="B65" s="21"/>
      <c r="C65" s="36">
        <v>1</v>
      </c>
      <c r="D65" s="21"/>
      <c r="E65" s="21"/>
      <c r="F65" s="21"/>
      <c r="G65" s="21"/>
      <c r="H65" s="21"/>
      <c r="I65" s="9" t="s">
        <v>776</v>
      </c>
      <c r="J65" s="9" t="s">
        <v>20</v>
      </c>
      <c r="K65" s="10" t="s">
        <v>753</v>
      </c>
      <c r="L65" s="32" t="s">
        <v>473</v>
      </c>
      <c r="M65" s="31" t="s">
        <v>467</v>
      </c>
      <c r="N65" s="12">
        <v>0</v>
      </c>
      <c r="O65" s="16">
        <v>0</v>
      </c>
      <c r="P65" s="23">
        <v>6728341</v>
      </c>
      <c r="Q65" s="23">
        <v>322000000</v>
      </c>
      <c r="R65" s="23">
        <v>375800000</v>
      </c>
      <c r="S65" s="23">
        <v>341500000</v>
      </c>
      <c r="T65" s="23">
        <v>205300000</v>
      </c>
      <c r="U65" s="18">
        <f t="shared" si="9"/>
        <v>1251328341</v>
      </c>
      <c r="V65" s="18">
        <f t="shared" si="8"/>
        <v>1251328341</v>
      </c>
      <c r="W65" s="18">
        <f t="shared" si="10"/>
        <v>1251328341</v>
      </c>
      <c r="X65" s="24">
        <v>43462</v>
      </c>
      <c r="Y65" s="25">
        <v>44895</v>
      </c>
      <c r="Z65" s="17"/>
      <c r="AA65" s="17"/>
      <c r="AB65" s="13"/>
      <c r="AC65" s="13"/>
      <c r="AD65" s="13"/>
      <c r="AE65" s="13"/>
      <c r="AF65" s="13"/>
      <c r="AG65" s="13"/>
      <c r="AH65" s="13"/>
      <c r="AI65" s="13"/>
      <c r="AJ65" s="13"/>
      <c r="AK65" s="13"/>
      <c r="AL65" s="14" t="s">
        <v>684</v>
      </c>
      <c r="AM65" s="32" t="s">
        <v>474</v>
      </c>
      <c r="AN65" s="19" t="s">
        <v>475</v>
      </c>
      <c r="AO65" s="19" t="s">
        <v>476</v>
      </c>
      <c r="AP65" s="19" t="s">
        <v>477</v>
      </c>
      <c r="AQ65" s="26" t="s">
        <v>478</v>
      </c>
      <c r="AR65" s="19" t="s">
        <v>18</v>
      </c>
    </row>
    <row r="66" spans="1:44" ht="108" customHeight="1" x14ac:dyDescent="0.25">
      <c r="A66" s="21" t="s">
        <v>479</v>
      </c>
      <c r="B66" s="21"/>
      <c r="C66" s="36">
        <v>1</v>
      </c>
      <c r="D66" s="21"/>
      <c r="E66" s="21"/>
      <c r="F66" s="21"/>
      <c r="G66" s="21"/>
      <c r="H66" s="21"/>
      <c r="I66" s="9" t="s">
        <v>776</v>
      </c>
      <c r="J66" s="9" t="s">
        <v>20</v>
      </c>
      <c r="K66" s="10" t="s">
        <v>753</v>
      </c>
      <c r="L66" s="32" t="s">
        <v>480</v>
      </c>
      <c r="M66" s="31" t="s">
        <v>467</v>
      </c>
      <c r="N66" s="12">
        <v>10000000</v>
      </c>
      <c r="O66" s="16">
        <v>0</v>
      </c>
      <c r="P66" s="23">
        <v>649837</v>
      </c>
      <c r="Q66" s="23">
        <v>11000000</v>
      </c>
      <c r="R66" s="23">
        <v>11300000</v>
      </c>
      <c r="S66" s="23">
        <v>11600000</v>
      </c>
      <c r="T66" s="23">
        <v>7000000</v>
      </c>
      <c r="U66" s="18">
        <f t="shared" si="9"/>
        <v>41549837</v>
      </c>
      <c r="V66" s="18">
        <f t="shared" si="8"/>
        <v>51549837</v>
      </c>
      <c r="W66" s="18">
        <f t="shared" si="10"/>
        <v>51549837</v>
      </c>
      <c r="X66" s="24">
        <v>43462</v>
      </c>
      <c r="Y66" s="25">
        <v>44895</v>
      </c>
      <c r="Z66" s="17"/>
      <c r="AA66" s="17"/>
      <c r="AB66" s="13"/>
      <c r="AC66" s="13"/>
      <c r="AD66" s="13"/>
      <c r="AE66" s="13"/>
      <c r="AF66" s="13"/>
      <c r="AG66" s="13"/>
      <c r="AH66" s="13"/>
      <c r="AI66" s="13"/>
      <c r="AJ66" s="13"/>
      <c r="AK66" s="13"/>
      <c r="AL66" s="14" t="s">
        <v>684</v>
      </c>
      <c r="AM66" s="32" t="s">
        <v>481</v>
      </c>
      <c r="AN66" s="19" t="s">
        <v>482</v>
      </c>
      <c r="AO66" s="19" t="s">
        <v>483</v>
      </c>
      <c r="AP66" s="19" t="s">
        <v>484</v>
      </c>
      <c r="AQ66" s="26" t="s">
        <v>485</v>
      </c>
      <c r="AR66" s="19" t="s">
        <v>18</v>
      </c>
    </row>
    <row r="67" spans="1:44" ht="84.95" customHeight="1" x14ac:dyDescent="0.25">
      <c r="A67" s="21" t="s">
        <v>487</v>
      </c>
      <c r="B67" s="21"/>
      <c r="C67" s="36">
        <v>1</v>
      </c>
      <c r="D67" s="21"/>
      <c r="E67" s="21"/>
      <c r="F67" s="21"/>
      <c r="G67" s="21"/>
      <c r="H67" s="21"/>
      <c r="I67" s="9" t="s">
        <v>779</v>
      </c>
      <c r="J67" s="9" t="s">
        <v>20</v>
      </c>
      <c r="K67" s="10" t="s">
        <v>754</v>
      </c>
      <c r="L67" s="32" t="s">
        <v>488</v>
      </c>
      <c r="M67" s="31" t="s">
        <v>486</v>
      </c>
      <c r="N67" s="12">
        <v>0</v>
      </c>
      <c r="O67" s="16">
        <v>0</v>
      </c>
      <c r="P67" s="23">
        <v>263500000</v>
      </c>
      <c r="Q67" s="23">
        <v>3261000000</v>
      </c>
      <c r="R67" s="23">
        <v>3271000000</v>
      </c>
      <c r="S67" s="23">
        <v>3401000000</v>
      </c>
      <c r="T67" s="23">
        <v>1991500000</v>
      </c>
      <c r="U67" s="18">
        <f t="shared" si="9"/>
        <v>12188000000</v>
      </c>
      <c r="V67" s="18">
        <f t="shared" si="8"/>
        <v>12188000000</v>
      </c>
      <c r="W67" s="18">
        <f t="shared" si="10"/>
        <v>12188000000</v>
      </c>
      <c r="X67" s="24">
        <v>43462</v>
      </c>
      <c r="Y67" s="25">
        <v>44895</v>
      </c>
      <c r="Z67" s="17"/>
      <c r="AA67" s="17"/>
      <c r="AB67" s="13"/>
      <c r="AC67" s="13"/>
      <c r="AD67" s="13"/>
      <c r="AE67" s="13"/>
      <c r="AF67" s="13"/>
      <c r="AG67" s="13"/>
      <c r="AH67" s="13"/>
      <c r="AI67" s="13"/>
      <c r="AJ67" s="13"/>
      <c r="AK67" s="13"/>
      <c r="AL67" s="14" t="s">
        <v>683</v>
      </c>
      <c r="AM67" s="32" t="s">
        <v>489</v>
      </c>
      <c r="AN67" s="19" t="s">
        <v>490</v>
      </c>
      <c r="AO67" s="19" t="s">
        <v>491</v>
      </c>
      <c r="AP67" s="19" t="s">
        <v>492</v>
      </c>
      <c r="AQ67" s="26" t="s">
        <v>493</v>
      </c>
      <c r="AR67" s="19" t="s">
        <v>18</v>
      </c>
    </row>
    <row r="68" spans="1:44" ht="108" customHeight="1" x14ac:dyDescent="0.25">
      <c r="A68" s="21" t="s">
        <v>494</v>
      </c>
      <c r="B68" s="21"/>
      <c r="C68" s="36">
        <v>1</v>
      </c>
      <c r="D68" s="21"/>
      <c r="E68" s="21"/>
      <c r="F68" s="21"/>
      <c r="G68" s="21"/>
      <c r="H68" s="21"/>
      <c r="I68" s="9" t="s">
        <v>779</v>
      </c>
      <c r="J68" s="9" t="s">
        <v>20</v>
      </c>
      <c r="K68" s="10" t="s">
        <v>754</v>
      </c>
      <c r="L68" s="32" t="s">
        <v>161</v>
      </c>
      <c r="M68" s="31" t="s">
        <v>486</v>
      </c>
      <c r="N68" s="27">
        <f>130000000+60000000</f>
        <v>190000000</v>
      </c>
      <c r="O68" s="16">
        <v>0</v>
      </c>
      <c r="P68" s="23">
        <v>11000000</v>
      </c>
      <c r="Q68" s="23">
        <v>13000000</v>
      </c>
      <c r="R68" s="23">
        <f>130000000</f>
        <v>130000000</v>
      </c>
      <c r="S68" s="23">
        <f>130000000</f>
        <v>130000000</v>
      </c>
      <c r="T68" s="23">
        <v>76000000</v>
      </c>
      <c r="U68" s="18">
        <f t="shared" si="9"/>
        <v>360000000</v>
      </c>
      <c r="V68" s="18">
        <f t="shared" si="8"/>
        <v>550000000</v>
      </c>
      <c r="W68" s="18">
        <f t="shared" si="10"/>
        <v>550000000</v>
      </c>
      <c r="X68" s="24">
        <v>43462</v>
      </c>
      <c r="Y68" s="25">
        <v>44895</v>
      </c>
      <c r="Z68" s="17"/>
      <c r="AA68" s="17"/>
      <c r="AB68" s="13"/>
      <c r="AC68" s="13"/>
      <c r="AD68" s="13"/>
      <c r="AE68" s="13"/>
      <c r="AF68" s="13"/>
      <c r="AG68" s="13"/>
      <c r="AH68" s="13"/>
      <c r="AI68" s="13"/>
      <c r="AJ68" s="13"/>
      <c r="AK68" s="13"/>
      <c r="AL68" s="14" t="s">
        <v>683</v>
      </c>
      <c r="AM68" s="32" t="s">
        <v>495</v>
      </c>
      <c r="AN68" s="19" t="s">
        <v>162</v>
      </c>
      <c r="AO68" s="19" t="s">
        <v>496</v>
      </c>
      <c r="AP68" s="19" t="s">
        <v>497</v>
      </c>
      <c r="AQ68" s="26" t="s">
        <v>164</v>
      </c>
      <c r="AR68" s="19" t="s">
        <v>18</v>
      </c>
    </row>
    <row r="69" spans="1:44" ht="97.5" customHeight="1" x14ac:dyDescent="0.25">
      <c r="A69" s="21" t="s">
        <v>498</v>
      </c>
      <c r="B69" s="21"/>
      <c r="C69" s="36">
        <v>1</v>
      </c>
      <c r="D69" s="21"/>
      <c r="E69" s="21"/>
      <c r="F69" s="21"/>
      <c r="G69" s="21"/>
      <c r="H69" s="21"/>
      <c r="I69" s="9" t="s">
        <v>779</v>
      </c>
      <c r="J69" s="9" t="s">
        <v>20</v>
      </c>
      <c r="K69" s="10" t="s">
        <v>754</v>
      </c>
      <c r="L69" s="32" t="s">
        <v>23</v>
      </c>
      <c r="M69" s="31" t="s">
        <v>486</v>
      </c>
      <c r="N69" s="27">
        <v>2760000000</v>
      </c>
      <c r="O69" s="16">
        <v>0</v>
      </c>
      <c r="P69" s="23">
        <v>332800000</v>
      </c>
      <c r="Q69" s="23">
        <v>4201000000</v>
      </c>
      <c r="R69" s="23">
        <v>3961000000</v>
      </c>
      <c r="S69" s="23">
        <f>4096000000</f>
        <v>4096000000</v>
      </c>
      <c r="T69" s="23">
        <f>2368200000</f>
        <v>2368200000</v>
      </c>
      <c r="U69" s="18">
        <f t="shared" si="9"/>
        <v>14959000000</v>
      </c>
      <c r="V69" s="18">
        <f t="shared" si="8"/>
        <v>17719000000</v>
      </c>
      <c r="W69" s="18">
        <f t="shared" si="10"/>
        <v>17719000000</v>
      </c>
      <c r="X69" s="24">
        <v>43462</v>
      </c>
      <c r="Y69" s="25">
        <v>44895</v>
      </c>
      <c r="Z69" s="17"/>
      <c r="AA69" s="17"/>
      <c r="AB69" s="13"/>
      <c r="AC69" s="13"/>
      <c r="AD69" s="13"/>
      <c r="AE69" s="13"/>
      <c r="AF69" s="13"/>
      <c r="AG69" s="13"/>
      <c r="AH69" s="13"/>
      <c r="AI69" s="13"/>
      <c r="AJ69" s="13"/>
      <c r="AK69" s="13"/>
      <c r="AL69" s="14" t="s">
        <v>683</v>
      </c>
      <c r="AM69" s="32" t="s">
        <v>146</v>
      </c>
      <c r="AN69" s="19" t="s">
        <v>45</v>
      </c>
      <c r="AO69" s="19" t="s">
        <v>147</v>
      </c>
      <c r="AP69" s="19" t="s">
        <v>24</v>
      </c>
      <c r="AQ69" s="26" t="s">
        <v>275</v>
      </c>
      <c r="AR69" s="19" t="s">
        <v>18</v>
      </c>
    </row>
    <row r="70" spans="1:44" ht="84.95" customHeight="1" x14ac:dyDescent="0.25">
      <c r="A70" s="21" t="s">
        <v>499</v>
      </c>
      <c r="B70" s="21"/>
      <c r="C70" s="36">
        <v>1</v>
      </c>
      <c r="D70" s="21"/>
      <c r="E70" s="21"/>
      <c r="F70" s="21"/>
      <c r="G70" s="21"/>
      <c r="H70" s="21"/>
      <c r="I70" s="9" t="s">
        <v>779</v>
      </c>
      <c r="J70" s="9" t="s">
        <v>20</v>
      </c>
      <c r="K70" s="10" t="s">
        <v>754</v>
      </c>
      <c r="L70" s="32" t="s">
        <v>500</v>
      </c>
      <c r="M70" s="31" t="s">
        <v>486</v>
      </c>
      <c r="N70" s="27">
        <v>33500000</v>
      </c>
      <c r="O70" s="16">
        <v>0</v>
      </c>
      <c r="P70" s="23">
        <v>6000000</v>
      </c>
      <c r="Q70" s="23">
        <v>100500000</v>
      </c>
      <c r="R70" s="23">
        <v>67000000</v>
      </c>
      <c r="S70" s="23">
        <v>67000000</v>
      </c>
      <c r="T70" s="23">
        <v>40000000</v>
      </c>
      <c r="U70" s="18">
        <f t="shared" si="9"/>
        <v>280500000</v>
      </c>
      <c r="V70" s="18">
        <f t="shared" si="8"/>
        <v>314000000</v>
      </c>
      <c r="W70" s="18">
        <f t="shared" si="10"/>
        <v>314000000</v>
      </c>
      <c r="X70" s="24">
        <v>43462</v>
      </c>
      <c r="Y70" s="25">
        <v>44880</v>
      </c>
      <c r="Z70" s="17"/>
      <c r="AA70" s="17"/>
      <c r="AB70" s="13"/>
      <c r="AC70" s="13"/>
      <c r="AD70" s="13"/>
      <c r="AE70" s="13"/>
      <c r="AF70" s="13"/>
      <c r="AG70" s="13"/>
      <c r="AH70" s="13"/>
      <c r="AI70" s="13"/>
      <c r="AJ70" s="13"/>
      <c r="AK70" s="13"/>
      <c r="AL70" s="14" t="s">
        <v>683</v>
      </c>
      <c r="AM70" s="32" t="s">
        <v>501</v>
      </c>
      <c r="AN70" s="19" t="s">
        <v>502</v>
      </c>
      <c r="AO70" s="19" t="s">
        <v>503</v>
      </c>
      <c r="AP70" s="19" t="s">
        <v>504</v>
      </c>
      <c r="AQ70" s="26" t="s">
        <v>505</v>
      </c>
      <c r="AR70" s="19" t="s">
        <v>18</v>
      </c>
    </row>
    <row r="71" spans="1:44" ht="84.95" customHeight="1" x14ac:dyDescent="0.25">
      <c r="A71" s="21" t="s">
        <v>506</v>
      </c>
      <c r="B71" s="21"/>
      <c r="C71" s="36">
        <v>1</v>
      </c>
      <c r="D71" s="21"/>
      <c r="E71" s="21"/>
      <c r="F71" s="21"/>
      <c r="G71" s="21"/>
      <c r="H71" s="21"/>
      <c r="I71" s="9" t="s">
        <v>779</v>
      </c>
      <c r="J71" s="9" t="s">
        <v>20</v>
      </c>
      <c r="K71" s="10" t="s">
        <v>754</v>
      </c>
      <c r="L71" s="32" t="s">
        <v>74</v>
      </c>
      <c r="M71" s="31" t="s">
        <v>486</v>
      </c>
      <c r="N71" s="12">
        <v>0</v>
      </c>
      <c r="O71" s="33">
        <f>50000000+14878261</f>
        <v>64878261</v>
      </c>
      <c r="P71" s="23">
        <v>7000000</v>
      </c>
      <c r="Q71" s="23">
        <v>40000000</v>
      </c>
      <c r="R71" s="23">
        <f>90000000</f>
        <v>90000000</v>
      </c>
      <c r="S71" s="23">
        <v>90000000</v>
      </c>
      <c r="T71" s="23">
        <v>53000000</v>
      </c>
      <c r="U71" s="18">
        <f t="shared" si="9"/>
        <v>280000000</v>
      </c>
      <c r="V71" s="18">
        <f t="shared" si="8"/>
        <v>280000000</v>
      </c>
      <c r="W71" s="18">
        <f t="shared" si="10"/>
        <v>215121739</v>
      </c>
      <c r="X71" s="24">
        <v>43462</v>
      </c>
      <c r="Y71" s="25">
        <v>44895</v>
      </c>
      <c r="Z71" s="17"/>
      <c r="AA71" s="17"/>
      <c r="AB71" s="13"/>
      <c r="AC71" s="13"/>
      <c r="AD71" s="13"/>
      <c r="AE71" s="13"/>
      <c r="AF71" s="13"/>
      <c r="AG71" s="13"/>
      <c r="AH71" s="13"/>
      <c r="AI71" s="13"/>
      <c r="AJ71" s="13"/>
      <c r="AK71" s="13"/>
      <c r="AL71" s="14" t="s">
        <v>683</v>
      </c>
      <c r="AM71" s="32" t="s">
        <v>75</v>
      </c>
      <c r="AN71" s="19" t="s">
        <v>76</v>
      </c>
      <c r="AO71" s="19" t="s">
        <v>77</v>
      </c>
      <c r="AP71" s="19" t="s">
        <v>507</v>
      </c>
      <c r="AQ71" s="26" t="s">
        <v>78</v>
      </c>
      <c r="AR71" s="19" t="s">
        <v>18</v>
      </c>
    </row>
    <row r="72" spans="1:44" ht="84.95" customHeight="1" x14ac:dyDescent="0.25">
      <c r="A72" s="21" t="s">
        <v>508</v>
      </c>
      <c r="B72" s="21"/>
      <c r="C72" s="36">
        <v>1</v>
      </c>
      <c r="D72" s="21"/>
      <c r="E72" s="21"/>
      <c r="F72" s="21"/>
      <c r="G72" s="21"/>
      <c r="H72" s="21"/>
      <c r="I72" s="9" t="s">
        <v>779</v>
      </c>
      <c r="J72" s="9" t="s">
        <v>20</v>
      </c>
      <c r="K72" s="10" t="s">
        <v>754</v>
      </c>
      <c r="L72" s="32" t="s">
        <v>84</v>
      </c>
      <c r="M72" s="31" t="s">
        <v>486</v>
      </c>
      <c r="N72" s="12">
        <v>250000000</v>
      </c>
      <c r="O72" s="33">
        <v>200000000</v>
      </c>
      <c r="P72" s="23">
        <v>110900000</v>
      </c>
      <c r="Q72" s="23">
        <v>1243000000</v>
      </c>
      <c r="R72" s="23">
        <v>1448000000</v>
      </c>
      <c r="S72" s="23">
        <v>1473000000</v>
      </c>
      <c r="T72" s="23">
        <v>863600000</v>
      </c>
      <c r="U72" s="18">
        <f t="shared" si="9"/>
        <v>5138500000</v>
      </c>
      <c r="V72" s="18">
        <f t="shared" si="8"/>
        <v>5388500000</v>
      </c>
      <c r="W72" s="18">
        <f t="shared" si="10"/>
        <v>5188500000</v>
      </c>
      <c r="X72" s="24">
        <v>43462</v>
      </c>
      <c r="Y72" s="25">
        <v>44895</v>
      </c>
      <c r="Z72" s="17"/>
      <c r="AA72" s="17"/>
      <c r="AB72" s="13"/>
      <c r="AC72" s="13"/>
      <c r="AD72" s="13"/>
      <c r="AE72" s="13"/>
      <c r="AF72" s="13"/>
      <c r="AG72" s="13"/>
      <c r="AH72" s="13"/>
      <c r="AI72" s="13"/>
      <c r="AJ72" s="13"/>
      <c r="AK72" s="13"/>
      <c r="AL72" s="14" t="s">
        <v>683</v>
      </c>
      <c r="AM72" s="32" t="s">
        <v>220</v>
      </c>
      <c r="AN72" s="19" t="s">
        <v>46</v>
      </c>
      <c r="AO72" s="19" t="s">
        <v>47</v>
      </c>
      <c r="AP72" s="19" t="s">
        <v>48</v>
      </c>
      <c r="AQ72" s="26" t="s">
        <v>49</v>
      </c>
      <c r="AR72" s="19" t="s">
        <v>18</v>
      </c>
    </row>
    <row r="73" spans="1:44" ht="84.95" customHeight="1" x14ac:dyDescent="0.25">
      <c r="A73" s="21" t="s">
        <v>509</v>
      </c>
      <c r="B73" s="29"/>
      <c r="C73" s="36">
        <v>1</v>
      </c>
      <c r="D73" s="29"/>
      <c r="E73" s="29"/>
      <c r="F73" s="29"/>
      <c r="G73" s="29"/>
      <c r="H73" s="29"/>
      <c r="I73" s="9" t="s">
        <v>779</v>
      </c>
      <c r="J73" s="9" t="s">
        <v>20</v>
      </c>
      <c r="K73" s="10" t="s">
        <v>754</v>
      </c>
      <c r="L73" s="32" t="s">
        <v>510</v>
      </c>
      <c r="M73" s="31" t="s">
        <v>486</v>
      </c>
      <c r="N73" s="12">
        <v>0</v>
      </c>
      <c r="O73" s="33">
        <v>49631297</v>
      </c>
      <c r="P73" s="23">
        <v>6000000</v>
      </c>
      <c r="Q73" s="23">
        <v>30368703</v>
      </c>
      <c r="R73" s="23">
        <v>80000000</v>
      </c>
      <c r="S73" s="23">
        <v>80000000</v>
      </c>
      <c r="T73" s="23">
        <v>48000000</v>
      </c>
      <c r="U73" s="18">
        <f t="shared" si="9"/>
        <v>244368703</v>
      </c>
      <c r="V73" s="18">
        <f t="shared" si="8"/>
        <v>244368703</v>
      </c>
      <c r="W73" s="18">
        <f t="shared" si="10"/>
        <v>194737406</v>
      </c>
      <c r="X73" s="24">
        <v>43462</v>
      </c>
      <c r="Y73" s="25">
        <v>44895</v>
      </c>
      <c r="Z73" s="17"/>
      <c r="AA73" s="17"/>
      <c r="AB73" s="13"/>
      <c r="AC73" s="13"/>
      <c r="AD73" s="13"/>
      <c r="AE73" s="13"/>
      <c r="AF73" s="13"/>
      <c r="AG73" s="13"/>
      <c r="AH73" s="13"/>
      <c r="AI73" s="13"/>
      <c r="AJ73" s="13"/>
      <c r="AK73" s="13"/>
      <c r="AL73" s="14" t="s">
        <v>683</v>
      </c>
      <c r="AM73" s="32" t="s">
        <v>303</v>
      </c>
      <c r="AN73" s="19" t="s">
        <v>304</v>
      </c>
      <c r="AO73" s="19" t="s">
        <v>305</v>
      </c>
      <c r="AP73" s="19" t="s">
        <v>306</v>
      </c>
      <c r="AQ73" s="26" t="s">
        <v>307</v>
      </c>
      <c r="AR73" s="19" t="s">
        <v>18</v>
      </c>
    </row>
    <row r="74" spans="1:44" ht="84.95" customHeight="1" x14ac:dyDescent="0.25">
      <c r="A74" s="21" t="s">
        <v>511</v>
      </c>
      <c r="B74" s="21"/>
      <c r="C74" s="36">
        <v>1</v>
      </c>
      <c r="D74" s="21"/>
      <c r="E74" s="21"/>
      <c r="F74" s="21"/>
      <c r="G74" s="21"/>
      <c r="H74" s="21"/>
      <c r="I74" s="9" t="s">
        <v>779</v>
      </c>
      <c r="J74" s="9" t="s">
        <v>20</v>
      </c>
      <c r="K74" s="10" t="s">
        <v>754</v>
      </c>
      <c r="L74" s="32" t="s">
        <v>148</v>
      </c>
      <c r="M74" s="31" t="s">
        <v>486</v>
      </c>
      <c r="N74" s="27">
        <v>299890448</v>
      </c>
      <c r="O74" s="33">
        <v>81805355</v>
      </c>
      <c r="P74" s="23">
        <v>48450000</v>
      </c>
      <c r="Q74" s="23">
        <v>479000000</v>
      </c>
      <c r="R74" s="23">
        <f>489000000</f>
        <v>489000000</v>
      </c>
      <c r="S74" s="23">
        <f>479000000</f>
        <v>479000000</v>
      </c>
      <c r="T74" s="23">
        <v>282150000</v>
      </c>
      <c r="U74" s="18">
        <f t="shared" si="9"/>
        <v>1777600000</v>
      </c>
      <c r="V74" s="18">
        <f t="shared" si="8"/>
        <v>2077490448</v>
      </c>
      <c r="W74" s="18">
        <f t="shared" si="10"/>
        <v>1995685093</v>
      </c>
      <c r="X74" s="24">
        <v>43462</v>
      </c>
      <c r="Y74" s="25">
        <v>44895</v>
      </c>
      <c r="Z74" s="17"/>
      <c r="AA74" s="17"/>
      <c r="AB74" s="13"/>
      <c r="AC74" s="13"/>
      <c r="AD74" s="13"/>
      <c r="AE74" s="13"/>
      <c r="AF74" s="13"/>
      <c r="AG74" s="13"/>
      <c r="AH74" s="13"/>
      <c r="AI74" s="13"/>
      <c r="AJ74" s="13"/>
      <c r="AK74" s="13"/>
      <c r="AL74" s="14" t="s">
        <v>683</v>
      </c>
      <c r="AM74" s="32" t="s">
        <v>141</v>
      </c>
      <c r="AN74" s="19" t="s">
        <v>61</v>
      </c>
      <c r="AO74" s="19" t="s">
        <v>149</v>
      </c>
      <c r="AP74" s="19" t="s">
        <v>62</v>
      </c>
      <c r="AQ74" s="26" t="s">
        <v>63</v>
      </c>
      <c r="AR74" s="19" t="s">
        <v>18</v>
      </c>
    </row>
    <row r="75" spans="1:44" ht="110.25" customHeight="1" x14ac:dyDescent="0.25">
      <c r="A75" s="21" t="s">
        <v>512</v>
      </c>
      <c r="B75" s="21"/>
      <c r="C75" s="36">
        <v>1</v>
      </c>
      <c r="D75" s="21"/>
      <c r="E75" s="21"/>
      <c r="F75" s="21"/>
      <c r="G75" s="21"/>
      <c r="H75" s="21"/>
      <c r="I75" s="9" t="s">
        <v>779</v>
      </c>
      <c r="J75" s="9" t="s">
        <v>20</v>
      </c>
      <c r="K75" s="10" t="s">
        <v>754</v>
      </c>
      <c r="L75" s="32" t="s">
        <v>513</v>
      </c>
      <c r="M75" s="31" t="s">
        <v>486</v>
      </c>
      <c r="N75" s="27">
        <f>100000000+80000000+80000000+200000000</f>
        <v>460000000</v>
      </c>
      <c r="O75" s="16">
        <v>0</v>
      </c>
      <c r="P75" s="23">
        <v>22850000</v>
      </c>
      <c r="Q75" s="23">
        <f>285000000</f>
        <v>285000000</v>
      </c>
      <c r="R75" s="23">
        <f>285000000</f>
        <v>285000000</v>
      </c>
      <c r="S75" s="23">
        <f>285000000</f>
        <v>285000000</v>
      </c>
      <c r="T75" s="23">
        <f>163450000</f>
        <v>163450000</v>
      </c>
      <c r="U75" s="18">
        <f t="shared" si="9"/>
        <v>1041300000</v>
      </c>
      <c r="V75" s="18">
        <f t="shared" si="8"/>
        <v>1501300000</v>
      </c>
      <c r="W75" s="18">
        <f t="shared" si="10"/>
        <v>1501300000</v>
      </c>
      <c r="X75" s="24">
        <v>43462</v>
      </c>
      <c r="Y75" s="25">
        <v>44880</v>
      </c>
      <c r="Z75" s="17"/>
      <c r="AA75" s="17"/>
      <c r="AB75" s="13"/>
      <c r="AC75" s="13"/>
      <c r="AD75" s="13"/>
      <c r="AE75" s="13"/>
      <c r="AF75" s="13"/>
      <c r="AG75" s="13"/>
      <c r="AH75" s="13"/>
      <c r="AI75" s="13"/>
      <c r="AJ75" s="13"/>
      <c r="AK75" s="13"/>
      <c r="AL75" s="14" t="s">
        <v>683</v>
      </c>
      <c r="AM75" s="32" t="s">
        <v>514</v>
      </c>
      <c r="AN75" s="19" t="s">
        <v>515</v>
      </c>
      <c r="AO75" s="19" t="s">
        <v>516</v>
      </c>
      <c r="AP75" s="19" t="s">
        <v>517</v>
      </c>
      <c r="AQ75" s="26" t="s">
        <v>518</v>
      </c>
      <c r="AR75" s="19" t="s">
        <v>18</v>
      </c>
    </row>
    <row r="76" spans="1:44" ht="84.95" customHeight="1" x14ac:dyDescent="0.25">
      <c r="A76" s="21" t="s">
        <v>519</v>
      </c>
      <c r="B76" s="21"/>
      <c r="C76" s="36">
        <v>1</v>
      </c>
      <c r="D76" s="21"/>
      <c r="E76" s="21"/>
      <c r="F76" s="21"/>
      <c r="G76" s="21"/>
      <c r="H76" s="21"/>
      <c r="I76" s="9" t="s">
        <v>779</v>
      </c>
      <c r="J76" s="9" t="s">
        <v>20</v>
      </c>
      <c r="K76" s="10" t="s">
        <v>754</v>
      </c>
      <c r="L76" s="32" t="s">
        <v>184</v>
      </c>
      <c r="M76" s="31" t="s">
        <v>486</v>
      </c>
      <c r="N76" s="12">
        <v>0</v>
      </c>
      <c r="O76" s="33">
        <v>23000000</v>
      </c>
      <c r="P76" s="23">
        <v>4000000</v>
      </c>
      <c r="Q76" s="23">
        <v>46000000</v>
      </c>
      <c r="R76" s="23">
        <f>41000000-23000000</f>
        <v>18000000</v>
      </c>
      <c r="S76" s="23">
        <v>46000000</v>
      </c>
      <c r="T76" s="23">
        <v>27000000</v>
      </c>
      <c r="U76" s="18">
        <f t="shared" si="9"/>
        <v>141000000</v>
      </c>
      <c r="V76" s="18">
        <f t="shared" si="8"/>
        <v>141000000</v>
      </c>
      <c r="W76" s="18">
        <f t="shared" si="10"/>
        <v>118000000</v>
      </c>
      <c r="X76" s="24">
        <v>43462</v>
      </c>
      <c r="Y76" s="25">
        <v>44895</v>
      </c>
      <c r="Z76" s="17"/>
      <c r="AA76" s="17"/>
      <c r="AB76" s="13"/>
      <c r="AC76" s="13"/>
      <c r="AD76" s="13"/>
      <c r="AE76" s="13"/>
      <c r="AF76" s="13"/>
      <c r="AG76" s="13"/>
      <c r="AH76" s="13"/>
      <c r="AI76" s="13"/>
      <c r="AJ76" s="13"/>
      <c r="AK76" s="13"/>
      <c r="AL76" s="14" t="s">
        <v>683</v>
      </c>
      <c r="AM76" s="32" t="s">
        <v>520</v>
      </c>
      <c r="AN76" s="19" t="s">
        <v>185</v>
      </c>
      <c r="AO76" s="19" t="s">
        <v>521</v>
      </c>
      <c r="AP76" s="19" t="s">
        <v>522</v>
      </c>
      <c r="AQ76" s="26" t="s">
        <v>523</v>
      </c>
      <c r="AR76" s="19" t="s">
        <v>18</v>
      </c>
    </row>
    <row r="77" spans="1:44" ht="84.95" customHeight="1" x14ac:dyDescent="0.25">
      <c r="A77" s="21" t="s">
        <v>524</v>
      </c>
      <c r="B77" s="21"/>
      <c r="C77" s="36">
        <v>1</v>
      </c>
      <c r="D77" s="21"/>
      <c r="E77" s="21"/>
      <c r="F77" s="21"/>
      <c r="G77" s="21"/>
      <c r="H77" s="21"/>
      <c r="I77" s="9" t="s">
        <v>779</v>
      </c>
      <c r="J77" s="9" t="s">
        <v>20</v>
      </c>
      <c r="K77" s="10" t="s">
        <v>754</v>
      </c>
      <c r="L77" s="32" t="s">
        <v>188</v>
      </c>
      <c r="M77" s="31" t="s">
        <v>486</v>
      </c>
      <c r="N77" s="12">
        <v>0</v>
      </c>
      <c r="O77" s="33">
        <v>100000000</v>
      </c>
      <c r="P77" s="23">
        <v>22000000</v>
      </c>
      <c r="Q77" s="23">
        <v>270000000</v>
      </c>
      <c r="R77" s="23">
        <f>270000000</f>
        <v>270000000</v>
      </c>
      <c r="S77" s="23">
        <v>270000000</v>
      </c>
      <c r="T77" s="23">
        <v>158000000</v>
      </c>
      <c r="U77" s="18">
        <f t="shared" si="9"/>
        <v>990000000</v>
      </c>
      <c r="V77" s="18">
        <f t="shared" si="8"/>
        <v>990000000</v>
      </c>
      <c r="W77" s="18">
        <f t="shared" si="10"/>
        <v>890000000</v>
      </c>
      <c r="X77" s="24">
        <v>43462</v>
      </c>
      <c r="Y77" s="25">
        <v>44895</v>
      </c>
      <c r="Z77" s="17"/>
      <c r="AA77" s="17"/>
      <c r="AB77" s="13"/>
      <c r="AC77" s="13"/>
      <c r="AD77" s="13"/>
      <c r="AE77" s="13"/>
      <c r="AF77" s="13"/>
      <c r="AG77" s="13"/>
      <c r="AH77" s="13"/>
      <c r="AI77" s="13"/>
      <c r="AJ77" s="13"/>
      <c r="AK77" s="13"/>
      <c r="AL77" s="14" t="s">
        <v>683</v>
      </c>
      <c r="AM77" s="32" t="s">
        <v>525</v>
      </c>
      <c r="AN77" s="19" t="s">
        <v>189</v>
      </c>
      <c r="AO77" s="19" t="s">
        <v>526</v>
      </c>
      <c r="AP77" s="19" t="s">
        <v>527</v>
      </c>
      <c r="AQ77" s="26" t="s">
        <v>528</v>
      </c>
      <c r="AR77" s="19" t="s">
        <v>18</v>
      </c>
    </row>
    <row r="78" spans="1:44" ht="84.95" customHeight="1" x14ac:dyDescent="0.25">
      <c r="A78" s="21" t="s">
        <v>529</v>
      </c>
      <c r="B78" s="21"/>
      <c r="C78" s="36">
        <v>1</v>
      </c>
      <c r="D78" s="21"/>
      <c r="E78" s="21"/>
      <c r="F78" s="21"/>
      <c r="G78" s="21"/>
      <c r="H78" s="21"/>
      <c r="I78" s="9" t="s">
        <v>779</v>
      </c>
      <c r="J78" s="9" t="s">
        <v>20</v>
      </c>
      <c r="K78" s="10" t="s">
        <v>754</v>
      </c>
      <c r="L78" s="32" t="s">
        <v>34</v>
      </c>
      <c r="M78" s="31" t="s">
        <v>486</v>
      </c>
      <c r="N78" s="12">
        <v>0</v>
      </c>
      <c r="O78" s="33">
        <f>90000000+61942592</f>
        <v>151942592</v>
      </c>
      <c r="P78" s="23">
        <v>33400000</v>
      </c>
      <c r="Q78" s="23">
        <v>400500000</v>
      </c>
      <c r="R78" s="23">
        <f>400500000</f>
        <v>400500000</v>
      </c>
      <c r="S78" s="23">
        <f>400500000</f>
        <v>400500000</v>
      </c>
      <c r="T78" s="23">
        <v>234600000</v>
      </c>
      <c r="U78" s="18">
        <f t="shared" si="9"/>
        <v>1469500000</v>
      </c>
      <c r="V78" s="18">
        <f t="shared" si="8"/>
        <v>1469500000</v>
      </c>
      <c r="W78" s="18">
        <f t="shared" si="10"/>
        <v>1317557408</v>
      </c>
      <c r="X78" s="24">
        <v>43462</v>
      </c>
      <c r="Y78" s="25">
        <v>44895</v>
      </c>
      <c r="Z78" s="17"/>
      <c r="AA78" s="17"/>
      <c r="AB78" s="13"/>
      <c r="AC78" s="13"/>
      <c r="AD78" s="13"/>
      <c r="AE78" s="13"/>
      <c r="AF78" s="13"/>
      <c r="AG78" s="13"/>
      <c r="AH78" s="13"/>
      <c r="AI78" s="13"/>
      <c r="AJ78" s="13"/>
      <c r="AK78" s="13"/>
      <c r="AL78" s="14" t="s">
        <v>683</v>
      </c>
      <c r="AM78" s="32" t="s">
        <v>35</v>
      </c>
      <c r="AN78" s="19" t="s">
        <v>36</v>
      </c>
      <c r="AO78" s="19" t="s">
        <v>530</v>
      </c>
      <c r="AP78" s="19" t="s">
        <v>37</v>
      </c>
      <c r="AQ78" s="26" t="s">
        <v>38</v>
      </c>
      <c r="AR78" s="19" t="s">
        <v>18</v>
      </c>
    </row>
    <row r="79" spans="1:44" ht="84.95" customHeight="1" x14ac:dyDescent="0.25">
      <c r="A79" s="21" t="s">
        <v>531</v>
      </c>
      <c r="B79" s="21"/>
      <c r="C79" s="36">
        <v>1</v>
      </c>
      <c r="D79" s="21"/>
      <c r="E79" s="21"/>
      <c r="F79" s="21"/>
      <c r="G79" s="21"/>
      <c r="H79" s="21"/>
      <c r="I79" s="9" t="s">
        <v>779</v>
      </c>
      <c r="J79" s="9" t="s">
        <v>20</v>
      </c>
      <c r="K79" s="10" t="s">
        <v>754</v>
      </c>
      <c r="L79" s="32" t="s">
        <v>532</v>
      </c>
      <c r="M79" s="31" t="s">
        <v>486</v>
      </c>
      <c r="N79" s="12">
        <v>0</v>
      </c>
      <c r="O79" s="16">
        <v>0</v>
      </c>
      <c r="P79" s="23">
        <v>5000000</v>
      </c>
      <c r="Q79" s="23">
        <v>60000000</v>
      </c>
      <c r="R79" s="23">
        <v>60000000</v>
      </c>
      <c r="S79" s="23">
        <v>60000000</v>
      </c>
      <c r="T79" s="23">
        <v>35000000</v>
      </c>
      <c r="U79" s="18">
        <f t="shared" si="9"/>
        <v>220000000</v>
      </c>
      <c r="V79" s="18">
        <f t="shared" si="8"/>
        <v>220000000</v>
      </c>
      <c r="W79" s="18">
        <f t="shared" si="10"/>
        <v>220000000</v>
      </c>
      <c r="X79" s="24">
        <v>43462</v>
      </c>
      <c r="Y79" s="25">
        <v>44895</v>
      </c>
      <c r="Z79" s="17"/>
      <c r="AA79" s="17"/>
      <c r="AB79" s="13"/>
      <c r="AC79" s="13"/>
      <c r="AD79" s="13"/>
      <c r="AE79" s="13"/>
      <c r="AF79" s="13"/>
      <c r="AG79" s="13"/>
      <c r="AH79" s="13"/>
      <c r="AI79" s="13"/>
      <c r="AJ79" s="13"/>
      <c r="AK79" s="13"/>
      <c r="AL79" s="14" t="s">
        <v>683</v>
      </c>
      <c r="AM79" s="32" t="s">
        <v>69</v>
      </c>
      <c r="AN79" s="19" t="s">
        <v>70</v>
      </c>
      <c r="AO79" s="19" t="s">
        <v>71</v>
      </c>
      <c r="AP79" s="19" t="s">
        <v>72</v>
      </c>
      <c r="AQ79" s="26" t="s">
        <v>73</v>
      </c>
      <c r="AR79" s="19" t="s">
        <v>18</v>
      </c>
    </row>
    <row r="80" spans="1:44" ht="131.25" customHeight="1" x14ac:dyDescent="0.25">
      <c r="A80" s="21" t="s">
        <v>533</v>
      </c>
      <c r="B80" s="21"/>
      <c r="C80" s="36">
        <v>1</v>
      </c>
      <c r="D80" s="21"/>
      <c r="E80" s="21"/>
      <c r="F80" s="21"/>
      <c r="G80" s="21"/>
      <c r="H80" s="21"/>
      <c r="I80" s="9" t="s">
        <v>779</v>
      </c>
      <c r="J80" s="9" t="s">
        <v>20</v>
      </c>
      <c r="K80" s="10" t="s">
        <v>754</v>
      </c>
      <c r="L80" s="32" t="s">
        <v>51</v>
      </c>
      <c r="M80" s="31" t="s">
        <v>486</v>
      </c>
      <c r="N80" s="12">
        <v>0</v>
      </c>
      <c r="O80" s="33">
        <f>30000000+2850366</f>
        <v>32850366</v>
      </c>
      <c r="P80" s="23">
        <v>6000000</v>
      </c>
      <c r="Q80" s="23">
        <v>70000000</v>
      </c>
      <c r="R80" s="23">
        <f>70000000</f>
        <v>70000000</v>
      </c>
      <c r="S80" s="23">
        <v>70000000</v>
      </c>
      <c r="T80" s="23">
        <v>40000000</v>
      </c>
      <c r="U80" s="18">
        <f t="shared" si="9"/>
        <v>256000000</v>
      </c>
      <c r="V80" s="18">
        <f t="shared" si="8"/>
        <v>256000000</v>
      </c>
      <c r="W80" s="18">
        <f t="shared" si="10"/>
        <v>223149634</v>
      </c>
      <c r="X80" s="24">
        <v>43462</v>
      </c>
      <c r="Y80" s="25">
        <v>44880</v>
      </c>
      <c r="Z80" s="17"/>
      <c r="AA80" s="17"/>
      <c r="AB80" s="13"/>
      <c r="AC80" s="13"/>
      <c r="AD80" s="13"/>
      <c r="AE80" s="13"/>
      <c r="AF80" s="13"/>
      <c r="AG80" s="13"/>
      <c r="AH80" s="13"/>
      <c r="AI80" s="13"/>
      <c r="AJ80" s="13"/>
      <c r="AK80" s="13"/>
      <c r="AL80" s="14" t="s">
        <v>683</v>
      </c>
      <c r="AM80" s="32" t="s">
        <v>52</v>
      </c>
      <c r="AN80" s="19" t="s">
        <v>53</v>
      </c>
      <c r="AO80" s="19" t="s">
        <v>54</v>
      </c>
      <c r="AP80" s="19" t="s">
        <v>55</v>
      </c>
      <c r="AQ80" s="26" t="s">
        <v>56</v>
      </c>
      <c r="AR80" s="19" t="s">
        <v>18</v>
      </c>
    </row>
    <row r="81" spans="1:44" ht="84.95" customHeight="1" x14ac:dyDescent="0.25">
      <c r="A81" s="21" t="s">
        <v>534</v>
      </c>
      <c r="B81" s="21"/>
      <c r="C81" s="36">
        <v>1</v>
      </c>
      <c r="D81" s="21"/>
      <c r="E81" s="21"/>
      <c r="F81" s="21"/>
      <c r="G81" s="21"/>
      <c r="H81" s="21"/>
      <c r="I81" s="9" t="s">
        <v>779</v>
      </c>
      <c r="J81" s="9" t="s">
        <v>20</v>
      </c>
      <c r="K81" s="10" t="s">
        <v>754</v>
      </c>
      <c r="L81" s="32" t="s">
        <v>411</v>
      </c>
      <c r="M81" s="31" t="s">
        <v>486</v>
      </c>
      <c r="N81" s="27">
        <f>15000000+8000000</f>
        <v>23000000</v>
      </c>
      <c r="O81" s="16">
        <v>0</v>
      </c>
      <c r="P81" s="23">
        <v>2000000</v>
      </c>
      <c r="Q81" s="23">
        <v>30000000</v>
      </c>
      <c r="R81" s="23">
        <f>30000000</f>
        <v>30000000</v>
      </c>
      <c r="S81" s="23">
        <v>30000000</v>
      </c>
      <c r="T81" s="23">
        <v>18000000</v>
      </c>
      <c r="U81" s="18">
        <f t="shared" si="9"/>
        <v>110000000</v>
      </c>
      <c r="V81" s="18">
        <f t="shared" si="8"/>
        <v>133000000</v>
      </c>
      <c r="W81" s="18">
        <f t="shared" si="10"/>
        <v>133000000</v>
      </c>
      <c r="X81" s="24">
        <v>43462</v>
      </c>
      <c r="Y81" s="25">
        <v>44880</v>
      </c>
      <c r="Z81" s="17"/>
      <c r="AA81" s="17"/>
      <c r="AB81" s="13"/>
      <c r="AC81" s="13"/>
      <c r="AD81" s="13"/>
      <c r="AE81" s="13"/>
      <c r="AF81" s="13"/>
      <c r="AG81" s="13"/>
      <c r="AH81" s="13"/>
      <c r="AI81" s="13"/>
      <c r="AJ81" s="13"/>
      <c r="AK81" s="13"/>
      <c r="AL81" s="14" t="s">
        <v>683</v>
      </c>
      <c r="AM81" s="32" t="s">
        <v>535</v>
      </c>
      <c r="AN81" s="19" t="s">
        <v>57</v>
      </c>
      <c r="AO81" s="19" t="s">
        <v>536</v>
      </c>
      <c r="AP81" s="19" t="s">
        <v>59</v>
      </c>
      <c r="AQ81" s="26" t="s">
        <v>60</v>
      </c>
      <c r="AR81" s="19" t="s">
        <v>537</v>
      </c>
    </row>
    <row r="82" spans="1:44" ht="84.95" customHeight="1" x14ac:dyDescent="0.25">
      <c r="A82" s="21" t="s">
        <v>538</v>
      </c>
      <c r="B82" s="29"/>
      <c r="C82" s="36">
        <v>1</v>
      </c>
      <c r="D82" s="29"/>
      <c r="E82" s="29"/>
      <c r="F82" s="29"/>
      <c r="G82" s="29"/>
      <c r="H82" s="29"/>
      <c r="I82" s="9" t="s">
        <v>779</v>
      </c>
      <c r="J82" s="9" t="s">
        <v>20</v>
      </c>
      <c r="K82" s="10" t="s">
        <v>754</v>
      </c>
      <c r="L82" s="32" t="s">
        <v>104</v>
      </c>
      <c r="M82" s="31" t="s">
        <v>486</v>
      </c>
      <c r="N82" s="12">
        <v>0</v>
      </c>
      <c r="O82" s="33">
        <v>30000000</v>
      </c>
      <c r="P82" s="23">
        <v>5400000</v>
      </c>
      <c r="Q82" s="23">
        <v>94000000</v>
      </c>
      <c r="R82" s="23">
        <v>114000000</v>
      </c>
      <c r="S82" s="23">
        <v>124000000</v>
      </c>
      <c r="T82" s="23">
        <v>72600000</v>
      </c>
      <c r="U82" s="18">
        <f t="shared" si="9"/>
        <v>410000000</v>
      </c>
      <c r="V82" s="18">
        <f t="shared" si="8"/>
        <v>410000000</v>
      </c>
      <c r="W82" s="18">
        <f t="shared" si="10"/>
        <v>380000000</v>
      </c>
      <c r="X82" s="24">
        <v>43462</v>
      </c>
      <c r="Y82" s="25">
        <v>44880</v>
      </c>
      <c r="Z82" s="17"/>
      <c r="AA82" s="17"/>
      <c r="AB82" s="13"/>
      <c r="AC82" s="13"/>
      <c r="AD82" s="13"/>
      <c r="AE82" s="13"/>
      <c r="AF82" s="13"/>
      <c r="AG82" s="13"/>
      <c r="AH82" s="13"/>
      <c r="AI82" s="13"/>
      <c r="AJ82" s="13"/>
      <c r="AK82" s="13"/>
      <c r="AL82" s="14" t="s">
        <v>683</v>
      </c>
      <c r="AM82" s="32" t="s">
        <v>29</v>
      </c>
      <c r="AN82" s="19" t="s">
        <v>30</v>
      </c>
      <c r="AO82" s="19" t="s">
        <v>31</v>
      </c>
      <c r="AP82" s="19" t="s">
        <v>32</v>
      </c>
      <c r="AQ82" s="26" t="s">
        <v>33</v>
      </c>
      <c r="AR82" s="19" t="s">
        <v>18</v>
      </c>
    </row>
    <row r="83" spans="1:44" ht="128.25" customHeight="1" x14ac:dyDescent="0.25">
      <c r="A83" s="21" t="s">
        <v>539</v>
      </c>
      <c r="B83" s="21"/>
      <c r="C83" s="36">
        <v>1</v>
      </c>
      <c r="D83" s="21"/>
      <c r="E83" s="21"/>
      <c r="F83" s="21"/>
      <c r="G83" s="21"/>
      <c r="H83" s="21"/>
      <c r="I83" s="9" t="s">
        <v>779</v>
      </c>
      <c r="J83" s="9" t="s">
        <v>20</v>
      </c>
      <c r="K83" s="10" t="s">
        <v>754</v>
      </c>
      <c r="L83" s="32" t="s">
        <v>540</v>
      </c>
      <c r="M83" s="31" t="s">
        <v>486</v>
      </c>
      <c r="N83" s="12">
        <v>0</v>
      </c>
      <c r="O83" s="33">
        <f>5897338+3000000</f>
        <v>8897338</v>
      </c>
      <c r="P83" s="23">
        <v>1500000000</v>
      </c>
      <c r="Q83" s="23">
        <v>9102662</v>
      </c>
      <c r="R83" s="23">
        <f>13000000</f>
        <v>13000000</v>
      </c>
      <c r="S83" s="23">
        <v>15000000</v>
      </c>
      <c r="T83" s="23">
        <v>9000000</v>
      </c>
      <c r="U83" s="18">
        <f t="shared" si="9"/>
        <v>1546102662</v>
      </c>
      <c r="V83" s="18">
        <f t="shared" si="8"/>
        <v>1546102662</v>
      </c>
      <c r="W83" s="18">
        <f t="shared" si="10"/>
        <v>1537205324</v>
      </c>
      <c r="X83" s="24">
        <v>43462</v>
      </c>
      <c r="Y83" s="25">
        <v>44895</v>
      </c>
      <c r="Z83" s="17"/>
      <c r="AA83" s="17"/>
      <c r="AB83" s="13"/>
      <c r="AC83" s="13"/>
      <c r="AD83" s="13"/>
      <c r="AE83" s="13"/>
      <c r="AF83" s="13"/>
      <c r="AG83" s="13"/>
      <c r="AH83" s="13"/>
      <c r="AI83" s="13"/>
      <c r="AJ83" s="13"/>
      <c r="AK83" s="13"/>
      <c r="AL83" s="14" t="s">
        <v>683</v>
      </c>
      <c r="AM83" s="32" t="s">
        <v>541</v>
      </c>
      <c r="AN83" s="19" t="s">
        <v>542</v>
      </c>
      <c r="AO83" s="19" t="s">
        <v>543</v>
      </c>
      <c r="AP83" s="19" t="s">
        <v>544</v>
      </c>
      <c r="AQ83" s="26" t="s">
        <v>545</v>
      </c>
      <c r="AR83" s="19" t="s">
        <v>18</v>
      </c>
    </row>
    <row r="84" spans="1:44" ht="84.95" customHeight="1" x14ac:dyDescent="0.25">
      <c r="A84" s="21" t="s">
        <v>546</v>
      </c>
      <c r="B84" s="29"/>
      <c r="C84" s="36">
        <v>1</v>
      </c>
      <c r="D84" s="29"/>
      <c r="E84" s="29"/>
      <c r="F84" s="29"/>
      <c r="G84" s="29"/>
      <c r="H84" s="29"/>
      <c r="I84" s="9" t="s">
        <v>779</v>
      </c>
      <c r="J84" s="9" t="s">
        <v>20</v>
      </c>
      <c r="K84" s="10" t="s">
        <v>754</v>
      </c>
      <c r="L84" s="32" t="s">
        <v>105</v>
      </c>
      <c r="M84" s="31" t="s">
        <v>486</v>
      </c>
      <c r="N84" s="12">
        <v>0</v>
      </c>
      <c r="O84" s="33">
        <v>33779058</v>
      </c>
      <c r="P84" s="23">
        <v>22800000</v>
      </c>
      <c r="Q84" s="23">
        <v>278000000</v>
      </c>
      <c r="R84" s="23">
        <f>268000000</f>
        <v>268000000</v>
      </c>
      <c r="S84" s="23">
        <v>278000000</v>
      </c>
      <c r="T84" s="23">
        <v>164200000</v>
      </c>
      <c r="U84" s="18">
        <f t="shared" si="9"/>
        <v>1011000000</v>
      </c>
      <c r="V84" s="18">
        <f t="shared" si="8"/>
        <v>1011000000</v>
      </c>
      <c r="W84" s="18">
        <f t="shared" si="10"/>
        <v>977220942</v>
      </c>
      <c r="X84" s="24">
        <v>43462</v>
      </c>
      <c r="Y84" s="25">
        <v>44895</v>
      </c>
      <c r="Z84" s="17"/>
      <c r="AA84" s="17"/>
      <c r="AB84" s="13"/>
      <c r="AC84" s="13"/>
      <c r="AD84" s="13"/>
      <c r="AE84" s="13"/>
      <c r="AF84" s="13"/>
      <c r="AG84" s="13"/>
      <c r="AH84" s="13"/>
      <c r="AI84" s="13"/>
      <c r="AJ84" s="13"/>
      <c r="AK84" s="13"/>
      <c r="AL84" s="14" t="s">
        <v>683</v>
      </c>
      <c r="AM84" s="32" t="s">
        <v>65</v>
      </c>
      <c r="AN84" s="19" t="s">
        <v>66</v>
      </c>
      <c r="AO84" s="19" t="s">
        <v>106</v>
      </c>
      <c r="AP84" s="19" t="s">
        <v>547</v>
      </c>
      <c r="AQ84" s="26" t="s">
        <v>68</v>
      </c>
      <c r="AR84" s="19" t="s">
        <v>18</v>
      </c>
    </row>
    <row r="85" spans="1:44" ht="84.95" customHeight="1" x14ac:dyDescent="0.25">
      <c r="A85" s="21" t="s">
        <v>548</v>
      </c>
      <c r="B85" s="21"/>
      <c r="C85" s="36">
        <v>1</v>
      </c>
      <c r="D85" s="21"/>
      <c r="E85" s="21"/>
      <c r="F85" s="21"/>
      <c r="G85" s="21"/>
      <c r="H85" s="21"/>
      <c r="I85" s="9" t="s">
        <v>779</v>
      </c>
      <c r="J85" s="9" t="s">
        <v>20</v>
      </c>
      <c r="K85" s="10" t="s">
        <v>754</v>
      </c>
      <c r="L85" s="32" t="s">
        <v>549</v>
      </c>
      <c r="M85" s="31" t="s">
        <v>486</v>
      </c>
      <c r="N85" s="12">
        <v>352000000</v>
      </c>
      <c r="O85" s="16">
        <v>0</v>
      </c>
      <c r="P85" s="23">
        <v>67667000</v>
      </c>
      <c r="Q85" s="23">
        <v>934000000</v>
      </c>
      <c r="R85" s="23">
        <v>874000000</v>
      </c>
      <c r="S85" s="23">
        <v>934000000</v>
      </c>
      <c r="T85" s="23">
        <v>545733000</v>
      </c>
      <c r="U85" s="18">
        <f t="shared" si="9"/>
        <v>3355400000</v>
      </c>
      <c r="V85" s="18">
        <f t="shared" si="8"/>
        <v>3707400000</v>
      </c>
      <c r="W85" s="18">
        <f t="shared" si="10"/>
        <v>3707400000</v>
      </c>
      <c r="X85" s="24">
        <v>43462</v>
      </c>
      <c r="Y85" s="25">
        <v>44880</v>
      </c>
      <c r="Z85" s="17"/>
      <c r="AA85" s="17"/>
      <c r="AB85" s="13"/>
      <c r="AC85" s="13"/>
      <c r="AD85" s="13"/>
      <c r="AE85" s="13"/>
      <c r="AF85" s="13"/>
      <c r="AG85" s="13"/>
      <c r="AH85" s="13"/>
      <c r="AI85" s="13"/>
      <c r="AJ85" s="13"/>
      <c r="AK85" s="13"/>
      <c r="AL85" s="14" t="s">
        <v>683</v>
      </c>
      <c r="AM85" s="32" t="s">
        <v>550</v>
      </c>
      <c r="AN85" s="19" t="s">
        <v>142</v>
      </c>
      <c r="AO85" s="19" t="s">
        <v>143</v>
      </c>
      <c r="AP85" s="19" t="s">
        <v>144</v>
      </c>
      <c r="AQ85" s="26" t="s">
        <v>145</v>
      </c>
      <c r="AR85" s="19" t="s">
        <v>18</v>
      </c>
    </row>
    <row r="86" spans="1:44" ht="112.5" customHeight="1" x14ac:dyDescent="0.25">
      <c r="A86" s="21" t="s">
        <v>551</v>
      </c>
      <c r="B86" s="29"/>
      <c r="C86" s="36">
        <v>1</v>
      </c>
      <c r="D86" s="29"/>
      <c r="E86" s="29"/>
      <c r="F86" s="29"/>
      <c r="G86" s="29"/>
      <c r="H86" s="29"/>
      <c r="I86" s="9" t="s">
        <v>779</v>
      </c>
      <c r="J86" s="9" t="s">
        <v>20</v>
      </c>
      <c r="K86" s="10" t="s">
        <v>754</v>
      </c>
      <c r="L86" s="32" t="s">
        <v>39</v>
      </c>
      <c r="M86" s="31" t="s">
        <v>486</v>
      </c>
      <c r="N86" s="12">
        <v>0</v>
      </c>
      <c r="O86" s="33">
        <f>273309818+263470894+227451902</f>
        <v>764232614</v>
      </c>
      <c r="P86" s="23">
        <v>79500000</v>
      </c>
      <c r="Q86" s="23">
        <v>648690182</v>
      </c>
      <c r="R86" s="23">
        <f>920000000</f>
        <v>920000000</v>
      </c>
      <c r="S86" s="23">
        <f>945000000</f>
        <v>945000000</v>
      </c>
      <c r="T86" s="23">
        <v>552000000</v>
      </c>
      <c r="U86" s="18">
        <f t="shared" si="9"/>
        <v>3145190182</v>
      </c>
      <c r="V86" s="18">
        <f t="shared" si="8"/>
        <v>3145190182</v>
      </c>
      <c r="W86" s="18">
        <f t="shared" si="10"/>
        <v>2380957568</v>
      </c>
      <c r="X86" s="24">
        <v>43462</v>
      </c>
      <c r="Y86" s="25">
        <v>44895</v>
      </c>
      <c r="Z86" s="17"/>
      <c r="AA86" s="17"/>
      <c r="AB86" s="13"/>
      <c r="AC86" s="13"/>
      <c r="AD86" s="13"/>
      <c r="AE86" s="13"/>
      <c r="AF86" s="13"/>
      <c r="AG86" s="13"/>
      <c r="AH86" s="13"/>
      <c r="AI86" s="13"/>
      <c r="AJ86" s="13"/>
      <c r="AK86" s="13"/>
      <c r="AL86" s="14" t="s">
        <v>683</v>
      </c>
      <c r="AM86" s="32" t="s">
        <v>40</v>
      </c>
      <c r="AN86" s="19" t="s">
        <v>41</v>
      </c>
      <c r="AO86" s="19" t="s">
        <v>464</v>
      </c>
      <c r="AP86" s="19" t="s">
        <v>465</v>
      </c>
      <c r="AQ86" s="26" t="s">
        <v>42</v>
      </c>
      <c r="AR86" s="19" t="s">
        <v>18</v>
      </c>
    </row>
    <row r="87" spans="1:44" ht="84.95" customHeight="1" x14ac:dyDescent="0.25">
      <c r="A87" s="21" t="s">
        <v>552</v>
      </c>
      <c r="B87" s="21"/>
      <c r="C87" s="36">
        <v>1</v>
      </c>
      <c r="D87" s="21"/>
      <c r="E87" s="21"/>
      <c r="F87" s="21"/>
      <c r="G87" s="21"/>
      <c r="H87" s="21"/>
      <c r="I87" s="9" t="s">
        <v>779</v>
      </c>
      <c r="J87" s="9" t="s">
        <v>20</v>
      </c>
      <c r="K87" s="10" t="s">
        <v>754</v>
      </c>
      <c r="L87" s="32" t="s">
        <v>553</v>
      </c>
      <c r="M87" s="31" t="s">
        <v>486</v>
      </c>
      <c r="N87" s="12">
        <v>14750000</v>
      </c>
      <c r="O87" s="33">
        <v>252322</v>
      </c>
      <c r="P87" s="23">
        <v>500000</v>
      </c>
      <c r="Q87" s="23">
        <v>8000000</v>
      </c>
      <c r="R87" s="23">
        <v>8000000</v>
      </c>
      <c r="S87" s="23">
        <f>8000000</f>
        <v>8000000</v>
      </c>
      <c r="T87" s="23">
        <v>5000000</v>
      </c>
      <c r="U87" s="18">
        <f t="shared" si="9"/>
        <v>29500000</v>
      </c>
      <c r="V87" s="18">
        <f t="shared" si="8"/>
        <v>44250000</v>
      </c>
      <c r="W87" s="18">
        <f t="shared" si="10"/>
        <v>43997678</v>
      </c>
      <c r="X87" s="24">
        <v>43462</v>
      </c>
      <c r="Y87" s="25">
        <v>44895</v>
      </c>
      <c r="Z87" s="17"/>
      <c r="AA87" s="17"/>
      <c r="AB87" s="13"/>
      <c r="AC87" s="13"/>
      <c r="AD87" s="13"/>
      <c r="AE87" s="13"/>
      <c r="AF87" s="13"/>
      <c r="AG87" s="13"/>
      <c r="AH87" s="13"/>
      <c r="AI87" s="13"/>
      <c r="AJ87" s="13"/>
      <c r="AK87" s="13"/>
      <c r="AL87" s="14" t="s">
        <v>683</v>
      </c>
      <c r="AM87" s="32" t="s">
        <v>554</v>
      </c>
      <c r="AN87" s="19" t="s">
        <v>555</v>
      </c>
      <c r="AO87" s="19" t="s">
        <v>556</v>
      </c>
      <c r="AP87" s="19" t="s">
        <v>557</v>
      </c>
      <c r="AQ87" s="26" t="s">
        <v>558</v>
      </c>
      <c r="AR87" s="19" t="s">
        <v>18</v>
      </c>
    </row>
    <row r="88" spans="1:44" ht="84.95" customHeight="1" x14ac:dyDescent="0.25">
      <c r="A88" s="21" t="s">
        <v>559</v>
      </c>
      <c r="B88" s="21"/>
      <c r="C88" s="36">
        <v>1</v>
      </c>
      <c r="D88" s="21"/>
      <c r="E88" s="21"/>
      <c r="F88" s="21"/>
      <c r="G88" s="21"/>
      <c r="H88" s="21"/>
      <c r="I88" s="9" t="s">
        <v>779</v>
      </c>
      <c r="J88" s="9" t="s">
        <v>20</v>
      </c>
      <c r="K88" s="10" t="s">
        <v>754</v>
      </c>
      <c r="L88" s="32" t="s">
        <v>560</v>
      </c>
      <c r="M88" s="31" t="s">
        <v>486</v>
      </c>
      <c r="N88" s="12">
        <v>0</v>
      </c>
      <c r="O88" s="16">
        <v>0</v>
      </c>
      <c r="P88" s="23">
        <v>9000000</v>
      </c>
      <c r="Q88" s="23">
        <v>110000000</v>
      </c>
      <c r="R88" s="23">
        <v>110000000</v>
      </c>
      <c r="S88" s="23">
        <v>110000000</v>
      </c>
      <c r="T88" s="23">
        <v>65000000</v>
      </c>
      <c r="U88" s="18">
        <f t="shared" si="9"/>
        <v>404000000</v>
      </c>
      <c r="V88" s="18">
        <f t="shared" si="8"/>
        <v>404000000</v>
      </c>
      <c r="W88" s="18">
        <f t="shared" si="10"/>
        <v>404000000</v>
      </c>
      <c r="X88" s="24">
        <v>43462</v>
      </c>
      <c r="Y88" s="25">
        <v>44895</v>
      </c>
      <c r="Z88" s="17"/>
      <c r="AA88" s="17"/>
      <c r="AB88" s="13"/>
      <c r="AC88" s="13"/>
      <c r="AD88" s="13"/>
      <c r="AE88" s="13"/>
      <c r="AF88" s="13"/>
      <c r="AG88" s="13"/>
      <c r="AH88" s="13"/>
      <c r="AI88" s="13"/>
      <c r="AJ88" s="13"/>
      <c r="AK88" s="13"/>
      <c r="AL88" s="14" t="s">
        <v>683</v>
      </c>
      <c r="AM88" s="32" t="s">
        <v>561</v>
      </c>
      <c r="AN88" s="19" t="s">
        <v>562</v>
      </c>
      <c r="AO88" s="19" t="s">
        <v>563</v>
      </c>
      <c r="AP88" s="19" t="s">
        <v>564</v>
      </c>
      <c r="AQ88" s="26" t="s">
        <v>565</v>
      </c>
      <c r="AR88" s="19" t="s">
        <v>18</v>
      </c>
    </row>
    <row r="89" spans="1:44" ht="84.95" customHeight="1" x14ac:dyDescent="0.25">
      <c r="A89" s="21" t="s">
        <v>566</v>
      </c>
      <c r="B89" s="29"/>
      <c r="C89" s="36">
        <v>1</v>
      </c>
      <c r="D89" s="29"/>
      <c r="E89" s="29"/>
      <c r="F89" s="29"/>
      <c r="G89" s="29"/>
      <c r="H89" s="29"/>
      <c r="I89" s="9" t="s">
        <v>779</v>
      </c>
      <c r="J89" s="9" t="s">
        <v>20</v>
      </c>
      <c r="K89" s="10" t="s">
        <v>754</v>
      </c>
      <c r="L89" s="32" t="s">
        <v>87</v>
      </c>
      <c r="M89" s="31" t="s">
        <v>486</v>
      </c>
      <c r="N89" s="27">
        <f>4000000+70000000</f>
        <v>74000000</v>
      </c>
      <c r="O89" s="16">
        <v>0</v>
      </c>
      <c r="P89" s="23">
        <v>13700000</v>
      </c>
      <c r="Q89" s="23">
        <v>158000000</v>
      </c>
      <c r="R89" s="23">
        <v>158000000</v>
      </c>
      <c r="S89" s="23">
        <v>158000000</v>
      </c>
      <c r="T89" s="23">
        <v>91300000</v>
      </c>
      <c r="U89" s="18">
        <f t="shared" si="9"/>
        <v>579000000</v>
      </c>
      <c r="V89" s="18">
        <f t="shared" si="8"/>
        <v>653000000</v>
      </c>
      <c r="W89" s="18">
        <f t="shared" si="10"/>
        <v>653000000</v>
      </c>
      <c r="X89" s="24">
        <v>43462</v>
      </c>
      <c r="Y89" s="25">
        <v>44895</v>
      </c>
      <c r="Z89" s="17"/>
      <c r="AA89" s="17"/>
      <c r="AB89" s="13"/>
      <c r="AC89" s="13"/>
      <c r="AD89" s="13"/>
      <c r="AE89" s="13"/>
      <c r="AF89" s="13"/>
      <c r="AG89" s="13"/>
      <c r="AH89" s="13"/>
      <c r="AI89" s="13"/>
      <c r="AJ89" s="13"/>
      <c r="AK89" s="13"/>
      <c r="AL89" s="14" t="s">
        <v>683</v>
      </c>
      <c r="AM89" s="32" t="s">
        <v>88</v>
      </c>
      <c r="AN89" s="19" t="s">
        <v>89</v>
      </c>
      <c r="AO89" s="19" t="s">
        <v>90</v>
      </c>
      <c r="AP89" s="19" t="s">
        <v>91</v>
      </c>
      <c r="AQ89" s="26" t="s">
        <v>92</v>
      </c>
      <c r="AR89" s="19" t="s">
        <v>18</v>
      </c>
    </row>
    <row r="90" spans="1:44" ht="84.95" customHeight="1" x14ac:dyDescent="0.25">
      <c r="A90" s="21" t="s">
        <v>567</v>
      </c>
      <c r="B90" s="21"/>
      <c r="C90" s="36">
        <v>1</v>
      </c>
      <c r="D90" s="21"/>
      <c r="E90" s="21"/>
      <c r="F90" s="21"/>
      <c r="G90" s="21"/>
      <c r="H90" s="21"/>
      <c r="I90" s="9" t="s">
        <v>779</v>
      </c>
      <c r="J90" s="9" t="s">
        <v>20</v>
      </c>
      <c r="K90" s="10" t="s">
        <v>754</v>
      </c>
      <c r="L90" s="32" t="s">
        <v>568</v>
      </c>
      <c r="M90" s="31" t="s">
        <v>486</v>
      </c>
      <c r="N90" s="12">
        <v>64000000</v>
      </c>
      <c r="O90" s="33">
        <v>44952971</v>
      </c>
      <c r="P90" s="23">
        <v>17000000</v>
      </c>
      <c r="Q90" s="23">
        <v>200000000</v>
      </c>
      <c r="R90" s="23">
        <f>200000000</f>
        <v>200000000</v>
      </c>
      <c r="S90" s="23">
        <v>200000000</v>
      </c>
      <c r="T90" s="23">
        <v>117000000</v>
      </c>
      <c r="U90" s="18">
        <f t="shared" si="9"/>
        <v>734000000</v>
      </c>
      <c r="V90" s="18">
        <f t="shared" si="8"/>
        <v>798000000</v>
      </c>
      <c r="W90" s="18">
        <f t="shared" si="10"/>
        <v>753047029</v>
      </c>
      <c r="X90" s="24">
        <v>43462</v>
      </c>
      <c r="Y90" s="25">
        <v>44895</v>
      </c>
      <c r="Z90" s="17"/>
      <c r="AA90" s="17"/>
      <c r="AB90" s="13"/>
      <c r="AC90" s="13"/>
      <c r="AD90" s="13"/>
      <c r="AE90" s="13"/>
      <c r="AF90" s="13"/>
      <c r="AG90" s="13"/>
      <c r="AH90" s="13"/>
      <c r="AI90" s="13"/>
      <c r="AJ90" s="13"/>
      <c r="AK90" s="13"/>
      <c r="AL90" s="14" t="s">
        <v>683</v>
      </c>
      <c r="AM90" s="32" t="s">
        <v>569</v>
      </c>
      <c r="AN90" s="19" t="s">
        <v>570</v>
      </c>
      <c r="AO90" s="19" t="s">
        <v>571</v>
      </c>
      <c r="AP90" s="19" t="s">
        <v>572</v>
      </c>
      <c r="AQ90" s="26" t="s">
        <v>573</v>
      </c>
      <c r="AR90" s="19" t="s">
        <v>18</v>
      </c>
    </row>
    <row r="91" spans="1:44" ht="84.95" customHeight="1" x14ac:dyDescent="0.25">
      <c r="A91" s="21" t="s">
        <v>574</v>
      </c>
      <c r="B91" s="21"/>
      <c r="C91" s="36">
        <v>1</v>
      </c>
      <c r="D91" s="21"/>
      <c r="E91" s="21"/>
      <c r="F91" s="21"/>
      <c r="G91" s="21"/>
      <c r="H91" s="21"/>
      <c r="I91" s="9" t="s">
        <v>779</v>
      </c>
      <c r="J91" s="9" t="s">
        <v>20</v>
      </c>
      <c r="K91" s="10" t="s">
        <v>754</v>
      </c>
      <c r="L91" s="32" t="s">
        <v>575</v>
      </c>
      <c r="M91" s="31" t="s">
        <v>486</v>
      </c>
      <c r="N91" s="12">
        <v>0</v>
      </c>
      <c r="O91" s="16">
        <v>0</v>
      </c>
      <c r="P91" s="23">
        <v>24000000</v>
      </c>
      <c r="Q91" s="23">
        <v>275000000</v>
      </c>
      <c r="R91" s="23">
        <v>275000000</v>
      </c>
      <c r="S91" s="23">
        <v>275000000</v>
      </c>
      <c r="T91" s="23">
        <v>173000000</v>
      </c>
      <c r="U91" s="18">
        <f t="shared" si="9"/>
        <v>1022000000</v>
      </c>
      <c r="V91" s="18">
        <f t="shared" si="8"/>
        <v>1022000000</v>
      </c>
      <c r="W91" s="18">
        <f t="shared" si="10"/>
        <v>1022000000</v>
      </c>
      <c r="X91" s="24">
        <v>43462</v>
      </c>
      <c r="Y91" s="25">
        <v>44895</v>
      </c>
      <c r="Z91" s="17"/>
      <c r="AA91" s="17"/>
      <c r="AB91" s="13"/>
      <c r="AC91" s="13"/>
      <c r="AD91" s="13"/>
      <c r="AE91" s="13"/>
      <c r="AF91" s="13"/>
      <c r="AG91" s="13"/>
      <c r="AH91" s="13"/>
      <c r="AI91" s="13"/>
      <c r="AJ91" s="13"/>
      <c r="AK91" s="13"/>
      <c r="AL91" s="14" t="s">
        <v>683</v>
      </c>
      <c r="AM91" s="32" t="s">
        <v>119</v>
      </c>
      <c r="AN91" s="19" t="s">
        <v>576</v>
      </c>
      <c r="AO91" s="19" t="s">
        <v>194</v>
      </c>
      <c r="AP91" s="19" t="s">
        <v>120</v>
      </c>
      <c r="AQ91" s="26" t="s">
        <v>121</v>
      </c>
      <c r="AR91" s="19" t="s">
        <v>18</v>
      </c>
    </row>
    <row r="92" spans="1:44" ht="84.95" customHeight="1" x14ac:dyDescent="0.25">
      <c r="A92" s="21" t="s">
        <v>577</v>
      </c>
      <c r="B92" s="21"/>
      <c r="C92" s="36">
        <v>1</v>
      </c>
      <c r="D92" s="21"/>
      <c r="E92" s="21"/>
      <c r="F92" s="21"/>
      <c r="G92" s="21"/>
      <c r="H92" s="21"/>
      <c r="I92" s="9" t="s">
        <v>779</v>
      </c>
      <c r="J92" s="9" t="s">
        <v>20</v>
      </c>
      <c r="K92" s="10" t="s">
        <v>754</v>
      </c>
      <c r="L92" s="32" t="s">
        <v>190</v>
      </c>
      <c r="M92" s="31" t="s">
        <v>486</v>
      </c>
      <c r="N92" s="27">
        <v>510000000</v>
      </c>
      <c r="O92" s="16">
        <v>0</v>
      </c>
      <c r="P92" s="23">
        <v>50000000</v>
      </c>
      <c r="Q92" s="23">
        <v>600000000</v>
      </c>
      <c r="R92" s="23">
        <f>560000000</f>
        <v>560000000</v>
      </c>
      <c r="S92" s="23">
        <f>600000000</f>
        <v>600000000</v>
      </c>
      <c r="T92" s="23">
        <v>450000000</v>
      </c>
      <c r="U92" s="18">
        <f t="shared" si="9"/>
        <v>2260000000</v>
      </c>
      <c r="V92" s="18">
        <f t="shared" si="8"/>
        <v>2770000000</v>
      </c>
      <c r="W92" s="18">
        <f t="shared" si="10"/>
        <v>2770000000</v>
      </c>
      <c r="X92" s="24">
        <v>43462</v>
      </c>
      <c r="Y92" s="25">
        <v>44880</v>
      </c>
      <c r="Z92" s="17"/>
      <c r="AA92" s="17"/>
      <c r="AB92" s="13"/>
      <c r="AC92" s="13"/>
      <c r="AD92" s="13"/>
      <c r="AE92" s="13"/>
      <c r="AF92" s="13"/>
      <c r="AG92" s="13"/>
      <c r="AH92" s="13"/>
      <c r="AI92" s="13"/>
      <c r="AJ92" s="13"/>
      <c r="AK92" s="13"/>
      <c r="AL92" s="14" t="s">
        <v>683</v>
      </c>
      <c r="AM92" s="32" t="s">
        <v>353</v>
      </c>
      <c r="AN92" s="19" t="s">
        <v>191</v>
      </c>
      <c r="AO92" s="19" t="s">
        <v>354</v>
      </c>
      <c r="AP92" s="19" t="s">
        <v>192</v>
      </c>
      <c r="AQ92" s="26" t="s">
        <v>578</v>
      </c>
      <c r="AR92" s="19" t="s">
        <v>18</v>
      </c>
    </row>
    <row r="93" spans="1:44" ht="126" customHeight="1" x14ac:dyDescent="0.25">
      <c r="A93" s="21" t="s">
        <v>579</v>
      </c>
      <c r="B93" s="21"/>
      <c r="C93" s="36">
        <v>1</v>
      </c>
      <c r="D93" s="21"/>
      <c r="E93" s="21"/>
      <c r="F93" s="21"/>
      <c r="G93" s="21"/>
      <c r="H93" s="21"/>
      <c r="I93" s="9" t="s">
        <v>779</v>
      </c>
      <c r="J93" s="9" t="s">
        <v>20</v>
      </c>
      <c r="K93" s="10" t="s">
        <v>754</v>
      </c>
      <c r="L93" s="32" t="s">
        <v>343</v>
      </c>
      <c r="M93" s="31" t="s">
        <v>486</v>
      </c>
      <c r="N93" s="12">
        <v>0</v>
      </c>
      <c r="O93" s="33">
        <f>200000000+400000000+550000000</f>
        <v>1150000000</v>
      </c>
      <c r="P93" s="23">
        <v>100000000</v>
      </c>
      <c r="Q93" s="23">
        <f>504207496</f>
        <v>504207496</v>
      </c>
      <c r="R93" s="23">
        <f>1200000000</f>
        <v>1200000000</v>
      </c>
      <c r="S93" s="23">
        <f>1200000000</f>
        <v>1200000000</v>
      </c>
      <c r="T93" s="23">
        <v>700000000</v>
      </c>
      <c r="U93" s="18">
        <f t="shared" si="9"/>
        <v>3704207496</v>
      </c>
      <c r="V93" s="18">
        <f t="shared" si="8"/>
        <v>3704207496</v>
      </c>
      <c r="W93" s="18">
        <f t="shared" si="10"/>
        <v>2554207496</v>
      </c>
      <c r="X93" s="24">
        <v>43462</v>
      </c>
      <c r="Y93" s="25">
        <v>44895</v>
      </c>
      <c r="Z93" s="17"/>
      <c r="AA93" s="17"/>
      <c r="AB93" s="13"/>
      <c r="AC93" s="13"/>
      <c r="AD93" s="13"/>
      <c r="AE93" s="13"/>
      <c r="AF93" s="13"/>
      <c r="AG93" s="13"/>
      <c r="AH93" s="13"/>
      <c r="AI93" s="13"/>
      <c r="AJ93" s="13"/>
      <c r="AK93" s="13"/>
      <c r="AL93" s="14" t="s">
        <v>683</v>
      </c>
      <c r="AM93" s="32" t="s">
        <v>195</v>
      </c>
      <c r="AN93" s="19" t="s">
        <v>196</v>
      </c>
      <c r="AO93" s="19" t="s">
        <v>580</v>
      </c>
      <c r="AP93" s="19" t="s">
        <v>197</v>
      </c>
      <c r="AQ93" s="26" t="s">
        <v>198</v>
      </c>
      <c r="AR93" s="19" t="s">
        <v>26</v>
      </c>
    </row>
    <row r="94" spans="1:44" ht="84.95" customHeight="1" x14ac:dyDescent="0.25">
      <c r="A94" s="21" t="s">
        <v>642</v>
      </c>
      <c r="B94" s="29"/>
      <c r="C94" s="36">
        <v>1</v>
      </c>
      <c r="D94" s="29"/>
      <c r="E94" s="29"/>
      <c r="F94" s="29"/>
      <c r="G94" s="29"/>
      <c r="H94" s="29"/>
      <c r="I94" s="9" t="s">
        <v>779</v>
      </c>
      <c r="J94" s="22" t="s">
        <v>20</v>
      </c>
      <c r="K94" s="10" t="s">
        <v>754</v>
      </c>
      <c r="L94" s="32" t="s">
        <v>186</v>
      </c>
      <c r="M94" s="31" t="s">
        <v>486</v>
      </c>
      <c r="N94" s="27">
        <f>5861310+40000000</f>
        <v>45861310</v>
      </c>
      <c r="O94" s="16">
        <v>0</v>
      </c>
      <c r="P94" s="23">
        <v>2000000</v>
      </c>
      <c r="Q94" s="23">
        <v>25000000</v>
      </c>
      <c r="R94" s="23">
        <v>25000000</v>
      </c>
      <c r="S94" s="23">
        <f>30000000</f>
        <v>30000000</v>
      </c>
      <c r="T94" s="23">
        <v>28000000</v>
      </c>
      <c r="U94" s="18">
        <f t="shared" si="9"/>
        <v>110000000</v>
      </c>
      <c r="V94" s="18">
        <f t="shared" si="8"/>
        <v>155861310</v>
      </c>
      <c r="W94" s="18">
        <f t="shared" si="10"/>
        <v>155861310</v>
      </c>
      <c r="X94" s="24">
        <v>43462</v>
      </c>
      <c r="Y94" s="25">
        <v>44895</v>
      </c>
      <c r="Z94" s="17"/>
      <c r="AA94" s="17"/>
      <c r="AB94" s="13"/>
      <c r="AC94" s="13"/>
      <c r="AD94" s="13"/>
      <c r="AE94" s="13"/>
      <c r="AF94" s="13"/>
      <c r="AG94" s="13"/>
      <c r="AH94" s="13"/>
      <c r="AI94" s="13"/>
      <c r="AJ94" s="13"/>
      <c r="AK94" s="13"/>
      <c r="AL94" s="14" t="s">
        <v>683</v>
      </c>
      <c r="AM94" s="32" t="s">
        <v>581</v>
      </c>
      <c r="AN94" s="19" t="s">
        <v>582</v>
      </c>
      <c r="AO94" s="19" t="s">
        <v>583</v>
      </c>
      <c r="AP94" s="19" t="s">
        <v>584</v>
      </c>
      <c r="AQ94" s="26" t="s">
        <v>187</v>
      </c>
      <c r="AR94" s="19" t="s">
        <v>18</v>
      </c>
    </row>
    <row r="95" spans="1:44" ht="110.25" customHeight="1" x14ac:dyDescent="0.25">
      <c r="A95" s="21" t="s">
        <v>586</v>
      </c>
      <c r="B95" s="21"/>
      <c r="C95" s="36">
        <v>1</v>
      </c>
      <c r="D95" s="21"/>
      <c r="E95" s="21"/>
      <c r="F95" s="21"/>
      <c r="G95" s="21"/>
      <c r="H95" s="21"/>
      <c r="I95" s="9" t="s">
        <v>777</v>
      </c>
      <c r="J95" s="9" t="s">
        <v>20</v>
      </c>
      <c r="K95" s="10" t="s">
        <v>755</v>
      </c>
      <c r="L95" s="32" t="s">
        <v>180</v>
      </c>
      <c r="M95" s="31" t="s">
        <v>587</v>
      </c>
      <c r="N95" s="27">
        <f>250000000+300000000+395000000</f>
        <v>945000000</v>
      </c>
      <c r="O95" s="16">
        <v>0</v>
      </c>
      <c r="P95" s="23">
        <v>55000000</v>
      </c>
      <c r="Q95" s="23">
        <v>574500000</v>
      </c>
      <c r="R95" s="23">
        <f>660000000</f>
        <v>660000000</v>
      </c>
      <c r="S95" s="23">
        <f>725000000</f>
        <v>725000000</v>
      </c>
      <c r="T95" s="23">
        <v>375000000</v>
      </c>
      <c r="U95" s="18">
        <f t="shared" ref="U95:U101" si="11">P95+Q95+R95+S95+T95</f>
        <v>2389500000</v>
      </c>
      <c r="V95" s="18">
        <f t="shared" ref="V95:V101" si="12">U95+N95</f>
        <v>3334500000</v>
      </c>
      <c r="W95" s="18">
        <f t="shared" ref="W95:W101" si="13">V95-O95</f>
        <v>3334500000</v>
      </c>
      <c r="X95" s="24">
        <v>43462</v>
      </c>
      <c r="Y95" s="25">
        <v>44895</v>
      </c>
      <c r="Z95" s="17"/>
      <c r="AA95" s="17"/>
      <c r="AB95" s="13"/>
      <c r="AC95" s="13"/>
      <c r="AD95" s="13"/>
      <c r="AE95" s="13"/>
      <c r="AF95" s="13"/>
      <c r="AG95" s="13"/>
      <c r="AH95" s="13"/>
      <c r="AI95" s="13"/>
      <c r="AJ95" s="13"/>
      <c r="AK95" s="13"/>
      <c r="AL95" s="14" t="s">
        <v>684</v>
      </c>
      <c r="AM95" s="32" t="s">
        <v>181</v>
      </c>
      <c r="AN95" s="19" t="s">
        <v>588</v>
      </c>
      <c r="AO95" s="19" t="s">
        <v>182</v>
      </c>
      <c r="AP95" s="19" t="s">
        <v>267</v>
      </c>
      <c r="AQ95" s="26" t="s">
        <v>183</v>
      </c>
      <c r="AR95" s="19" t="s">
        <v>18</v>
      </c>
    </row>
    <row r="96" spans="1:44" ht="84.95" customHeight="1" x14ac:dyDescent="0.25">
      <c r="A96" s="21" t="s">
        <v>616</v>
      </c>
      <c r="B96" s="21"/>
      <c r="C96" s="36">
        <v>1</v>
      </c>
      <c r="D96" s="21"/>
      <c r="E96" s="21"/>
      <c r="F96" s="21"/>
      <c r="G96" s="21"/>
      <c r="H96" s="21"/>
      <c r="I96" s="9" t="s">
        <v>777</v>
      </c>
      <c r="J96" s="9" t="s">
        <v>20</v>
      </c>
      <c r="K96" s="10" t="s">
        <v>755</v>
      </c>
      <c r="L96" s="32" t="s">
        <v>480</v>
      </c>
      <c r="M96" s="31" t="s">
        <v>587</v>
      </c>
      <c r="N96" s="27">
        <v>26500000</v>
      </c>
      <c r="O96" s="16">
        <v>0</v>
      </c>
      <c r="P96" s="23">
        <v>12000000</v>
      </c>
      <c r="Q96" s="23">
        <v>67000000</v>
      </c>
      <c r="R96" s="23">
        <v>69000000</v>
      </c>
      <c r="S96" s="23">
        <v>70000000</v>
      </c>
      <c r="T96" s="23">
        <f>61000000</f>
        <v>61000000</v>
      </c>
      <c r="U96" s="18">
        <f t="shared" si="11"/>
        <v>279000000</v>
      </c>
      <c r="V96" s="18">
        <f t="shared" si="12"/>
        <v>305500000</v>
      </c>
      <c r="W96" s="18">
        <f t="shared" si="13"/>
        <v>305500000</v>
      </c>
      <c r="X96" s="24">
        <v>43462</v>
      </c>
      <c r="Y96" s="25">
        <v>44880</v>
      </c>
      <c r="Z96" s="17"/>
      <c r="AA96" s="17"/>
      <c r="AB96" s="13"/>
      <c r="AC96" s="13"/>
      <c r="AD96" s="13"/>
      <c r="AE96" s="13"/>
      <c r="AF96" s="13"/>
      <c r="AG96" s="13"/>
      <c r="AH96" s="13"/>
      <c r="AI96" s="13"/>
      <c r="AJ96" s="13"/>
      <c r="AK96" s="13"/>
      <c r="AL96" s="14" t="s">
        <v>684</v>
      </c>
      <c r="AM96" s="32" t="s">
        <v>481</v>
      </c>
      <c r="AN96" s="19" t="s">
        <v>622</v>
      </c>
      <c r="AO96" s="19" t="s">
        <v>617</v>
      </c>
      <c r="AP96" s="19" t="s">
        <v>618</v>
      </c>
      <c r="AQ96" s="26" t="s">
        <v>485</v>
      </c>
      <c r="AR96" s="19" t="s">
        <v>18</v>
      </c>
    </row>
    <row r="97" spans="1:44" ht="84.95" customHeight="1" x14ac:dyDescent="0.25">
      <c r="A97" s="21" t="s">
        <v>589</v>
      </c>
      <c r="B97" s="21"/>
      <c r="C97" s="36">
        <v>1</v>
      </c>
      <c r="D97" s="21"/>
      <c r="E97" s="21"/>
      <c r="F97" s="21"/>
      <c r="G97" s="21"/>
      <c r="H97" s="21"/>
      <c r="I97" s="9" t="s">
        <v>777</v>
      </c>
      <c r="J97" s="9" t="s">
        <v>20</v>
      </c>
      <c r="K97" s="10" t="s">
        <v>755</v>
      </c>
      <c r="L97" s="32" t="s">
        <v>132</v>
      </c>
      <c r="M97" s="31" t="s">
        <v>587</v>
      </c>
      <c r="N97" s="12">
        <v>320000000</v>
      </c>
      <c r="O97" s="33">
        <f>400000000+385000000</f>
        <v>785000000</v>
      </c>
      <c r="P97" s="23">
        <v>102700000</v>
      </c>
      <c r="Q97" s="23">
        <v>995500000</v>
      </c>
      <c r="R97" s="23">
        <f>1150000000</f>
        <v>1150000000</v>
      </c>
      <c r="S97" s="23">
        <f>1180000000</f>
        <v>1180000000</v>
      </c>
      <c r="T97" s="23">
        <v>608000000</v>
      </c>
      <c r="U97" s="18">
        <f t="shared" si="11"/>
        <v>4036200000</v>
      </c>
      <c r="V97" s="18">
        <f t="shared" si="12"/>
        <v>4356200000</v>
      </c>
      <c r="W97" s="18">
        <f t="shared" si="13"/>
        <v>3571200000</v>
      </c>
      <c r="X97" s="24">
        <v>43462</v>
      </c>
      <c r="Y97" s="25">
        <v>44895</v>
      </c>
      <c r="Z97" s="17"/>
      <c r="AA97" s="17"/>
      <c r="AB97" s="13"/>
      <c r="AC97" s="13"/>
      <c r="AD97" s="13"/>
      <c r="AE97" s="13"/>
      <c r="AF97" s="13"/>
      <c r="AG97" s="13"/>
      <c r="AH97" s="13"/>
      <c r="AI97" s="13"/>
      <c r="AJ97" s="13"/>
      <c r="AK97" s="13"/>
      <c r="AL97" s="14" t="s">
        <v>684</v>
      </c>
      <c r="AM97" s="32" t="s">
        <v>150</v>
      </c>
      <c r="AN97" s="19" t="s">
        <v>133</v>
      </c>
      <c r="AO97" s="19" t="s">
        <v>93</v>
      </c>
      <c r="AP97" s="19" t="s">
        <v>134</v>
      </c>
      <c r="AQ97" s="26" t="s">
        <v>135</v>
      </c>
      <c r="AR97" s="19" t="s">
        <v>18</v>
      </c>
    </row>
    <row r="98" spans="1:44" ht="84.95" customHeight="1" x14ac:dyDescent="0.25">
      <c r="A98" s="21" t="s">
        <v>590</v>
      </c>
      <c r="B98" s="29"/>
      <c r="C98" s="36">
        <v>1</v>
      </c>
      <c r="D98" s="29"/>
      <c r="E98" s="29"/>
      <c r="F98" s="29"/>
      <c r="G98" s="29"/>
      <c r="H98" s="29"/>
      <c r="I98" s="9" t="s">
        <v>777</v>
      </c>
      <c r="J98" s="9" t="s">
        <v>20</v>
      </c>
      <c r="K98" s="10" t="s">
        <v>755</v>
      </c>
      <c r="L98" s="32" t="s">
        <v>168</v>
      </c>
      <c r="M98" s="31" t="s">
        <v>587</v>
      </c>
      <c r="N98" s="12">
        <v>0</v>
      </c>
      <c r="O98" s="33">
        <v>260000000</v>
      </c>
      <c r="P98" s="23">
        <v>24000000</v>
      </c>
      <c r="Q98" s="23">
        <v>240000000</v>
      </c>
      <c r="R98" s="23">
        <v>260000000</v>
      </c>
      <c r="S98" s="23">
        <f>260000000</f>
        <v>260000000</v>
      </c>
      <c r="T98" s="23">
        <v>120000000</v>
      </c>
      <c r="U98" s="18">
        <f t="shared" si="11"/>
        <v>904000000</v>
      </c>
      <c r="V98" s="18">
        <f t="shared" si="12"/>
        <v>904000000</v>
      </c>
      <c r="W98" s="18">
        <f t="shared" si="13"/>
        <v>644000000</v>
      </c>
      <c r="X98" s="24">
        <v>43463</v>
      </c>
      <c r="Y98" s="25">
        <v>44880</v>
      </c>
      <c r="Z98" s="17"/>
      <c r="AA98" s="17"/>
      <c r="AB98" s="13"/>
      <c r="AC98" s="13"/>
      <c r="AD98" s="13"/>
      <c r="AE98" s="13"/>
      <c r="AF98" s="13"/>
      <c r="AG98" s="13"/>
      <c r="AH98" s="13"/>
      <c r="AI98" s="13"/>
      <c r="AJ98" s="13"/>
      <c r="AK98" s="13"/>
      <c r="AL98" s="14" t="s">
        <v>684</v>
      </c>
      <c r="AM98" s="32" t="s">
        <v>169</v>
      </c>
      <c r="AN98" s="19" t="s">
        <v>170</v>
      </c>
      <c r="AO98" s="19" t="s">
        <v>171</v>
      </c>
      <c r="AP98" s="19" t="s">
        <v>591</v>
      </c>
      <c r="AQ98" s="26" t="s">
        <v>173</v>
      </c>
      <c r="AR98" s="19" t="s">
        <v>18</v>
      </c>
    </row>
    <row r="99" spans="1:44" ht="201.75" customHeight="1" x14ac:dyDescent="0.25">
      <c r="A99" s="21" t="s">
        <v>592</v>
      </c>
      <c r="B99" s="21"/>
      <c r="C99" s="36">
        <v>1</v>
      </c>
      <c r="D99" s="21"/>
      <c r="E99" s="21"/>
      <c r="F99" s="21"/>
      <c r="G99" s="21"/>
      <c r="H99" s="21"/>
      <c r="I99" s="9" t="s">
        <v>778</v>
      </c>
      <c r="J99" s="9" t="s">
        <v>20</v>
      </c>
      <c r="K99" s="10" t="s">
        <v>756</v>
      </c>
      <c r="L99" s="32" t="s">
        <v>593</v>
      </c>
      <c r="M99" s="31" t="s">
        <v>594</v>
      </c>
      <c r="N99" s="27">
        <f>12027902547.3+2144844301</f>
        <v>14172746848.299999</v>
      </c>
      <c r="O99" s="16">
        <v>0</v>
      </c>
      <c r="P99" s="23">
        <v>20000000</v>
      </c>
      <c r="Q99" s="23">
        <v>9355031642</v>
      </c>
      <c r="R99" s="23">
        <v>6916482590</v>
      </c>
      <c r="S99" s="23">
        <f>7123977068</f>
        <v>7123977068</v>
      </c>
      <c r="T99" s="23">
        <v>4280322888</v>
      </c>
      <c r="U99" s="18">
        <f t="shared" si="11"/>
        <v>27695814188</v>
      </c>
      <c r="V99" s="18">
        <f t="shared" si="12"/>
        <v>41868561036.300003</v>
      </c>
      <c r="W99" s="18">
        <f t="shared" si="13"/>
        <v>41868561036.300003</v>
      </c>
      <c r="X99" s="24">
        <v>43465</v>
      </c>
      <c r="Y99" s="25">
        <v>44880</v>
      </c>
      <c r="Z99" s="17"/>
      <c r="AA99" s="17"/>
      <c r="AB99" s="13"/>
      <c r="AC99" s="13"/>
      <c r="AD99" s="13"/>
      <c r="AE99" s="13"/>
      <c r="AF99" s="13"/>
      <c r="AG99" s="13"/>
      <c r="AH99" s="13"/>
      <c r="AI99" s="13"/>
      <c r="AJ99" s="13"/>
      <c r="AK99" s="13"/>
      <c r="AL99" s="14" t="s">
        <v>670</v>
      </c>
      <c r="AM99" s="32" t="s">
        <v>595</v>
      </c>
      <c r="AN99" s="19" t="s">
        <v>596</v>
      </c>
      <c r="AO99" s="19" t="s">
        <v>597</v>
      </c>
      <c r="AP99" s="19" t="s">
        <v>598</v>
      </c>
      <c r="AQ99" s="26" t="s">
        <v>599</v>
      </c>
      <c r="AR99" s="19" t="s">
        <v>18</v>
      </c>
    </row>
    <row r="100" spans="1:44" ht="84.95" customHeight="1" x14ac:dyDescent="0.25">
      <c r="A100" s="21" t="s">
        <v>600</v>
      </c>
      <c r="B100" s="21"/>
      <c r="C100" s="36">
        <v>1</v>
      </c>
      <c r="D100" s="21"/>
      <c r="E100" s="21"/>
      <c r="F100" s="21"/>
      <c r="G100" s="21"/>
      <c r="H100" s="21"/>
      <c r="I100" s="9" t="s">
        <v>778</v>
      </c>
      <c r="J100" s="9" t="s">
        <v>20</v>
      </c>
      <c r="K100" s="10" t="s">
        <v>756</v>
      </c>
      <c r="L100" s="32" t="s">
        <v>601</v>
      </c>
      <c r="M100" s="31" t="s">
        <v>594</v>
      </c>
      <c r="N100" s="27">
        <v>210000000</v>
      </c>
      <c r="O100" s="33">
        <v>265348566</v>
      </c>
      <c r="P100" s="23">
        <v>5000000</v>
      </c>
      <c r="Q100" s="23">
        <v>353422718</v>
      </c>
      <c r="R100" s="23">
        <f>364025400</f>
        <v>364025400</v>
      </c>
      <c r="S100" s="23">
        <f>374946162</f>
        <v>374946162</v>
      </c>
      <c r="T100" s="23">
        <v>225280152</v>
      </c>
      <c r="U100" s="18">
        <f t="shared" si="11"/>
        <v>1322674432</v>
      </c>
      <c r="V100" s="18">
        <f t="shared" si="12"/>
        <v>1532674432</v>
      </c>
      <c r="W100" s="18">
        <f t="shared" si="13"/>
        <v>1267325866</v>
      </c>
      <c r="X100" s="24">
        <v>43465</v>
      </c>
      <c r="Y100" s="25">
        <v>44880</v>
      </c>
      <c r="Z100" s="17"/>
      <c r="AA100" s="17"/>
      <c r="AB100" s="13"/>
      <c r="AC100" s="13"/>
      <c r="AD100" s="13"/>
      <c r="AE100" s="13"/>
      <c r="AF100" s="13"/>
      <c r="AG100" s="13"/>
      <c r="AH100" s="13"/>
      <c r="AI100" s="13"/>
      <c r="AJ100" s="13"/>
      <c r="AK100" s="13"/>
      <c r="AL100" s="14" t="s">
        <v>670</v>
      </c>
      <c r="AM100" s="32" t="s">
        <v>602</v>
      </c>
      <c r="AN100" s="19" t="s">
        <v>603</v>
      </c>
      <c r="AO100" s="19" t="s">
        <v>604</v>
      </c>
      <c r="AP100" s="19" t="s">
        <v>605</v>
      </c>
      <c r="AQ100" s="26" t="s">
        <v>606</v>
      </c>
      <c r="AR100" s="19" t="s">
        <v>18</v>
      </c>
    </row>
    <row r="101" spans="1:44" ht="84.95" customHeight="1" x14ac:dyDescent="0.25">
      <c r="A101" s="21" t="s">
        <v>607</v>
      </c>
      <c r="B101" s="21"/>
      <c r="C101" s="36">
        <v>1</v>
      </c>
      <c r="D101" s="21"/>
      <c r="E101" s="21"/>
      <c r="F101" s="21"/>
      <c r="G101" s="21"/>
      <c r="H101" s="21"/>
      <c r="I101" s="9" t="s">
        <v>780</v>
      </c>
      <c r="J101" s="32" t="s">
        <v>83</v>
      </c>
      <c r="K101" s="10" t="s">
        <v>757</v>
      </c>
      <c r="L101" s="32" t="s">
        <v>608</v>
      </c>
      <c r="M101" s="31" t="s">
        <v>609</v>
      </c>
      <c r="N101" s="12">
        <v>0</v>
      </c>
      <c r="O101" s="16">
        <v>0</v>
      </c>
      <c r="P101" s="23">
        <v>34000000</v>
      </c>
      <c r="Q101" s="23">
        <v>734112000</v>
      </c>
      <c r="R101" s="23">
        <v>756135360</v>
      </c>
      <c r="S101" s="23">
        <v>778819420</v>
      </c>
      <c r="T101" s="23">
        <v>467940669</v>
      </c>
      <c r="U101" s="18">
        <f t="shared" si="11"/>
        <v>2771007449</v>
      </c>
      <c r="V101" s="18">
        <f t="shared" si="12"/>
        <v>2771007449</v>
      </c>
      <c r="W101" s="18">
        <f t="shared" si="13"/>
        <v>2771007449</v>
      </c>
      <c r="X101" s="24">
        <v>43463</v>
      </c>
      <c r="Y101" s="25">
        <v>44910</v>
      </c>
      <c r="Z101" s="13"/>
      <c r="AA101" s="13"/>
      <c r="AB101" s="13"/>
      <c r="AC101" s="13"/>
      <c r="AD101" s="13"/>
      <c r="AE101" s="13"/>
      <c r="AF101" s="13"/>
      <c r="AG101" s="13"/>
      <c r="AH101" s="13"/>
      <c r="AI101" s="13"/>
      <c r="AJ101" s="13"/>
      <c r="AK101" s="13"/>
      <c r="AL101" s="14" t="s">
        <v>696</v>
      </c>
      <c r="AM101" s="32" t="s">
        <v>610</v>
      </c>
      <c r="AN101" s="19" t="s">
        <v>611</v>
      </c>
      <c r="AO101" s="19" t="s">
        <v>612</v>
      </c>
      <c r="AP101" s="19" t="s">
        <v>613</v>
      </c>
      <c r="AQ101" s="26" t="s">
        <v>614</v>
      </c>
      <c r="AR101" s="19" t="s">
        <v>18</v>
      </c>
    </row>
    <row r="102" spans="1:44" x14ac:dyDescent="0.25">
      <c r="AH102" s="13"/>
    </row>
  </sheetData>
  <autoFilter ref="A1:AR101"/>
  <hyperlinks>
    <hyperlink ref="AQ2" r:id="rId1"/>
    <hyperlink ref="AQ7" r:id="rId2"/>
    <hyperlink ref="AQ9" r:id="rId3"/>
    <hyperlink ref="AQ13" r:id="rId4"/>
    <hyperlink ref="AQ11" r:id="rId5"/>
    <hyperlink ref="AQ10" r:id="rId6"/>
    <hyperlink ref="AQ6" r:id="rId7"/>
    <hyperlink ref="AQ52" r:id="rId8"/>
    <hyperlink ref="AQ51" r:id="rId9"/>
    <hyperlink ref="AQ24" r:id="rId10"/>
    <hyperlink ref="AQ28" r:id="rId11"/>
    <hyperlink ref="AQ29" r:id="rId12"/>
    <hyperlink ref="AQ36" r:id="rId13"/>
    <hyperlink ref="AQ37" r:id="rId14"/>
    <hyperlink ref="AQ38" r:id="rId15"/>
    <hyperlink ref="AQ4" r:id="rId16"/>
    <hyperlink ref="AQ43" r:id="rId17"/>
    <hyperlink ref="AQ22" r:id="rId18"/>
    <hyperlink ref="AQ8" r:id="rId19"/>
    <hyperlink ref="AQ27" r:id="rId20"/>
    <hyperlink ref="AQ55" r:id="rId21"/>
    <hyperlink ref="AQ54" r:id="rId22"/>
    <hyperlink ref="AQ44" r:id="rId23"/>
    <hyperlink ref="AQ12" r:id="rId24"/>
    <hyperlink ref="AQ16" r:id="rId25"/>
    <hyperlink ref="AQ17" r:id="rId26"/>
    <hyperlink ref="AQ18" r:id="rId27"/>
    <hyperlink ref="AQ20" r:id="rId28"/>
    <hyperlink ref="AQ21" r:id="rId29"/>
    <hyperlink ref="AQ42" r:id="rId30"/>
    <hyperlink ref="AQ45" r:id="rId31"/>
    <hyperlink ref="AQ47" r:id="rId32"/>
    <hyperlink ref="AQ48" r:id="rId33"/>
    <hyperlink ref="AQ50" r:id="rId34"/>
    <hyperlink ref="AQ53" r:id="rId35"/>
    <hyperlink ref="AQ56" r:id="rId36"/>
    <hyperlink ref="AQ57" r:id="rId37"/>
    <hyperlink ref="AQ63" r:id="rId38"/>
    <hyperlink ref="AQ64" r:id="rId39"/>
    <hyperlink ref="AQ65" r:id="rId40"/>
    <hyperlink ref="AQ66" r:id="rId41"/>
    <hyperlink ref="AQ67" r:id="rId42"/>
    <hyperlink ref="AQ68" r:id="rId43"/>
    <hyperlink ref="AQ69" r:id="rId44"/>
    <hyperlink ref="AQ70" r:id="rId45"/>
    <hyperlink ref="AQ71" r:id="rId46"/>
    <hyperlink ref="AQ72" r:id="rId47"/>
    <hyperlink ref="AQ73" r:id="rId48"/>
    <hyperlink ref="AQ74" r:id="rId49"/>
    <hyperlink ref="AQ75" r:id="rId50"/>
    <hyperlink ref="AQ76" r:id="rId51"/>
    <hyperlink ref="AQ77" r:id="rId52"/>
    <hyperlink ref="AQ78" r:id="rId53"/>
    <hyperlink ref="AQ79" r:id="rId54"/>
    <hyperlink ref="AQ80" r:id="rId55"/>
    <hyperlink ref="AQ81" r:id="rId56"/>
    <hyperlink ref="AQ82" r:id="rId57"/>
    <hyperlink ref="AQ83" r:id="rId58"/>
    <hyperlink ref="AQ84" r:id="rId59"/>
    <hyperlink ref="AQ85" r:id="rId60"/>
    <hyperlink ref="AQ86" r:id="rId61"/>
    <hyperlink ref="AQ87" r:id="rId62"/>
    <hyperlink ref="AQ88" r:id="rId63"/>
    <hyperlink ref="AQ89" r:id="rId64"/>
    <hyperlink ref="AQ90" r:id="rId65"/>
    <hyperlink ref="AQ91" r:id="rId66"/>
    <hyperlink ref="AQ92" r:id="rId67"/>
    <hyperlink ref="AQ93" r:id="rId68"/>
    <hyperlink ref="AQ94" r:id="rId69"/>
    <hyperlink ref="AQ95" r:id="rId70"/>
    <hyperlink ref="AQ97" r:id="rId71"/>
    <hyperlink ref="AQ98" r:id="rId72"/>
    <hyperlink ref="AQ99" r:id="rId73"/>
    <hyperlink ref="AQ100" r:id="rId74"/>
    <hyperlink ref="AQ101" r:id="rId75"/>
    <hyperlink ref="AQ46" r:id="rId76"/>
    <hyperlink ref="AQ96" r:id="rId77"/>
    <hyperlink ref="AQ61" r:id="rId78"/>
    <hyperlink ref="AQ59" r:id="rId79"/>
    <hyperlink ref="AQ58" r:id="rId80"/>
    <hyperlink ref="AQ60" r:id="rId81"/>
    <hyperlink ref="AQ15" r:id="rId82"/>
    <hyperlink ref="AQ14" r:id="rId83"/>
    <hyperlink ref="AQ26" r:id="rId84"/>
    <hyperlink ref="AQ23" r:id="rId85"/>
    <hyperlink ref="AQ3" r:id="rId86"/>
    <hyperlink ref="AQ5" r:id="rId87"/>
    <hyperlink ref="AQ19" r:id="rId88"/>
    <hyperlink ref="AQ30" r:id="rId89"/>
    <hyperlink ref="AQ31" r:id="rId90"/>
    <hyperlink ref="AQ32" r:id="rId91"/>
    <hyperlink ref="AQ33" r:id="rId92"/>
    <hyperlink ref="AQ34" r:id="rId93"/>
    <hyperlink ref="AQ35" r:id="rId94"/>
    <hyperlink ref="AQ39" r:id="rId95"/>
    <hyperlink ref="AQ40" r:id="rId96"/>
    <hyperlink ref="AQ41" r:id="rId97"/>
    <hyperlink ref="AQ49" r:id="rId98"/>
    <hyperlink ref="AQ62" r:id="rId99"/>
  </hyperlinks>
  <pageMargins left="0.70866141732283472" right="0.70866141732283472" top="0.74803149606299213" bottom="0.74803149606299213" header="0.31496062992125984" footer="0.31496062992125984"/>
  <pageSetup scale="50" orientation="landscape" verticalDpi="1200" r:id="rId100"/>
  <legacyDrawing r:id="rId10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alejandra sanchez</cp:lastModifiedBy>
  <cp:lastPrinted>2019-06-20T18:34:06Z</cp:lastPrinted>
  <dcterms:created xsi:type="dcterms:W3CDTF">2019-01-18T16:11:10Z</dcterms:created>
  <dcterms:modified xsi:type="dcterms:W3CDTF">2022-09-05T21:34:56Z</dcterms:modified>
</cp:coreProperties>
</file>