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INFORMACION DIANA\INFORMES PERIODICOS\COMUNICACIONES\INFORME 30-03-2022\"/>
    </mc:Choice>
  </mc:AlternateContent>
  <bookViews>
    <workbookView xWindow="0" yWindow="0" windowWidth="24000" windowHeight="9675"/>
  </bookViews>
  <sheets>
    <sheet name="Hoja1" sheetId="1" r:id="rId1"/>
  </sheets>
  <definedNames>
    <definedName name="_xlnm._FilterDatabase" localSheetId="0" hidden="1">Hoja1!$A$2:$Y$119</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50" i="1" l="1"/>
  <c r="M63" i="1" l="1"/>
  <c r="G63" i="1"/>
  <c r="H63" i="1"/>
  <c r="M4" i="1" l="1"/>
  <c r="G4" i="1"/>
  <c r="M110" i="1"/>
  <c r="M118" i="1" l="1"/>
  <c r="M64" i="1" l="1"/>
  <c r="M65" i="1"/>
  <c r="G65" i="1"/>
  <c r="M3" i="1"/>
  <c r="M29" i="1" l="1"/>
  <c r="G29" i="1"/>
  <c r="M87" i="1"/>
  <c r="M24" i="1"/>
  <c r="H24" i="1"/>
  <c r="M13" i="1"/>
  <c r="G13" i="1"/>
  <c r="M57" i="1"/>
  <c r="H57" i="1"/>
  <c r="M103" i="1" l="1"/>
  <c r="M116" i="1"/>
  <c r="M52" i="1"/>
  <c r="M9" i="1"/>
  <c r="M82" i="1"/>
  <c r="G82" i="1"/>
  <c r="M44" i="1" l="1"/>
  <c r="M32" i="1"/>
  <c r="H32" i="1"/>
  <c r="M56" i="1" l="1"/>
  <c r="H56" i="1"/>
  <c r="M109" i="1"/>
  <c r="H109" i="1"/>
  <c r="H102" i="1" l="1"/>
  <c r="M102" i="1"/>
  <c r="M88" i="1"/>
  <c r="G88" i="1"/>
  <c r="H43" i="1"/>
  <c r="M43" i="1"/>
  <c r="M68" i="1" l="1"/>
  <c r="G68" i="1"/>
  <c r="M45" i="1" l="1"/>
  <c r="M51" i="1" l="1"/>
  <c r="G51" i="1"/>
  <c r="M111" i="1"/>
  <c r="G111" i="1"/>
  <c r="M71" i="1"/>
  <c r="H71" i="1"/>
  <c r="M113" i="1" l="1"/>
  <c r="H113" i="1"/>
  <c r="G117" i="1"/>
  <c r="M117" i="1"/>
  <c r="M93" i="1" l="1"/>
  <c r="H93" i="1"/>
  <c r="M46" i="1" l="1"/>
  <c r="J15" i="1" l="1"/>
  <c r="H15" i="1"/>
  <c r="L15" i="1"/>
  <c r="K15" i="1"/>
  <c r="L17" i="1"/>
  <c r="M17" i="1"/>
  <c r="K17" i="1"/>
  <c r="H17" i="1"/>
  <c r="K24" i="1"/>
  <c r="J53" i="1"/>
  <c r="K53" i="1"/>
  <c r="L53" i="1"/>
  <c r="H53" i="1"/>
  <c r="L16" i="1" l="1"/>
  <c r="G16" i="1" l="1"/>
  <c r="L13" i="1"/>
  <c r="K13" i="1"/>
  <c r="K7" i="1" l="1"/>
  <c r="L14" i="1"/>
  <c r="M14" i="1"/>
  <c r="M21" i="1" l="1"/>
  <c r="L28" i="1"/>
  <c r="L58" i="1"/>
  <c r="M59" i="1" l="1"/>
  <c r="L59" i="1"/>
  <c r="K59" i="1"/>
  <c r="M115" i="1" l="1"/>
  <c r="G115" i="1"/>
  <c r="M79" i="1" l="1"/>
  <c r="G79" i="1"/>
  <c r="G59" i="1" l="1"/>
  <c r="M18" i="1" l="1"/>
  <c r="G18" i="1"/>
  <c r="M41" i="1" l="1"/>
  <c r="G41" i="1"/>
  <c r="M69" i="1" l="1"/>
  <c r="H69" i="1"/>
  <c r="M108" i="1" l="1"/>
  <c r="G108" i="1"/>
  <c r="M15" i="1" l="1"/>
  <c r="L67" i="1" l="1"/>
  <c r="H67" i="1"/>
  <c r="G118" i="1" l="1"/>
  <c r="M81" i="1"/>
  <c r="G81" i="1"/>
  <c r="M16" i="1"/>
  <c r="O3" i="1" l="1"/>
  <c r="O4" i="1"/>
  <c r="O5" i="1"/>
  <c r="O7" i="1"/>
  <c r="O9" i="1"/>
  <c r="O10" i="1"/>
  <c r="O11" i="1"/>
  <c r="O12" i="1"/>
  <c r="O13" i="1"/>
  <c r="O19" i="1"/>
  <c r="O20" i="1"/>
  <c r="O21" i="1"/>
  <c r="O22" i="1"/>
  <c r="O25" i="1"/>
  <c r="O27" i="1"/>
  <c r="O30" i="1"/>
  <c r="O31" i="1"/>
  <c r="O35" i="1"/>
  <c r="O36" i="1"/>
  <c r="O38" i="1"/>
  <c r="O39" i="1"/>
  <c r="O44" i="1"/>
  <c r="O45" i="1"/>
  <c r="O46" i="1"/>
  <c r="O47" i="1"/>
  <c r="O49" i="1"/>
  <c r="O50" i="1"/>
  <c r="O51" i="1"/>
  <c r="O52" i="1"/>
  <c r="O55" i="1"/>
  <c r="O60" i="1"/>
  <c r="O62" i="1"/>
  <c r="O70" i="1"/>
  <c r="O74" i="1"/>
  <c r="O75" i="1"/>
  <c r="O77" i="1"/>
  <c r="O78" i="1"/>
  <c r="O80" i="1"/>
  <c r="O82" i="1"/>
  <c r="O83" i="1"/>
  <c r="O85" i="1"/>
  <c r="O86" i="1"/>
  <c r="O94" i="1"/>
  <c r="O97" i="1"/>
  <c r="O101" i="1"/>
  <c r="O103" i="1"/>
  <c r="O104" i="1"/>
  <c r="O105" i="1"/>
  <c r="O107" i="1"/>
  <c r="O110" i="1"/>
  <c r="O112" i="1"/>
  <c r="O116" i="1"/>
  <c r="O117" i="1"/>
  <c r="O119" i="1"/>
  <c r="L34" i="1" l="1"/>
  <c r="O34" i="1" s="1"/>
  <c r="O56" i="1" l="1"/>
  <c r="L65" i="1" l="1"/>
  <c r="O65" i="1" s="1"/>
  <c r="L41" i="1" l="1"/>
  <c r="O41" i="1" s="1"/>
  <c r="L40" i="1" l="1"/>
  <c r="O40" i="1" s="1"/>
  <c r="L84" i="1" l="1"/>
  <c r="O84" i="1" s="1"/>
  <c r="H84" i="1"/>
  <c r="L23" i="1" l="1"/>
  <c r="O23" i="1" s="1"/>
  <c r="L29" i="1" l="1"/>
  <c r="O29" i="1" s="1"/>
  <c r="L18" i="1" l="1"/>
  <c r="O18" i="1" s="1"/>
  <c r="L102" i="1" l="1"/>
  <c r="O102" i="1" s="1"/>
  <c r="O15" i="1"/>
  <c r="L106" i="1"/>
  <c r="O106" i="1" s="1"/>
  <c r="L87" i="1"/>
  <c r="O87" i="1" s="1"/>
  <c r="L95" i="1" l="1"/>
  <c r="O95" i="1" s="1"/>
  <c r="H95" i="1"/>
  <c r="L8" i="1"/>
  <c r="O8" i="1" s="1"/>
  <c r="L48" i="1" l="1"/>
  <c r="O48" i="1" s="1"/>
  <c r="G48" i="1"/>
  <c r="L26" i="1" l="1"/>
  <c r="O26" i="1" s="1"/>
  <c r="H26" i="1"/>
  <c r="L91" i="1"/>
  <c r="O91" i="1" s="1"/>
  <c r="H91" i="1"/>
  <c r="L64" i="1" l="1"/>
  <c r="O64" i="1" s="1"/>
  <c r="H64" i="1"/>
  <c r="L57" i="1"/>
  <c r="O57" i="1" s="1"/>
  <c r="L32" i="1" l="1"/>
  <c r="O32" i="1" s="1"/>
  <c r="L43" i="1"/>
  <c r="O43" i="1" s="1"/>
  <c r="L33" i="1"/>
  <c r="O33" i="1" s="1"/>
  <c r="L42" i="1" l="1"/>
  <c r="O42" i="1" s="1"/>
  <c r="L66" i="1" l="1"/>
  <c r="O66" i="1" s="1"/>
  <c r="H66" i="1"/>
  <c r="L6" i="1" l="1"/>
  <c r="O6" i="1" s="1"/>
  <c r="O17" i="1" l="1"/>
  <c r="L99" i="1" l="1"/>
  <c r="O99" i="1" s="1"/>
  <c r="H99" i="1"/>
  <c r="L118" i="1"/>
  <c r="O118" i="1" s="1"/>
  <c r="L37" i="1" l="1"/>
  <c r="O37" i="1" s="1"/>
  <c r="L114" i="1"/>
  <c r="O114" i="1" s="1"/>
  <c r="L89" i="1"/>
  <c r="O89" i="1" s="1"/>
  <c r="L90" i="1"/>
  <c r="O90" i="1" s="1"/>
  <c r="L111" i="1" l="1"/>
  <c r="O111" i="1" s="1"/>
  <c r="L96" i="1" l="1"/>
  <c r="O96" i="1" s="1"/>
  <c r="L108" i="1" l="1"/>
  <c r="O108" i="1" s="1"/>
  <c r="L68" i="1" l="1"/>
  <c r="O68" i="1" s="1"/>
  <c r="L76" i="1"/>
  <c r="O76" i="1" s="1"/>
  <c r="O58" i="1" l="1"/>
  <c r="O67" i="1" l="1"/>
  <c r="H98" i="1" l="1"/>
  <c r="H61" i="1"/>
  <c r="L61" i="1"/>
  <c r="O61" i="1" s="1"/>
  <c r="H54" i="1"/>
  <c r="O14" i="1" l="1"/>
  <c r="L63" i="1"/>
  <c r="O63" i="1" s="1"/>
  <c r="O28" i="1" l="1"/>
  <c r="L113" i="1" l="1"/>
  <c r="O113" i="1" s="1"/>
  <c r="L54" i="1" l="1"/>
  <c r="O54" i="1" s="1"/>
  <c r="L79" i="1"/>
  <c r="O79" i="1" s="1"/>
  <c r="L71" i="1" l="1"/>
  <c r="O71" i="1" s="1"/>
  <c r="L73" i="1"/>
  <c r="O73" i="1" s="1"/>
  <c r="L72" i="1" l="1"/>
  <c r="O72" i="1" s="1"/>
  <c r="L88" i="1" l="1"/>
  <c r="O88" i="1" s="1"/>
  <c r="L100" i="1"/>
  <c r="O100" i="1" s="1"/>
  <c r="O53" i="1" l="1"/>
  <c r="L24" i="1"/>
  <c r="O24" i="1" s="1"/>
  <c r="L93" i="1" l="1"/>
  <c r="O93" i="1" s="1"/>
  <c r="L81" i="1" l="1"/>
  <c r="O81" i="1" s="1"/>
  <c r="L109" i="1" l="1"/>
  <c r="L98" i="1"/>
  <c r="O98" i="1" s="1"/>
  <c r="L69" i="1"/>
  <c r="O69" i="1" s="1"/>
  <c r="K109" i="1"/>
  <c r="O109" i="1" l="1"/>
  <c r="O59" i="1"/>
  <c r="L92" i="1" l="1"/>
  <c r="O92" i="1" s="1"/>
  <c r="L115" i="1" l="1"/>
  <c r="O115" i="1" s="1"/>
  <c r="K16" i="1" l="1"/>
  <c r="O16" i="1" s="1"/>
</calcChain>
</file>

<file path=xl/comments1.xml><?xml version="1.0" encoding="utf-8"?>
<comments xmlns="http://schemas.openxmlformats.org/spreadsheetml/2006/main">
  <authors>
    <author>Diana Pardo</author>
  </authors>
  <commentList>
    <comment ref="R29" authorId="0" shapeId="0">
      <text>
        <r>
          <rPr>
            <b/>
            <sz val="9"/>
            <color indexed="81"/>
            <rFont val="Tahoma"/>
            <family val="2"/>
          </rPr>
          <t>Diana Pardo:Verificar, el Dr. Luque ya no está</t>
        </r>
      </text>
    </comment>
  </commentList>
</comments>
</file>

<file path=xl/sharedStrings.xml><?xml version="1.0" encoding="utf-8"?>
<sst xmlns="http://schemas.openxmlformats.org/spreadsheetml/2006/main" count="1549" uniqueCount="852">
  <si>
    <t>CONTRATISTA</t>
  </si>
  <si>
    <t>OBJETO</t>
  </si>
  <si>
    <t>VALOR  TOTAL DEL CONTRATO</t>
  </si>
  <si>
    <t>PLAZO DE EJECUCION</t>
  </si>
  <si>
    <t>SUPERVISOR</t>
  </si>
  <si>
    <t xml:space="preserve">SUBDIRECCION </t>
  </si>
  <si>
    <t>MODALIDAD CONTRATACIÓN</t>
  </si>
  <si>
    <t>TIPO DE CONTRATO</t>
  </si>
  <si>
    <t>DATOS DEL CONTRATISTA</t>
  </si>
  <si>
    <t>VALOR FINAL</t>
  </si>
  <si>
    <t>VALOR VIGENCIA 2018</t>
  </si>
  <si>
    <t>VALOR VIGENCIA 2019</t>
  </si>
  <si>
    <t>VALOR VIGENCIA 2020</t>
  </si>
  <si>
    <t>VALOR VIGENCIA 2021</t>
  </si>
  <si>
    <t>VALOR VIGENCIA 2022</t>
  </si>
  <si>
    <t>FECHA DE FIRMA  CONTRATO INICIAL</t>
  </si>
  <si>
    <t>PLAZO DE EJECUCION
FINAL</t>
  </si>
  <si>
    <t xml:space="preserve">NOMBRE DEL REPRESENTANTE LEGAL </t>
  </si>
  <si>
    <t>NIT</t>
  </si>
  <si>
    <t>DIRECCIÓN</t>
  </si>
  <si>
    <t>TELEFONO</t>
  </si>
  <si>
    <t>CORREO ELECTRONICO</t>
  </si>
  <si>
    <t>CIUDAD</t>
  </si>
  <si>
    <t>PRESTACION DE SERVICIOS</t>
  </si>
  <si>
    <t>BOGOTA</t>
  </si>
  <si>
    <t>SUBDIRECCION DE APOYO</t>
  </si>
  <si>
    <t>N/A</t>
  </si>
  <si>
    <t>SUBDIRECCION MEDICA</t>
  </si>
  <si>
    <t>SUBDIRECCION ADMINISTRATIVA</t>
  </si>
  <si>
    <t>SUMINISTRO</t>
  </si>
  <si>
    <t>MANTENIMIENTO</t>
  </si>
  <si>
    <t>WILLIAM QUIROGA MATAMOROS</t>
  </si>
  <si>
    <t>MEDTRONIC COLOMBIA S.A</t>
  </si>
  <si>
    <t>6683777</t>
  </si>
  <si>
    <t xml:space="preserve">ARRENDAMIENTO </t>
  </si>
  <si>
    <t>CALI</t>
  </si>
  <si>
    <t>BARRANQUILLA</t>
  </si>
  <si>
    <t>LUIS ALBERTO RUIZ ROBLES</t>
  </si>
  <si>
    <t>GUSTAVO PINZON DIAZ</t>
  </si>
  <si>
    <t>830,040,574-8</t>
  </si>
  <si>
    <t>CARRERA 92 # 64 C -24</t>
  </si>
  <si>
    <t>4382224</t>
  </si>
  <si>
    <t>patricia@bioplastsa.com</t>
  </si>
  <si>
    <t>VYGON COLOMBIA S.A.</t>
  </si>
  <si>
    <t>JAIME ANTONIO ADDIE</t>
  </si>
  <si>
    <t>802,000,335-1</t>
  </si>
  <si>
    <t>3730963</t>
  </si>
  <si>
    <t>mangel@vygon.com.co</t>
  </si>
  <si>
    <t>QUIRURGICOS LTDA</t>
  </si>
  <si>
    <t>JAIRO DIAZ JARAMILLO</t>
  </si>
  <si>
    <t>860,024,862-6</t>
  </si>
  <si>
    <t>cverdiguer@quirurgicosltda.com</t>
  </si>
  <si>
    <t>PRESTACION DE SERVICIOS DE SALUD</t>
  </si>
  <si>
    <t>WILLIAM SANCHEZ MALDONADO</t>
  </si>
  <si>
    <t>830,025,149-8</t>
  </si>
  <si>
    <t>800,077,635-1</t>
  </si>
  <si>
    <t>CARRERA 68 D # 25 B -86 OFICINA 518</t>
  </si>
  <si>
    <t>4272000</t>
  </si>
  <si>
    <t>aslicitacion2@lminstruments.com.co</t>
  </si>
  <si>
    <t>MARCELA PATRICIA FORERO</t>
  </si>
  <si>
    <t>ARROW MEDICAL SAS</t>
  </si>
  <si>
    <t>JUAN GUILLERMO TIRADO</t>
  </si>
  <si>
    <t>811,001,723-3</t>
  </si>
  <si>
    <t>CALLE 23 # 43 A -100</t>
  </si>
  <si>
    <t>3561111</t>
  </si>
  <si>
    <t>asistentecomercial@armocsa.com</t>
  </si>
  <si>
    <t>900,931,305-0</t>
  </si>
  <si>
    <t>AUTOPISTA MEDELLIN KM 8,5 COSTADO SUR</t>
  </si>
  <si>
    <t>2942784</t>
  </si>
  <si>
    <t>diana.rubio@siemens-healthineers.com</t>
  </si>
  <si>
    <t>ALFA TRADING S.A.S</t>
  </si>
  <si>
    <t>CIRO HERNAN ANGEL TURMEQUE</t>
  </si>
  <si>
    <t>830,041,488-7</t>
  </si>
  <si>
    <t>CALLE 23 # 116-31 BODEGA 1</t>
  </si>
  <si>
    <t>4283966</t>
  </si>
  <si>
    <t>860,506,831-7</t>
  </si>
  <si>
    <t>6583100</t>
  </si>
  <si>
    <t>gerencia@biotronitech.com.co</t>
  </si>
  <si>
    <t>SHERLEG LABORATORIES</t>
  </si>
  <si>
    <t>MARY ELLEN LEGUIZAMON</t>
  </si>
  <si>
    <t>900,539,662-5</t>
  </si>
  <si>
    <t>4059171</t>
  </si>
  <si>
    <t>ventas@sherleg.net</t>
  </si>
  <si>
    <t>GUSTAVO RODRIGUEZ</t>
  </si>
  <si>
    <t>830,007,935-4</t>
  </si>
  <si>
    <t>CALLE 98 # 18-71 OFICINA 801</t>
  </si>
  <si>
    <t>6227036</t>
  </si>
  <si>
    <t>gustavo.rodriguez@wlorenz.com.co</t>
  </si>
  <si>
    <t>COBO Y ASOCIADOS DE OCCIDENTE</t>
  </si>
  <si>
    <t>LUZ MARINA PAYAN RUBIANO</t>
  </si>
  <si>
    <t>890,331,949-3</t>
  </si>
  <si>
    <t>CARRERA 46 # 101 B -09</t>
  </si>
  <si>
    <t>licitabogota2@cobomedical.com</t>
  </si>
  <si>
    <t>JAVIER ALBERTO VALENZUELA</t>
  </si>
  <si>
    <t>900,812,131-6</t>
  </si>
  <si>
    <t>NANCY CHAPARRO</t>
  </si>
  <si>
    <t>ARRENDAMIENTO</t>
  </si>
  <si>
    <t>LM INSTRUMENTS S.A</t>
  </si>
  <si>
    <t>DIANA CATALINA CASTILLO</t>
  </si>
  <si>
    <t>PHARMEUROPEA COLOMBIA</t>
  </si>
  <si>
    <t>TECNICA ELECTROMEDICA SA</t>
  </si>
  <si>
    <t>HERNAN MOLANO RIVERO</t>
  </si>
  <si>
    <t>830,004,892-2</t>
  </si>
  <si>
    <t>CALLE 47 # 5-26</t>
  </si>
  <si>
    <t>7568787</t>
  </si>
  <si>
    <t>licitaciones@tecnicaelectromedica.com</t>
  </si>
  <si>
    <t>CALLE 49 # 13-60</t>
  </si>
  <si>
    <t>MACROSEARCH LTDA</t>
  </si>
  <si>
    <t>LUZ AMPARO RAMIREZ</t>
  </si>
  <si>
    <t>830,071,701-1</t>
  </si>
  <si>
    <t>6002126</t>
  </si>
  <si>
    <t>RICARDO SIVA RUEDA</t>
  </si>
  <si>
    <t>JAVIER VEGA TABOADA</t>
  </si>
  <si>
    <t xml:space="preserve">MANTENIMIENTO </t>
  </si>
  <si>
    <t>CARRERA 57 # 92-15</t>
  </si>
  <si>
    <t>6557615</t>
  </si>
  <si>
    <t>expertosingenieros@hotmail.com</t>
  </si>
  <si>
    <t>ANDRES JARAMILLO GIRALDO</t>
  </si>
  <si>
    <t>811,030,191-9</t>
  </si>
  <si>
    <t>4441177</t>
  </si>
  <si>
    <t>comercial@equitronic.com.co</t>
  </si>
  <si>
    <t>BIOPLAST S.A</t>
  </si>
  <si>
    <t>SHERLEG LABORATORIES S.A.S</t>
  </si>
  <si>
    <t>CALLE 13 # 68 B -26</t>
  </si>
  <si>
    <t>LABTRONICS S.A.S</t>
  </si>
  <si>
    <t>JORGE LUIS RODRIGUEZ</t>
  </si>
  <si>
    <t>830,064,712-1</t>
  </si>
  <si>
    <t>CALLE 101 A # 47 A -09</t>
  </si>
  <si>
    <t>comercial@labtronics.net</t>
  </si>
  <si>
    <t>GIOVANNY ENRIQUE ABRIL GALEANO</t>
  </si>
  <si>
    <t>CARRERA 9 A # 17-55 SUR PISO 2</t>
  </si>
  <si>
    <t>7046446</t>
  </si>
  <si>
    <t>DRAEGER COLOMBIA S.A.S</t>
  </si>
  <si>
    <t xml:space="preserve">LUZ ANGELICA ACOSTA </t>
  </si>
  <si>
    <t>900,194,910-4</t>
  </si>
  <si>
    <t>6358881</t>
  </si>
  <si>
    <t>adriana.santana@draeger.com</t>
  </si>
  <si>
    <t>ESTEBAN LIZARAZO LIZARAZO</t>
  </si>
  <si>
    <t>7447300</t>
  </si>
  <si>
    <t xml:space="preserve">flor.quintero@grupoamarey.com </t>
  </si>
  <si>
    <t>HUMBERTO DURAN ORTIZ</t>
  </si>
  <si>
    <t>860,001,911-1</t>
  </si>
  <si>
    <t>CARRERA 7 # 69-53</t>
  </si>
  <si>
    <t>3478826</t>
  </si>
  <si>
    <t>soportec@kaika.com.co</t>
  </si>
  <si>
    <t>JOMEDICAL S.A.S</t>
  </si>
  <si>
    <t>800,088,519-0</t>
  </si>
  <si>
    <t>CARRERA 7 # 124-25</t>
  </si>
  <si>
    <t>6375177</t>
  </si>
  <si>
    <t>jomedical@jomedical.com</t>
  </si>
  <si>
    <t>ANNAR DIAGNOSTICA IMPORT S.A.S</t>
  </si>
  <si>
    <t>830,025,281-2</t>
  </si>
  <si>
    <t>7447979</t>
  </si>
  <si>
    <t>ventas@annardx.com</t>
  </si>
  <si>
    <t>G BARCO S.A</t>
  </si>
  <si>
    <t>CARLOS FELIPE CRUZ SOTO</t>
  </si>
  <si>
    <t>860,044,349-4</t>
  </si>
  <si>
    <t>CALLE 99 # 14-76</t>
  </si>
  <si>
    <t>6510700</t>
  </si>
  <si>
    <t>LUIS EDUARDO MORENO</t>
  </si>
  <si>
    <t>830,146,016-6</t>
  </si>
  <si>
    <t>CARRERA 71 A # 116 A - 75</t>
  </si>
  <si>
    <t>7449870</t>
  </si>
  <si>
    <t>comercial@mmequiposmedicos.com.co</t>
  </si>
  <si>
    <t>OVIDIO TORRES RINCON</t>
  </si>
  <si>
    <t>CALLE 116 # 7-15 OFICINA 1101</t>
  </si>
  <si>
    <t>BIOTRONITECH COLOMBIA S.A</t>
  </si>
  <si>
    <t>CALLE 123 # 7-50</t>
  </si>
  <si>
    <t>ABDON MARCELO ANDRADE</t>
  </si>
  <si>
    <t>BOSTON MEDICAL DEVICE COLOMBIA LTDA</t>
  </si>
  <si>
    <t>BRUNO ANTONIO BRINDOLA</t>
  </si>
  <si>
    <t>900,218,736-4</t>
  </si>
  <si>
    <t>jhon.tellez@convatec.com</t>
  </si>
  <si>
    <t>VEYALTHI GROUP S.A.S</t>
  </si>
  <si>
    <t>CESAR IVAN CASTIBLANCO</t>
  </si>
  <si>
    <t>2950122</t>
  </si>
  <si>
    <t>veyalthigroup@yahoo.com</t>
  </si>
  <si>
    <t>ORDENES Y SUMINISTROS S.A.S</t>
  </si>
  <si>
    <t>LAZARINT XIMENA BARRERO GAITAN</t>
  </si>
  <si>
    <t>900,147,252-6</t>
  </si>
  <si>
    <t>ordenesysuministros@outlook.com</t>
  </si>
  <si>
    <t>EXPERTOS INGENIEROS LTDA</t>
  </si>
  <si>
    <t>MEDELLIN</t>
  </si>
  <si>
    <t>3M COLOMBIA S.A</t>
  </si>
  <si>
    <t>860,002,693-3</t>
  </si>
  <si>
    <t>4161666</t>
  </si>
  <si>
    <t>rcuello@mmm.com</t>
  </si>
  <si>
    <t>LIFE SUMINISTROS MEDICOS S.A.S</t>
  </si>
  <si>
    <t>900,240,177-9</t>
  </si>
  <si>
    <t xml:space="preserve">CALLE 84 # 50-10 LOCAL 206 A </t>
  </si>
  <si>
    <t>BECTON DICKINSON DE COLOMBIA LTDA</t>
  </si>
  <si>
    <t>PAMELA XIMENA SAAVEDRA MORALES</t>
  </si>
  <si>
    <t>860,020,309-6</t>
  </si>
  <si>
    <t>CLIS VEREDA VUELTA GRANDE A 150 MTS GLORIETA  SIBERA VIA COTA  BODEGA 56 Y 57</t>
  </si>
  <si>
    <t>7566060</t>
  </si>
  <si>
    <t>licitaciones.col@bd.com</t>
  </si>
  <si>
    <t>COTA</t>
  </si>
  <si>
    <t>JUAN MANUEL FONSECA SARAVIA</t>
  </si>
  <si>
    <t>860,002,134-8</t>
  </si>
  <si>
    <t>CALLE 100 # 9 A - 45 PISO 14</t>
  </si>
  <si>
    <t>6285745</t>
  </si>
  <si>
    <t>rodriguez.sandra@abbott.com</t>
  </si>
  <si>
    <t>3190830</t>
  </si>
  <si>
    <t>QUIMBERLAB S.A</t>
  </si>
  <si>
    <t>VIVIANA ANDREA QUINTANA</t>
  </si>
  <si>
    <t>CALLE 67 # 5-42</t>
  </si>
  <si>
    <t>viviana.quintana@quimberlab.com.co</t>
  </si>
  <si>
    <t>IVONNE DIAZ YAMAL</t>
  </si>
  <si>
    <t>TECNOLOGIAS MEDICAS COLOMBIA S.A.S</t>
  </si>
  <si>
    <t>900,448,208-3</t>
  </si>
  <si>
    <t>MEQ TECNOLOGIA MEDICA S.A.S</t>
  </si>
  <si>
    <t>gerencia@meqtm.com</t>
  </si>
  <si>
    <t>TM MEDICAS S.A</t>
  </si>
  <si>
    <t>800,108,708-3</t>
  </si>
  <si>
    <t>KCI COLOMBIA S.A</t>
  </si>
  <si>
    <t>900,894,722-1</t>
  </si>
  <si>
    <t>7447871</t>
  </si>
  <si>
    <t>MAURICIO.ESCOBAR@KCII.COM</t>
  </si>
  <si>
    <t>TRANVERSAL 23 # 93-23</t>
  </si>
  <si>
    <t>JUAN CARLOS FERNANDEZ OROZCO</t>
  </si>
  <si>
    <t>890,300,292-0</t>
  </si>
  <si>
    <t>5893000</t>
  </si>
  <si>
    <t>luisa_quintero@baxter.com</t>
  </si>
  <si>
    <t>CALLE 51 # 72 A -28</t>
  </si>
  <si>
    <t>RICARDO URIBE MORENO</t>
  </si>
  <si>
    <t>PRODUCTOS ROCHE S.A</t>
  </si>
  <si>
    <t>860,003,216-8</t>
  </si>
  <si>
    <t>CARRERA 44 # 20-21</t>
  </si>
  <si>
    <t>4178860</t>
  </si>
  <si>
    <t>michelle.vasquez@roche.com</t>
  </si>
  <si>
    <t>1132-2018</t>
  </si>
  <si>
    <t>CORPORACION MEDICO QUIRURGICA</t>
  </si>
  <si>
    <t>SERVICIOS MEDICOS ESPECIALIZADOS EN DERMATOLOGIA CLINICA, PARA LA ATENCION DE CONSULTA EXTERNA, CIRUGIA DERMATOLOGICA, CIRUGIA DERMATOLOGICA ONCOLOGICA, PROCEIMIENTOS DIAGNOSTICOS Y TERAPEUTICOS DE TIPO AMBULATORIO, CONSULTA DE FOTOTERAPIA, RESPUESTA A INTERCONSULTAS DE URGENCIAS Y HOSPITLARIAS, CHEQUEOS MEDICOS EJECUTIVOS, HOSPITALIZACION,  DISPONIBILIDAD MEDIANTE LLAMADO TELEFONICO PARA URGENCIAS DERMATOLOGOCAS LAS 24 HORAS DEL DIA. SIETE DIAS A LA SEMANA, EN LAS INSTALACIONES DEL HOSPITAL MILITAR CENTRAL, A PCIENTES ADULTOS, ADOLECENTES, EN EDAD PEDIATRICA, USUARIOS DEL SUBISTEMA DE SALUD DE LAS FUERZAS MILITARES Y HOSPITAL MILITAR CENTRAL CON VIGENCIA FUTURAS 2018-2022</t>
  </si>
  <si>
    <t>CONTRATACION DIRECTA 077-2018</t>
  </si>
  <si>
    <t>ANDRES RICARDO BARRAGAN</t>
  </si>
  <si>
    <t>900,789,891-7</t>
  </si>
  <si>
    <t>corp-med@hotmail.com</t>
  </si>
  <si>
    <t>1268-2018</t>
  </si>
  <si>
    <t>REPRESENTACIONES E INVERSIONES ELITE LIMITADA</t>
  </si>
  <si>
    <t>CONTRATACION DE SERVICIOS DE LIMPIEZA Y DESINFECCION DEL AREA ASISTENCIAL, ADMINISTRATIVA Y EXTERNAS, GESTION INTERNA DE RESIDUOS HOSPITALARIOS DE LA INSTITUCION HOSPITALARIA, DESINSECTACION Y DESRATIZACION DE TODAS LAS AREAS INTERNAS DEL HOSPITAL Y EL MANTENIMIENTO DE ZONAS VERDES JARDINERIA PARA EL ESTABLECIMIENTO PUBLICO HOSPITAL MILITAR CENTRAL CUMPLIENDO LOS PROTOCOLOS, PROCEDIMIENTOS INTERNO Y LAS DIPOSCICIONES</t>
  </si>
  <si>
    <t>SS LUIS ERNESTO ACOSTA MORA - SS SERGIO CRUZ</t>
  </si>
  <si>
    <t>LICITACION PUBLICA 016-2018</t>
  </si>
  <si>
    <t>800,067,956-6</t>
  </si>
  <si>
    <t>CALLE 102 # 70 G -63</t>
  </si>
  <si>
    <t>7431822</t>
  </si>
  <si>
    <t>KAIKA S.A.S</t>
  </si>
  <si>
    <t>1274-2018</t>
  </si>
  <si>
    <t>CORPMED</t>
  </si>
  <si>
    <t>CONTRATACION DIRECTA 061-2018</t>
  </si>
  <si>
    <t>DIANA CRISTINA GARCIA</t>
  </si>
  <si>
    <t>1278-2018</t>
  </si>
  <si>
    <t>MANTENIMIENTO PREVENTIVO Y LOS CORRECTIVOS QUE SEAN NECESARIOS INCLUIDOS KITS DE MANTENIMIENTO, REPUESTOS, ACCESORIOS Y CONSUMIBLES ORIGINALES NUEVOS NO REMANUFACTURADOS PARA LOS EQUIPOS DE MARCA DRAEGER (MAQUINAS DE ANESTESIA, INCUBADORAS, VENTILADORES,ILIRRUBINOMETROS, COLUMNAS, CENTRALES DE MONITOREO, MONITORES SIGNOS VITALES Y CAPNOGRFOS) DE LOS SERVICIOS DE UCIS ( NEONATAL, PEDIATRICA, MEDICA, POST QUIRURGICA CORONARIA)  TPR, MATERNIDAD, URGENCIAS, , TERAPIA RESPIRATORIA, HEMODINAMIA. RESONANCIA MAGNETICA y SALAS DE CIRUGIA DEL HOSPITAL MLITAR CENTRAL, INCLUYENDO UN INGENIERO ENTRENADO POR CASA MATRIZ PARA PRESTAR LOS SERVICIOS DE MANTENIMIENTO, ACOMPÑAMIENTO TECNICO, GESTION DOCUMENTAL Y DE  ACTIVOS CON SUS INDICADORES DE GESTION, RONDAS DE INSPECCION Y SEGURIDAD, GESTION DE INSUMOS Y ACCESORIOS, ACOMPAÑAMIENTO AL PÉRSONAL CLINICO Y DE SOPORTE DISPONIBLE EN SITIO PARA EL HOSPITAL, CON SISTEMAS DE COMUNICAICON TIPO RADIO PARA LOS SERVICIOS CRITICOS Y EQUIPOS EN APOYO TECNOLOGICO MARCA DRAGER CON SUS RESPECTIVOS ACCESORIOS, PARTES, MANTENIMIENTO  Y ACOMPAÑAMIENTO DE ESPECIALISTAS SIN COSTO PARA EL HOSPITAL MILITAR CCENTRAL DURANTE LA VIGENCIA DEL CONTRATO</t>
  </si>
  <si>
    <t>CONTRATACION DIRECTA 055-2018</t>
  </si>
  <si>
    <t>CALLE 93 B # 13-44 PISO 44</t>
  </si>
  <si>
    <t>1296-2018</t>
  </si>
  <si>
    <t>ASCESCA LTDA</t>
  </si>
  <si>
    <t>MANTENIMIENTO PREVENTICO Y LOS CORRECTIVOS NECESARIOS DE LOS OCHO ASCENSORES DE PASAJEROS, NUEVE ASCENSORES DE CARGA Y SEIS ESCALERAS ELECTRICAS INCLUIDO REPUESTOS NUEVOS NO REMANUFACTURADOS, TARJETAS ELECTRONICAS ACTUALIZACION DESOFTWARE Y REPUESTOS PARA LA ADECUACION DEL SISTEMA INTELIGENTE DE LOS ASCENSORES Y ESCALERAS ELECTRICAS DEL HOSPITAL  MILITAR CENTRAL</t>
  </si>
  <si>
    <t>LICITACION PUBLICA 023-2018</t>
  </si>
  <si>
    <t>RAFAEL ANTONIO MARTINEZ</t>
  </si>
  <si>
    <t>900,477,478-9</t>
  </si>
  <si>
    <t>CALLE 129 # 92-58</t>
  </si>
  <si>
    <t>asceca@hotmail.com</t>
  </si>
  <si>
    <t>1297-2018</t>
  </si>
  <si>
    <t>CORPORACION VISIONCORP</t>
  </si>
  <si>
    <t>PRESTACION DE SERVICIOS PROFESIONALES PARA EL SERVICIO DE INFECTOLOGIA Y EPIDEMIOLOGIA DEL HOSPITAL MILITAR CENTRAL</t>
  </si>
  <si>
    <t>CONTRTACION DIRECTA 079-2018</t>
  </si>
  <si>
    <t>RONALD ENRIQUE VIDES</t>
  </si>
  <si>
    <t>900,897,340-3</t>
  </si>
  <si>
    <t>visioncorp7@gmail.com</t>
  </si>
  <si>
    <t>1298-2018</t>
  </si>
  <si>
    <t>MANTENIMIENTO PREVENTIVO, CORRECTIVO MENOR CON INCLUSION DE REPUESTOS PARA EL SISTEMA DE AIRES ACONDICIONADOS Y REFRIGERACION, DEMAS REPARACIONES QUE SE PRESENTEN  Y QUE SEAN NECESARIOS PARA LA OPTIMA PRESTACION DE LOS SERVICIOS DE LA ENTIDAD HOSPITALARIA</t>
  </si>
  <si>
    <t>LICITACION PUBLICA 021-2018</t>
  </si>
  <si>
    <t>CINDY LORENA GACHARNA</t>
  </si>
  <si>
    <t>900,152,368-1</t>
  </si>
  <si>
    <t>1301-2018</t>
  </si>
  <si>
    <t>UNION TEMPORAL BE -2018</t>
  </si>
  <si>
    <t>PRESTACION DE LOS SERVICIOS ESPECIALIZADOS DE VIGILANCIA Y SEGURIDAD PRIVADA PARA LA PROTECCION DE LAS PERSONAS Y BIENES QUE PERMANECEN DENTRO DE LAS INSTALACIONES DEL HOSPITAL MILITAR CENTRAL</t>
  </si>
  <si>
    <t>LICITACION PUBLICA 020-2018</t>
  </si>
  <si>
    <t>DANIEL ROJAS FRANCO</t>
  </si>
  <si>
    <t>901,238,467-7</t>
  </si>
  <si>
    <t>CARRERA 18 # 57-30</t>
  </si>
  <si>
    <t>5554802</t>
  </si>
  <si>
    <t>buhoseguridadltda@hotmail.com</t>
  </si>
  <si>
    <t>1302-2018</t>
  </si>
  <si>
    <t>UT ALIMENTOS Y SERVICIOS</t>
  </si>
  <si>
    <t>SUMINISTRO DE ALIMENTACION PARA PACIENTES HOSPITALIZADOS Y MEDICOS RESIDENTES E INTERNOS DEL HOSPITAL MILITAR CENTRAL</t>
  </si>
  <si>
    <t>LICITACION PUBLICA 019-2018</t>
  </si>
  <si>
    <t>FRANCISCO JAVIER SANDOVAL BUITRAGO</t>
  </si>
  <si>
    <t>901,237,329-6</t>
  </si>
  <si>
    <t>CARRERA 7 B # 116 A -74</t>
  </si>
  <si>
    <t>8059891</t>
  </si>
  <si>
    <t>grentecomercial@fjsb.com.co</t>
  </si>
  <si>
    <t>1304-2018</t>
  </si>
  <si>
    <t>MEDICINA DE REHABILITACION COLOMBIA S.A.S</t>
  </si>
  <si>
    <t>PRESTACION DE SERVICIOS PROFESIONALES MEDICOS ESPECIALIZADOS EN EL AREA DE MEDICINA FISICA Y REHABILITACION EN EL HOSPITAL MILITAR CENTRAL PARA LAS VIGENCIAS 2018, 2019, 2020, 2021 Y 2022</t>
  </si>
  <si>
    <t>CONTRATACION DIRECTA 135-2018</t>
  </si>
  <si>
    <t>OSCAR MAURICIO ALVAREZ</t>
  </si>
  <si>
    <t>901,232,617-8</t>
  </si>
  <si>
    <t>CARRERA 2 # 62 A 40 CASA 24</t>
  </si>
  <si>
    <t>7031206</t>
  </si>
  <si>
    <t>medirhbcolsa@gmail.com</t>
  </si>
  <si>
    <t>1306-2018</t>
  </si>
  <si>
    <t>MANTENIMIENTO PREVENTIVO Y CORRECTIVO INCLUIDO REPUESTOS ORIGINALES  PARA EQUIPOS BIOMEDICOS PARA EL SERVICIO UCI NEONATAL DEL HOSPITAL MILITAR CENTRAL</t>
  </si>
  <si>
    <t>CONTRATACION DIRECTA 064-2018</t>
  </si>
  <si>
    <t>NELLY CECILIA VEGA</t>
  </si>
  <si>
    <t>3484310</t>
  </si>
  <si>
    <t>1338-2018</t>
  </si>
  <si>
    <t>ASA</t>
  </si>
  <si>
    <t>PRESTACION DE SERVICIOS DE ANESTESIOLOGIA EN EL HOSPITAL MILITAR CENTRAL, PARA EL CUBRIMIENTO DE CIRUGIA PROGRAMADA, CIRUGIA DE URGENCIAS, CONSULTA PREANESTESICA E INTERCONSULTAS, SALAS DE MAYTERNIDAD, CLINICA DEL DOLOR AGUDO Y CRONICO, UNIDAD DE CUIDADOS POST ANESTESICOS Y ANESTESIA PARA PROCEDIMIENTOS FUERA DE SALAS DE CIRUGIA, Y LOS DEMAS PROFESIONALES QUE SE REQUIERAN  EN LA CLINICA DEL DOLOR QUE PUEDEN SER UN MEDICO FISIATRA CON MAESTRIA O ESPECIALIZACION EN MANEJO DE DOLOR Y/O UN MEDICO GENERAL PARA APOYAR CON LAS LABORES ASISTENCIALES: DE VISITA DOMICILIARIA, CONSULTA, REVISTA DE PACIENTES DE DOLOR EN PISO Y UNA ENFERMERA JEFE PARA APOYAR CON LAS LABORES ASISTENCIALES</t>
  </si>
  <si>
    <t>CONTRATACION DIRECTA 062-2018</t>
  </si>
  <si>
    <t>CARLOS ALBERTO SEMIENTO</t>
  </si>
  <si>
    <t>900,477,822-1</t>
  </si>
  <si>
    <t>CARRERA 9 A  # 17-55 SUR APTO 201</t>
  </si>
  <si>
    <t>3665578</t>
  </si>
  <si>
    <t>ASOCIACION-ASA@HOTMAIL.COM</t>
  </si>
  <si>
    <t>ruth.isnlda.gaviria@medtronic.com</t>
  </si>
  <si>
    <t>1343-2018</t>
  </si>
  <si>
    <t>EQUITRONIC S.A</t>
  </si>
  <si>
    <t>MANTENIMIENTO PREVENTIVO Y CORRECTIVO INCLUIDO REPUESTOS NUEVOS ORIGIANLES PARA LOS EQUIPOS DE VENTILADORES PEDIATRICOS  DEL SERVICIO DE UNIDAD PEDIATRICA Y NEONATAL</t>
  </si>
  <si>
    <t>CONTRATACION DIRECTA 134-2018</t>
  </si>
  <si>
    <t>CARRERA 49 # 61 SUR 68 LOCAL 103</t>
  </si>
  <si>
    <t>1345-2018</t>
  </si>
  <si>
    <t>SET Y GAD S.A.S</t>
  </si>
  <si>
    <t>CALIBRACION, AJUSTE MANTENIMIENTO PREVENTIVO Y CORRECTIVO INCLUIDO REPUESTOS NUEVOS ORIGINALES PARA LOS EQUIPOS BIOMEDICOS DE LOS DIFERENTES SERVICIOS DEL HOSPITL MILITAR CENTRAL</t>
  </si>
  <si>
    <t>CONTRATACION DIRECTA 068-2018</t>
  </si>
  <si>
    <t xml:space="preserve">LUIS GUILLERMO URIBE </t>
  </si>
  <si>
    <t>830,065,092-2</t>
  </si>
  <si>
    <t>CARRERA 48 # 101 A -69</t>
  </si>
  <si>
    <t>5339232</t>
  </si>
  <si>
    <t>luis.uribe@selgad.com</t>
  </si>
  <si>
    <t>1346-2018</t>
  </si>
  <si>
    <t>MANTENIMIENTO PREVENTIVO Y CORRECTIVO INCLUIDO REPUESTOS NUEVOS ORIGIANLES PARA LOS EQUIPOS DE REFERENCIA GENERAL ELECTRIC (MONITOR SIGNS VITALES Y OTROS)</t>
  </si>
  <si>
    <t>CONTRATACION DIRECTA 060-2018</t>
  </si>
  <si>
    <t>elina.castro@gbarco.com.co</t>
  </si>
  <si>
    <t>1356-2018</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</si>
  <si>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MEDTRONIC DE LOS SERVICIOS DE SALAS DE CIRUGIA, UCIS DEL HOSPITAL MILITAR CENTRAL</t>
  </si>
  <si>
    <t>CONTRATACION DIRECTA 129-2018</t>
  </si>
  <si>
    <t>AC 116 # 7-15 OFICINA 1101</t>
  </si>
  <si>
    <t>1357-2018</t>
  </si>
  <si>
    <t>CONTRATACION DIRECTA 067-2018</t>
  </si>
  <si>
    <t>1358-2018</t>
  </si>
  <si>
    <t>MANTENIMIENTO PREVENTIVO Y CORRECTICO INCLUIDO RESPUESTOS NUEVOS ORIGINALES PARA LOS EQUIPOS DE REFERENCIA OLYMPUS PARA EL SERVICIO DE GASTROENTEROLOGIA</t>
  </si>
  <si>
    <t>CONTRATACION DIRECTA 127-2018</t>
  </si>
  <si>
    <t>1360-2018</t>
  </si>
  <si>
    <t>CORPORACION PARA LA SALUD, APRENDIZAJE, BIENESTAR E INTERES SOCIAL</t>
  </si>
  <si>
    <t>PRESTACION DE SERVICIOS MEDICOS ESPECIALIZADOS PARA LA ATENCION EN GINECOLOGIA Y OBSTETRICIA DE LAS DIFERENTES SUPRA ESPECIALIDADES DEL HOSPITAL MILITAR CENTRAL</t>
  </si>
  <si>
    <t>CONTRATACION DIRECTA 141-2018</t>
  </si>
  <si>
    <t>900,857,486-9</t>
  </si>
  <si>
    <t>CARRERA 9 A # 17-565 SUR PISO 2</t>
  </si>
  <si>
    <t>CORPORACIONCORSABI@GMAIL.COM</t>
  </si>
  <si>
    <t>1361-2018</t>
  </si>
  <si>
    <t>J TECHMED S.A.S</t>
  </si>
  <si>
    <t>CONTRATACION DIRECTA 059-2018</t>
  </si>
  <si>
    <t>CARRERA 6 # 45-25 APTO 403</t>
  </si>
  <si>
    <t>3143516063</t>
  </si>
  <si>
    <t>valenzuela10@gmail.com</t>
  </si>
  <si>
    <t>GEMEDCO</t>
  </si>
  <si>
    <t>LUZ STELLA GOMEZ</t>
  </si>
  <si>
    <t>860,527,377-4</t>
  </si>
  <si>
    <t>CALLE 103 # 14 A -43</t>
  </si>
  <si>
    <t>3902029</t>
  </si>
  <si>
    <t>contratacion@gemedco.com</t>
  </si>
  <si>
    <t>1365-2018</t>
  </si>
  <si>
    <t>AMECRI</t>
  </si>
  <si>
    <t>PRESTACION DE SERVICIOS PROFESIONALES DE MEDICOS ESPECIALIZADOS EN EL AREA DE MEDICINA CRITICA Y CUIDADO INTENSIVO EN LAS UNIDADES DE CUIDADO INTENSIVO DEL HOSPITTAL MILITAR CENTRAL</t>
  </si>
  <si>
    <t>CONTRATACION DIRECTA 143-2018</t>
  </si>
  <si>
    <t>NELSON ANDRES PEREZ RODRIGUEZ</t>
  </si>
  <si>
    <t>900,667,685-2</t>
  </si>
  <si>
    <t>CARRERA 9 A # 17 SUR 55 PISO 2</t>
  </si>
  <si>
    <t>ASOCIACIONAMECRI@HOTMAIL.COM</t>
  </si>
  <si>
    <t>1367-2018</t>
  </si>
  <si>
    <t>VISIONCORP</t>
  </si>
  <si>
    <t>CONTRATACION DIRECTA 137-2018</t>
  </si>
  <si>
    <t>1368-2018</t>
  </si>
  <si>
    <t>SUMINITRO DE ELEMENTOS DE CURACION DESTINADOS A LA ATENCION DE PACIENTES DEL HOSPITAL MILITAR CENTRAL</t>
  </si>
  <si>
    <t>LICITACION PUBLICA 022-2018</t>
  </si>
  <si>
    <t>CALLE 23 # 116-31 BG 1  BARRIO FONTIBON</t>
  </si>
  <si>
    <t>4284003</t>
  </si>
  <si>
    <t>1369-2018</t>
  </si>
  <si>
    <t>EDGAR ALEXANDER RIVERA</t>
  </si>
  <si>
    <t>830,088,135-5</t>
  </si>
  <si>
    <t>CARRERA 88 A # 64 D -32</t>
  </si>
  <si>
    <t>4161199</t>
  </si>
  <si>
    <t>jorgecanon@pharmeuropea.com</t>
  </si>
  <si>
    <t>1370-2018</t>
  </si>
  <si>
    <t>830,119,221-1</t>
  </si>
  <si>
    <t>1371-2018</t>
  </si>
  <si>
    <t>GUSTAVO ADOLFO PRADA</t>
  </si>
  <si>
    <t>3568417</t>
  </si>
  <si>
    <t>gcmaria@lifesumimed.com</t>
  </si>
  <si>
    <t>1372-2018</t>
  </si>
  <si>
    <t>QUIRMEDICAS LTDA</t>
  </si>
  <si>
    <t>JOSE NOEL GARCIA</t>
  </si>
  <si>
    <t>860,047,163-5</t>
  </si>
  <si>
    <t>CALLE 128 A # 39-80</t>
  </si>
  <si>
    <t>2583088</t>
  </si>
  <si>
    <t>1373-2018</t>
  </si>
  <si>
    <t xml:space="preserve">CALLE 76 # 11-17 </t>
  </si>
  <si>
    <t>1374-2018</t>
  </si>
  <si>
    <t>VALERIA FRIGERI MORALES</t>
  </si>
  <si>
    <t>AV EL DORADO # 78 A -93</t>
  </si>
  <si>
    <t>1375-2018</t>
  </si>
  <si>
    <t>CARRERA 42 # 17 A 38 PISO 2</t>
  </si>
  <si>
    <t>2442054</t>
  </si>
  <si>
    <t>1376-2018</t>
  </si>
  <si>
    <t>INCOMEDICS LTDA</t>
  </si>
  <si>
    <t>RODRIGO ANTONIO SALAMANCA</t>
  </si>
  <si>
    <t>800,091,472-4</t>
  </si>
  <si>
    <t xml:space="preserve">CARRERA 13 A # 15-02 SUR </t>
  </si>
  <si>
    <t>4088686</t>
  </si>
  <si>
    <t>1377-2018</t>
  </si>
  <si>
    <t xml:space="preserve">CALLE 79 # 74-29 </t>
  </si>
  <si>
    <t>1378-2018</t>
  </si>
  <si>
    <t>LABORATORIOS BAXTER S.A</t>
  </si>
  <si>
    <t>OSCAR JAVIER PEREZ</t>
  </si>
  <si>
    <t>CALLE 36 # 2 C -22</t>
  </si>
  <si>
    <t>1379-2018</t>
  </si>
  <si>
    <t>CARRERA 90 A # 84 C -89</t>
  </si>
  <si>
    <t>GERENCIA@BIOPLASTSA.COM</t>
  </si>
  <si>
    <t>1380-2018</t>
  </si>
  <si>
    <t>CALE 13 # 68 B -26</t>
  </si>
  <si>
    <t>www.sherleg.com</t>
  </si>
  <si>
    <t>1381-2018</t>
  </si>
  <si>
    <t>MAURICIO ESCOBAR TRUJILLO</t>
  </si>
  <si>
    <t>CARRERA 11 # 98-07 OFICINA 203 B</t>
  </si>
  <si>
    <t>1382-2018</t>
  </si>
  <si>
    <t>CALLE 47  # 5-26 PISO 2</t>
  </si>
  <si>
    <t>3383816</t>
  </si>
  <si>
    <t>1383-2018</t>
  </si>
  <si>
    <t>PROASEPSIS S.A.S</t>
  </si>
  <si>
    <t>MANUEL ALBERTO SANCHEZ</t>
  </si>
  <si>
    <t>860,534,045-3</t>
  </si>
  <si>
    <t>AC 63 # 74 B - 42 BG 7</t>
  </si>
  <si>
    <t>4266607</t>
  </si>
  <si>
    <t>1384-2018</t>
  </si>
  <si>
    <t>BIOLORE LTDA</t>
  </si>
  <si>
    <t>FERNANDO BLANCO</t>
  </si>
  <si>
    <t>830,087,855-5</t>
  </si>
  <si>
    <t>CARRERA 18 A # 143-34 BARRIO CEDRITOS</t>
  </si>
  <si>
    <t>3687361</t>
  </si>
  <si>
    <t>1385-2018</t>
  </si>
  <si>
    <t>RONELLY S.A</t>
  </si>
  <si>
    <t>CARLOS ANDRES LOPEZ</t>
  </si>
  <si>
    <t>890,929,073-5</t>
  </si>
  <si>
    <t xml:space="preserve">CARRERA 49 # 46 A SUR 25 </t>
  </si>
  <si>
    <t>4125263</t>
  </si>
  <si>
    <t>ENVIGADO</t>
  </si>
  <si>
    <t>1386-2018</t>
  </si>
  <si>
    <t>CARRERA 68 D #V 25 B- 26 OFICINA 518 BARRIO SALITRE</t>
  </si>
  <si>
    <t>1387-2018</t>
  </si>
  <si>
    <t>JUAN PABLO AMADO ORDUZ</t>
  </si>
  <si>
    <t>1388-2018</t>
  </si>
  <si>
    <t>HEMATOONCOLOGOS ASOCIADOS S.A</t>
  </si>
  <si>
    <t>PRESTACION DE SERVICIOS PROFESIONALES MEDICOS ESPECIALIZADOS PARA EL SERVICIO DE HEMATOLOGIA ONCOLOGIA DEL HOSPITAL MILITAR CENTRAL</t>
  </si>
  <si>
    <t>CONTRATACION DIRECTA 158-2018</t>
  </si>
  <si>
    <t>WILLIAM ARMANDO MANTILLA</t>
  </si>
  <si>
    <t>900,328,271-3</t>
  </si>
  <si>
    <t>AVENIDA CALLE 134 # 7-83</t>
  </si>
  <si>
    <t>6274455</t>
  </si>
  <si>
    <t>administratcion@hemato-oncologos.com</t>
  </si>
  <si>
    <t>1390-2018</t>
  </si>
  <si>
    <t>INGENIERIA DE BOMBAS Y PLANTAS LTDA</t>
  </si>
  <si>
    <t>MANTENIMIENO PREVENTIVO Y CORRECTIVO DE LOS SISTEMAS INTERRUMPIBLES DE POTENCIA UPS INCLUYENDO REPUESTOS NUEVOS NO REMANUFACTURADOS QUE CONFORMAN LA RED REGULADA DEL HOSPITAL MILITAR CENTRAL</t>
  </si>
  <si>
    <t>LICITACION PUBLICA 015-2018</t>
  </si>
  <si>
    <t>INGRID PATRICIA EARANGO</t>
  </si>
  <si>
    <t>CARRERA 5 # 79-15</t>
  </si>
  <si>
    <t>6440410</t>
  </si>
  <si>
    <t>ingebombas@hotmail.com</t>
  </si>
  <si>
    <t>1392-2018</t>
  </si>
  <si>
    <t>PRESTACION DE SERVICIOS DE PERSONAL MEDICO ESPECIALIZADO PARA EL SERVICIO DE AUDIOLOGIA DEL HOSPITAL MILITAR CENTRAL</t>
  </si>
  <si>
    <t>CONTRATACION DIRECTA 151-2018</t>
  </si>
  <si>
    <t>900,789,981-7</t>
  </si>
  <si>
    <t>1393-2018</t>
  </si>
  <si>
    <t>CORPORACION COLOMBIANA DE COLOPROCTOLOGOS</t>
  </si>
  <si>
    <t>PRESTACION DE SERVICIOS ESPECIALZADOS PARA L SERVICIO DE COLOPROCTOLOGIA DEL HOSPITAL MILITAR CENTRAL</t>
  </si>
  <si>
    <t>CONTRATACION DIRECTA 147-2018</t>
  </si>
  <si>
    <t>ALICIA YOLANDA CASTILLO</t>
  </si>
  <si>
    <t>900,723,907-2</t>
  </si>
  <si>
    <t>colprocorp@hotmail.com</t>
  </si>
  <si>
    <t>1394-2018</t>
  </si>
  <si>
    <t>PRESTACION DE SERVICIOS PROFESIONALES Y DE APOYO A LA GESTION DE UN MEDICO CIRUJANO GENERAL CON ESPECIALIDAD EN CIRUGIA DE TORAX, CON EXPERIENCIA EN TORASCIOSCOPIA Y CIRUGIA MINIMAMENTE INVASIVA, PARA QUE PRESTE SUS SERVICIOS EN EL HOSPITAL MILITAR CENTRAL</t>
  </si>
  <si>
    <t>CONTRATACION DIRECTA 154-2018</t>
  </si>
  <si>
    <t>70464446</t>
  </si>
  <si>
    <t>1395-2018</t>
  </si>
  <si>
    <t>EMIUT ESPECIALISTAS EN MEDICINA</t>
  </si>
  <si>
    <t>PRESTACION DE SERVICIOS PROFESIONALES EN MEDICOS ESPECIALISTAS EN MEDICINA INTERNA PARA EL AREA DE MEDICINA INTERNA Y GERIATRIA DEL HOSPITAL MILITAR CENTRAL</t>
  </si>
  <si>
    <t>ROBIN RADA</t>
  </si>
  <si>
    <t>CONTRATACION DIRECTA 133-2018</t>
  </si>
  <si>
    <t>URIEL ANDRES RUIZ</t>
  </si>
  <si>
    <t>901,239,754-5</t>
  </si>
  <si>
    <t>CARRERA 59 A # 134-15 TORRE 4  APTO 601</t>
  </si>
  <si>
    <t>3706016</t>
  </si>
  <si>
    <t>emiut2019@gmail.com</t>
  </si>
  <si>
    <t>1396-2018</t>
  </si>
  <si>
    <t>CARDIO LATIDO LTDA</t>
  </si>
  <si>
    <t>PRESTACION DE SERVICIOS PROFESIONALES ESPECIALIZADOS EN CARDDIOLOGIA PARA EL SERVICIO DE CARDIOLOGIA DEL HOSPITAL MILITAR CENTRAL</t>
  </si>
  <si>
    <t>RUBEN DARIO DUQUE</t>
  </si>
  <si>
    <t>CONTRATACION DIRECTA 073-2018</t>
  </si>
  <si>
    <t>REINA MARIA OLARTE</t>
  </si>
  <si>
    <t>900,910,013-5</t>
  </si>
  <si>
    <t>CALLE 97 # 23-37 CASA 604</t>
  </si>
  <si>
    <t>6010606</t>
  </si>
  <si>
    <t>cardiolatidosas@gmail.com</t>
  </si>
  <si>
    <t>1397-2018</t>
  </si>
  <si>
    <t>SIEMENS HEALTHCARE S.A.S.</t>
  </si>
  <si>
    <t xml:space="preserve">MANTENIMIENTO PREVENTIVO Y CORRECTIVO INCLUIDO REPUESTOS NUEVOS PARA LOS EQUIPOS ACELERADOR LINEAL, MEVATRON PRIMUS, GAMACAMARAS Y OTROS DE DIFERENTES SERVICIOS </t>
  </si>
  <si>
    <t>CONTRATACION DIRECTA 157-2018</t>
  </si>
  <si>
    <t>FRANKLIN RUGE SANTANA</t>
  </si>
  <si>
    <t>4253124</t>
  </si>
  <si>
    <t>laura.palma_villareal@siemens.com</t>
  </si>
  <si>
    <t>1398-2018</t>
  </si>
  <si>
    <t>SELECCIÓN ABREVIADA DE MENOR CUANTIA 065-2018</t>
  </si>
  <si>
    <t>MARIA ALELI SANCHEZ</t>
  </si>
  <si>
    <t>860,518,574-0</t>
  </si>
  <si>
    <t>CARRERA 26 # 85 A -32 PISO 2</t>
  </si>
  <si>
    <t>6108824</t>
  </si>
  <si>
    <t>proyectos@cscltda.com</t>
  </si>
  <si>
    <t>1404-2018</t>
  </si>
  <si>
    <t>ARRENDAMIENTO DE UN EQUIPO SPEC-CT PARA EL SERVICIO DE RADIOLOGIA DEL HOSPITAL MILITAR CENTRAL</t>
  </si>
  <si>
    <t>LICITACION PUBLICA 17-2018</t>
  </si>
  <si>
    <t xml:space="preserve">LUZ STELLA GOMEZ </t>
  </si>
  <si>
    <t>CALLE 103 # 15-10</t>
  </si>
  <si>
    <t>6111288</t>
  </si>
  <si>
    <t>1405-2018</t>
  </si>
  <si>
    <t xml:space="preserve">FUNDARRITMIA </t>
  </si>
  <si>
    <t>LICITACION PUBLICA 037-2018</t>
  </si>
  <si>
    <t>DIEGO IGNACIO VANEGAS</t>
  </si>
  <si>
    <t>900,028,377-8</t>
  </si>
  <si>
    <t>CALLE 50 # 8-24 CS 203</t>
  </si>
  <si>
    <t>3100450</t>
  </si>
  <si>
    <t>fundarritmia@gmail.com</t>
  </si>
  <si>
    <t>1406-2018</t>
  </si>
  <si>
    <t>UNION TEMPORAL CIRUGIA PLASTICA</t>
  </si>
  <si>
    <t>PRESTACION DE SERVICIOS PROFESIONALES MEDICOS ESPECIALIZADOS PARA EL SERVICIO DE CIRUGIA PLASTICA DEL HOSPITAL MILITAR CENTRAL</t>
  </si>
  <si>
    <t>CONTRATACION DIRECTA 173-2018</t>
  </si>
  <si>
    <t>RICARDO MARIO GALAN SUAREZ</t>
  </si>
  <si>
    <t>901,239,359-4</t>
  </si>
  <si>
    <t>CALLE 127 A # 7-53 OFICINA 2002</t>
  </si>
  <si>
    <t>8051976</t>
  </si>
  <si>
    <t>sandramoralesch@gmail.com</t>
  </si>
  <si>
    <t>1407-2018</t>
  </si>
  <si>
    <t>PRESTACION DE SERVICIOS PROFESIONALES MEDICOS ESPECIALIZADOS PARA EL SERVICIO DE UROLOGIA DEL HOSPITAL MILITAR CENTRAL</t>
  </si>
  <si>
    <t>CONTRATACION DIRECTA 174-2018</t>
  </si>
  <si>
    <t>830,010,337-0</t>
  </si>
  <si>
    <t>copr-med@hotmail.com</t>
  </si>
  <si>
    <t>1409-2018</t>
  </si>
  <si>
    <t>PRESTACION DE SERVICIOS PROFESIONALES EN NEUROLOGIA EN EL HOSPITAL MILITAR CENTRAL</t>
  </si>
  <si>
    <t>CONTRATACION DIRECTA 176-2018</t>
  </si>
  <si>
    <t>1410-2018</t>
  </si>
  <si>
    <t>CORPORACION DE ESPECIALISTA EN PEDIATRIA</t>
  </si>
  <si>
    <t>PRESTACION DE SERVICIOS MEDICOS ESPECIALIZADOS PARA LA ATENCION PEDIATRICA Y DE DIFERENTES SUPRAESPECIALIDADES, UNIDAD DE CUIDADO INTENSIVO PEDIATRICO Y NEONATAL DEL HOSPITAL MILITAR CENTRAL</t>
  </si>
  <si>
    <t>CONTRATACION DIRECTA 172-2018</t>
  </si>
  <si>
    <t>YESSICA MARINA YASSIR FELFLE</t>
  </si>
  <si>
    <t>901,025,414-2</t>
  </si>
  <si>
    <t>CORPEDIMIL@GMAIL.COM</t>
  </si>
  <si>
    <t>1411-2018</t>
  </si>
  <si>
    <t>PRESTACION DE SERVICIOS POFESIONALES Y DE APOYO A LA GESTION ESPECIALIZADOS EN EL SERVICIO DE NEUROCIRUGIA DEL HOSPITAL MILITAR CENTRAL</t>
  </si>
  <si>
    <t>CONTRATACION DIRECTA 171-2018</t>
  </si>
  <si>
    <t>1412-2018</t>
  </si>
  <si>
    <t>OYN MEDICOS S.A.S</t>
  </si>
  <si>
    <t>PRESTACION DE SERVICIO DE PERSONAL MEDICO ESPECIALIZADO PARA EL SERVICIO DE HEMODINAMIA DEL HOSPITAL MILITAR CENTRAL</t>
  </si>
  <si>
    <t>CONTRATACION DIRECTA 175-2018</t>
  </si>
  <si>
    <t xml:space="preserve">ANA MARIA OROZCO </t>
  </si>
  <si>
    <t>901,235,031-6</t>
  </si>
  <si>
    <t>CALLE 22 # 66-44 CASA 1116 ED. CLINICA COLOMBIA</t>
  </si>
  <si>
    <t>3156040165</t>
  </si>
  <si>
    <t>oymmedicossas@gmail.com</t>
  </si>
  <si>
    <t>1413-2018</t>
  </si>
  <si>
    <t>UNION TEMPORAL MEDFEM 22</t>
  </si>
  <si>
    <t>ADQUISCICION, DISPENSACION, SUMINISTRO, DISTRIBUCION Y CONTROL DE MEDICAMENTOS A TRAVEZ DE UN OPERADOR LOGISTICO PARA LOS USUARIOS DEL HOSPITAL MILITAR CENTRAL BAJO LA MODALIDAD DE MONTO AGOTABLE</t>
  </si>
  <si>
    <t>LICITACION PUBLICA 014-2018</t>
  </si>
  <si>
    <t>EMILIO JOSE ALANDETE</t>
  </si>
  <si>
    <t>901,241,016-1</t>
  </si>
  <si>
    <t>CALLE 64 G  # 88 A - 88</t>
  </si>
  <si>
    <t>7422299</t>
  </si>
  <si>
    <t>ealandete@gmail.com</t>
  </si>
  <si>
    <t>CALLE 26 # 69 D -91 OFICINA 606 ED ARRECIFE</t>
  </si>
  <si>
    <t>7455208</t>
  </si>
  <si>
    <t>1429-2018</t>
  </si>
  <si>
    <t>SUMINISTRO Y ADQUISISION DE INSUMOS Y REACTIVOS NECESARIOS PARA LA RECOLECCION Y PROCESAMIENTO DE LAS UNIDADES DE SANGRE COLECTADAS Y LA REALIZACION DE LAS PRUEBAS DE INMUNOSEROLOGIA PARA DONANTES Y PACIENTES ATENDIDOS EN EL BANCO DE SANGRE DEL HOSPITAL MILITAR CENTRAL</t>
  </si>
  <si>
    <t>LICITACION PUBLICA 024-2018</t>
  </si>
  <si>
    <t>860,309,020-6</t>
  </si>
  <si>
    <t>1430-2018</t>
  </si>
  <si>
    <t>ABBOT LABORATORIOS DE COLOMBIA</t>
  </si>
  <si>
    <t>CALLE 100 # 95 A -45 PISO 14</t>
  </si>
  <si>
    <t>1431-2018</t>
  </si>
  <si>
    <t>BIOCIENTIFICA LTDA</t>
  </si>
  <si>
    <t>ERNST ADLER</t>
  </si>
  <si>
    <t>860,065,795-6</t>
  </si>
  <si>
    <t>CARRERA 15 A # 121 -12 OFICINA 518</t>
  </si>
  <si>
    <t>6203382</t>
  </si>
  <si>
    <t>biocient@outlook.com</t>
  </si>
  <si>
    <t>1432-2018</t>
  </si>
  <si>
    <t>LABCARE DE COLOMBIA S.A</t>
  </si>
  <si>
    <t>CARLOS ALFREDO TORRES</t>
  </si>
  <si>
    <t>830,056,202-3</t>
  </si>
  <si>
    <t>AUTOPISTA MEDELLIN M  2,5 VIA PARCELAS PARQUE  EMP PORTOS SABANA 80 BODEGA 97</t>
  </si>
  <si>
    <t>8985201</t>
  </si>
  <si>
    <t>ventas@labcarecolombia.com</t>
  </si>
  <si>
    <t>1433-2018</t>
  </si>
  <si>
    <t>SUMINISTRO DE INSUMOS MEDICO QUIRURGICOS PARA LA RALIZACION DEL PROGRAMA QUIRURGICO EN SALAS DE CIRUGIA Y LOS DEMAS SERVICIOS QUE COMPONEN LA UNIDAD CLINICO QUIRIURGICA DEL HOSPITAL MILITAR CENTRAL</t>
  </si>
  <si>
    <t>LICITACION PUBLICA 032-2018</t>
  </si>
  <si>
    <t>800,091,472,-4</t>
  </si>
  <si>
    <t xml:space="preserve">CARRERA 12 F # 15-022 SUR </t>
  </si>
  <si>
    <t>incomedicsltda@hotmail.com</t>
  </si>
  <si>
    <t>1434-2018</t>
  </si>
  <si>
    <t>JHONSON &amp; JHONSON DE COLOMBIA</t>
  </si>
  <si>
    <t>GALO MIRCEA CUBILLOS</t>
  </si>
  <si>
    <t>890,101,815-9</t>
  </si>
  <si>
    <t>AVENIDA CALLE 26 # 69-76 EDIFICIO ELEMENTO TORRE 2 PISO 9</t>
  </si>
  <si>
    <t>2191200</t>
  </si>
  <si>
    <t>Ctorogar@its.jnj.com</t>
  </si>
  <si>
    <t>1435-2018</t>
  </si>
  <si>
    <t>ADRIANA PADILLA LEAL</t>
  </si>
  <si>
    <t>AVENIDA EL DORADO  # 75-93</t>
  </si>
  <si>
    <t>4161677</t>
  </si>
  <si>
    <t>1436-2018</t>
  </si>
  <si>
    <t>1437-2018</t>
  </si>
  <si>
    <t>ARTIUM S.A.S</t>
  </si>
  <si>
    <t>ANDREA IDARRAGA MANRIQUE</t>
  </si>
  <si>
    <t>900,607,032-7</t>
  </si>
  <si>
    <t>CARRERA 51 B # 80-58 OFICINA 1306</t>
  </si>
  <si>
    <t>3102477606</t>
  </si>
  <si>
    <t>gerencia@artiumsalud.com</t>
  </si>
  <si>
    <t>1438-2018</t>
  </si>
  <si>
    <t>6096000</t>
  </si>
  <si>
    <t>1439-2018</t>
  </si>
  <si>
    <t>1440-2018</t>
  </si>
  <si>
    <t xml:space="preserve">GENERAL MEDICA DE COLOMBIA </t>
  </si>
  <si>
    <t>1441-2018</t>
  </si>
  <si>
    <t>1442-2018</t>
  </si>
  <si>
    <t>BOSTON SCIENTIFIC COLOMBIA LTDA</t>
  </si>
  <si>
    <t>JULIETA DIAZGRANADOS</t>
  </si>
  <si>
    <t>830,039,229-1</t>
  </si>
  <si>
    <t>CALLE 113 # 7-45 TORRE B OFICINA 713</t>
  </si>
  <si>
    <t>6295045</t>
  </si>
  <si>
    <t>mateo.rodriguez@bsci.com</t>
  </si>
  <si>
    <t>1443-2018</t>
  </si>
  <si>
    <t>LUIS EDUARDO NIETO JARAMILLO</t>
  </si>
  <si>
    <t>CARRERA 19 # 82-85 OFICINA 302</t>
  </si>
  <si>
    <t>5082122</t>
  </si>
  <si>
    <t>servicioalcliente@fm-colombia.com</t>
  </si>
  <si>
    <t>1444-2018</t>
  </si>
  <si>
    <t>1445-2018</t>
  </si>
  <si>
    <t>PROKONTROL S.A.S</t>
  </si>
  <si>
    <t>YESID MARTIN</t>
  </si>
  <si>
    <t>900,339,972-5</t>
  </si>
  <si>
    <t>CALLE 92 # 15-48 OFICINA 306</t>
  </si>
  <si>
    <t>6360802</t>
  </si>
  <si>
    <t>asistentecomercial@prokontrol.com.co</t>
  </si>
  <si>
    <t>1446-2018</t>
  </si>
  <si>
    <t>CARLOS ALBERTO MURILAS</t>
  </si>
  <si>
    <t>CARRERA 43 A # 5 A -17</t>
  </si>
  <si>
    <t>5240015</t>
  </si>
  <si>
    <t>corporativo@tmmedicas.com</t>
  </si>
  <si>
    <t>1447-2018</t>
  </si>
  <si>
    <t>CALLE 79 # 74 -29</t>
  </si>
  <si>
    <t>1448-2018</t>
  </si>
  <si>
    <t>W LORENZ S.A</t>
  </si>
  <si>
    <t>1449-2018</t>
  </si>
  <si>
    <t>1450-2018</t>
  </si>
  <si>
    <t>GUILLERMO GOMEZ</t>
  </si>
  <si>
    <t xml:space="preserve">AUTOPITA MEDELLIN KM 8,5 COSTADO SUR </t>
  </si>
  <si>
    <t>TENJO</t>
  </si>
  <si>
    <t>1451-2018</t>
  </si>
  <si>
    <t>1452-2018</t>
  </si>
  <si>
    <t>SURGICON S.A</t>
  </si>
  <si>
    <t>MARIA FERNANDO OYUELA</t>
  </si>
  <si>
    <t>860,519,267-9</t>
  </si>
  <si>
    <t>KM 1 VIA SIBERIA COTA CENTRO  EMPRESARIAL DEL OCCIDENTE</t>
  </si>
  <si>
    <t>8966555</t>
  </si>
  <si>
    <t>info@surgicon.com.co</t>
  </si>
  <si>
    <t>1453-2018</t>
  </si>
  <si>
    <t>gerenciainstituciones@alfratrading.com.co</t>
  </si>
  <si>
    <t>1454-2018</t>
  </si>
  <si>
    <t>4059179</t>
  </si>
  <si>
    <t>1455-2018</t>
  </si>
  <si>
    <t>MYM EQUIPOS MEDICOS S.A</t>
  </si>
  <si>
    <t>MANUEL GONZALEZ</t>
  </si>
  <si>
    <t>1456-2018</t>
  </si>
  <si>
    <t>1457-2018</t>
  </si>
  <si>
    <t>BIOCLINICOS DE COLOMBIA LTDA</t>
  </si>
  <si>
    <t>ALFONSO CASTRO</t>
  </si>
  <si>
    <t>830,054,700-0</t>
  </si>
  <si>
    <t>CARRERA 59 # 94 B -11</t>
  </si>
  <si>
    <t>5334340</t>
  </si>
  <si>
    <t>comercial@bioclinicos.com</t>
  </si>
  <si>
    <t>1458-2018</t>
  </si>
  <si>
    <t>CTP MEDICAS S.A</t>
  </si>
  <si>
    <t>CAROLINA PERDOMO MEZA</t>
  </si>
  <si>
    <t>800,121,151-5</t>
  </si>
  <si>
    <t>KM 1,5 VIA SIBERIA COTA PARQUE INDUSTRIAL POTRERO CHICO INTERIOR SANMIGUEL BODEGA</t>
  </si>
  <si>
    <t>8773979</t>
  </si>
  <si>
    <t>servicioalcliente@ctpmedica.com</t>
  </si>
  <si>
    <t>1459-2018</t>
  </si>
  <si>
    <t>1460-2018</t>
  </si>
  <si>
    <t>MEDIREX S.A.S</t>
  </si>
  <si>
    <t>YENNY CARRANZA</t>
  </si>
  <si>
    <t>830,091,676-9</t>
  </si>
  <si>
    <t>CALLE 85 A # 24-26</t>
  </si>
  <si>
    <t>3214931095</t>
  </si>
  <si>
    <t>licitaciones@medirexsas.com</t>
  </si>
  <si>
    <t>1461-2018</t>
  </si>
  <si>
    <t>UCIPHARMA S.A</t>
  </si>
  <si>
    <t>830,070,192-6</t>
  </si>
  <si>
    <t>1462-2018</t>
  </si>
  <si>
    <t>angelica.huertas@kci1.com</t>
  </si>
  <si>
    <t>1463-2018</t>
  </si>
  <si>
    <t>CALLE 36 # 2C -22</t>
  </si>
  <si>
    <t>EDGAR HUMBERTO GARZON</t>
  </si>
  <si>
    <t>900,810,245-8</t>
  </si>
  <si>
    <t>AVENIDA TRONCAL DE OCCIDENTE # 1-59 BODECAL 2</t>
  </si>
  <si>
    <t>8299708</t>
  </si>
  <si>
    <t>RODRIGO GOMEZ BURBANO</t>
  </si>
  <si>
    <t>1471-2018</t>
  </si>
  <si>
    <t>SUMINISTRO DE REACTIVOS E INSUMOS DESTINADOS PARA EL LABORATORIO CLINICO DEL HOSPITAL MILITAR CENTRAL</t>
  </si>
  <si>
    <t>LICITACION PUBLICA 038-2018</t>
  </si>
  <si>
    <t>800,005,736-1</t>
  </si>
  <si>
    <t>1473-2018</t>
  </si>
  <si>
    <t>1474-2018</t>
  </si>
  <si>
    <t>1475-2018</t>
  </si>
  <si>
    <t>AUTOPISTA MEDELLIN KM 2,5 VIA SIBERIA  PORTOS SABANA 80 BODEGA 87</t>
  </si>
  <si>
    <t>8759011</t>
  </si>
  <si>
    <t>biolore@hotmail.com</t>
  </si>
  <si>
    <t>1476-2018</t>
  </si>
  <si>
    <t>7561731</t>
  </si>
  <si>
    <t>1477-2018</t>
  </si>
  <si>
    <t>OTTOBOCK HEALTHCARE</t>
  </si>
  <si>
    <t>SUMINISTRO DE MATERIALES Y COMPONENETES PARA LA ELABORACION Y ADAPTACION DE DISPOSITIVOS MEDICOS SOBRE MEDIDAS TIPO PROTESIS EXTERNA PARA EXTREMIDADES Y OERTESIS ORTOPEDICAS PARA EL HOSPITAL MILITAR CENTRAL</t>
  </si>
  <si>
    <t>LICITACION PUBLICA 025-2018</t>
  </si>
  <si>
    <t>CARLOS ROBERTO GARCES</t>
  </si>
  <si>
    <t>830,109,997-9</t>
  </si>
  <si>
    <t>CARRERA 22 # 164-34</t>
  </si>
  <si>
    <t>8610850</t>
  </si>
  <si>
    <t>alberto.marulanda@ottobock.com.co</t>
  </si>
  <si>
    <t>1478-2018</t>
  </si>
  <si>
    <t>CENTRO INTEGRAL DE REHABILITACION</t>
  </si>
  <si>
    <t>DANIEL GOMEZ PERICO</t>
  </si>
  <si>
    <t>860,066,767-4</t>
  </si>
  <si>
    <t>CARRERA 54 # 65-25</t>
  </si>
  <si>
    <t>9536000</t>
  </si>
  <si>
    <t>catherine.guarin@cirec.org</t>
  </si>
  <si>
    <t>1480-2018</t>
  </si>
  <si>
    <t>SERVIDIAGNOSTICS S.A.S</t>
  </si>
  <si>
    <t>ARRENDAMIENTO DE UN SISTEMA DE INFORMACION PAC-RISK QUE INCKUYA INTALACION MANTENIMIENTO PREVENTIVO CORRECTIVO Y SOPORTE TECNICO</t>
  </si>
  <si>
    <t>LICITACION PUBLICA 035-2018</t>
  </si>
  <si>
    <t>EDWIN CUBIDES NIÑO</t>
  </si>
  <si>
    <t>900,545,507-6</t>
  </si>
  <si>
    <t>CALLE 25 F # 85 C -57 OFICINA 201</t>
  </si>
  <si>
    <t>4326882</t>
  </si>
  <si>
    <t>servidiagnostics@gmail.com</t>
  </si>
  <si>
    <t>N° CONTRATO</t>
  </si>
  <si>
    <t>1472-2018</t>
  </si>
  <si>
    <t>AUTOPISTA MEDELIN KM 2,5 VIA PARCELAS PARQUE  EMP PORTOS  SABANA 80 BODEGA 97</t>
  </si>
  <si>
    <t>8985201-02-03</t>
  </si>
  <si>
    <t>1421-2018</t>
  </si>
  <si>
    <t>LICITACION PUBLICA 039-2018</t>
  </si>
  <si>
    <t>SUMINISTRO DE INSUMOS Y REACTIVOS  PARA REALIZAR TECNICAS DE INMUNOHISTOQUIMICA AUTOMATIZADA, CITOMETRIA DE FLUJO Y REALIZACION DE AUTOPSIAS</t>
  </si>
  <si>
    <t>6354327</t>
  </si>
  <si>
    <t>830,056,102-3</t>
  </si>
  <si>
    <t>1422-2018</t>
  </si>
  <si>
    <t>CALLE 103 # 45 a -29</t>
  </si>
  <si>
    <t>MAROSEARCHLTDA@YAHOO.COM</t>
  </si>
  <si>
    <t>1419-2018</t>
  </si>
  <si>
    <t>1418-2018</t>
  </si>
  <si>
    <t>CONTRATACION DIRECTA 132-2018</t>
  </si>
  <si>
    <t>PRESTACION DE SERVICIOS PROFESIONALES ESPECIALIZADOS  EN CIRUGIA VASCULAR Y ANGIOLOGIA  CON CUBRIMIENTO EN LAS AREAS DE CONSULTA EXTERNA, HOSPITALIZADOS, URGENCIAS, CIRRUGIA ABIERTA Y ENDOVASCULAR  TANTO ELECTIVA COMO DE URGENCIAS, PROCEDIMIENTOS DIAGNOSTICOS INVASIVOS Y NO INVASIVOS DE APOYO TERAPEUTICO, ACTIVIDAD DOCENTE Y DE INVESTIGACION</t>
  </si>
  <si>
    <t>DOUGLAS OMAR ORTIZ ESPINEL</t>
  </si>
  <si>
    <t>830,079,051-7</t>
  </si>
  <si>
    <t>CALLE 45 C BIS # 23-37 CONSULTORIO 203</t>
  </si>
  <si>
    <t>2450411</t>
  </si>
  <si>
    <t>CIRUGESP.LTDA@YAHOO.ES</t>
  </si>
  <si>
    <t>1420-2018</t>
  </si>
  <si>
    <t>75660060</t>
  </si>
  <si>
    <t>1340-2018</t>
  </si>
  <si>
    <t>OFTALMOCENTER LTDA</t>
  </si>
  <si>
    <t>CONTRATACION DIRECTA 142-2018</t>
  </si>
  <si>
    <t>DORA CAROLINA ORDUY</t>
  </si>
  <si>
    <t>CALLE 97 # 93-37</t>
  </si>
  <si>
    <t>6426033</t>
  </si>
  <si>
    <t>gerencia@oftalmocenter.com.co</t>
  </si>
  <si>
    <t>900,159,763-1</t>
  </si>
  <si>
    <t>1339-2018</t>
  </si>
  <si>
    <t>1366-2018</t>
  </si>
  <si>
    <t>CONTRATACION DIRECTA 138-2018</t>
  </si>
  <si>
    <t>PRESTACION DE SERVICIOS PROFESIONALES PARA EL SERVICIO MEDICO DEL GRUPO DE HOSPITALIZACION DEL HOSPITAL MILITAR CENTRAL</t>
  </si>
  <si>
    <t>1464-2018</t>
  </si>
  <si>
    <t>PRESTACION DE SERVICIOS DE PERSONAL MEDICO ESPECIALIZADO PARA EL SERVICIO DE OFTALMOLOGIA  DEL HOSPITAL MILITAR CENTRAL</t>
  </si>
  <si>
    <t>1362-2018</t>
  </si>
  <si>
    <t>PRESTACION DE SERVICIOS PROFESIONALES Y DE APOYO A LA GESTION ESPECIALIZADOS EN EL SERVICIO DE CIRUGIA GENERAL DEL HOSPITAL MILITAR CENTRAL</t>
  </si>
  <si>
    <t>CONTRATACION DIRECTA 131-2018</t>
  </si>
  <si>
    <t>gerencia@elite.com.co</t>
  </si>
  <si>
    <t>maika.ramirez@quirumedicas.com.co</t>
  </si>
  <si>
    <t>blinares@proasepsis.com</t>
  </si>
  <si>
    <t>licitaciones@renelly.com</t>
  </si>
  <si>
    <t>LA PRESTACION DE LOS SERVICIOS PROFESIONALES  Y DE APOYO A LA GESTION PARA EL SERVICIO DE NEUROCIENCIAS DEL HOSPITAL MILITAR CENTRAL, CON EL FIN DE DAR ATENCION A LAS NECESIDADES DE CONSULTA EXTERNA Y ATENCION PRIORITARIA QUE SE PRESENTE EN EL SERVICIO DE URGENCIAS DEL HOSPITAL MILITAR CENTRAL Y A SU VEZ DE PACIENTES HOSPITALIZADOS, SITUACIONES ENMARCADAS DENTRO DE LOS PRECEPTOS DE CALIDAD ASISTENCIAL, ETICA, DOCENCIA E INVSTIGACION Y GESTION ADMINISTRATIVA EN LAS INSTALACIONES DEL HOSPITAL MILITAR CENTRAL</t>
  </si>
  <si>
    <t>2116654</t>
  </si>
  <si>
    <t>1365-GE-2018</t>
  </si>
  <si>
    <t>MANTENIMIENTO PREVENTIVO Y CORRECTIVO QUE SEAN NECESARIOS INCLUYENDO REPUESTOS ORIGINALES Y NUEVOS NO REMANOFACTURADOS PARA LOS EQUIPOS DE MARCA GENRAL ELECTRIC (ECOCARDIOGRAFOS Y DENSITROMETROS ) DE LOS SERVICIOS DE CARDIOLOGÍA CLINICA UROLOGIA Y DENSITOMETRIA DEL HOSPITAL MILITAR</t>
  </si>
  <si>
    <t>GE HEALTHCARE</t>
  </si>
  <si>
    <t>CONTRATACION DIRECTA 069-2018</t>
  </si>
  <si>
    <t>CARLOS CASTRO</t>
  </si>
  <si>
    <t>CARRERA 72nO.80-94</t>
  </si>
  <si>
    <t>900,757,947-3</t>
  </si>
  <si>
    <t>PRESTACION DE SERVICIOS PROFESIONALES</t>
  </si>
  <si>
    <t xml:space="preserve">SUMINISTRO </t>
  </si>
  <si>
    <t>PRESTACION DE SERVICIOS PROFESIONALES, INCLUIDO SUMINISTRO DE INSUMOS PARA PROCEDIMIENTOS EN EL SERVICIO DE ELECTROFISIOLOGIA DEL HOSPITAL MILITAR CENTRAL</t>
  </si>
  <si>
    <t>MANTENIMIENTO PREVENTIVO Y CORRECTIVO INCLUIDO REPUESTOS NUEVOS NO REMANUFACTURADOS AL CIRCUITO CERRADO DE TELEVISION DEL HOSPITAL MILITAR CENTRAL</t>
  </si>
  <si>
    <t>PRESTACION DE SERVICIOS Y MANTENIMIENTO</t>
  </si>
  <si>
    <t>MANTENIMIENTO PREVENTIVO Y CORRECTICO INCLUIDO RESPUESTOS PARA EQUIPOS BIOMEDICOS MARCA CARLS ZEIS  (MICROSCOPIOS, TOMOGRAFO ) Y OTROS</t>
  </si>
  <si>
    <t>1303-2018</t>
  </si>
  <si>
    <t>CIRUGESP LTDA</t>
  </si>
  <si>
    <t>1426-2018</t>
  </si>
  <si>
    <t xml:space="preserve">ARRENDAMIENTO  DE AREAS FISICAS PARA LAS UNIDADES DE FARMACIA PARA </t>
  </si>
  <si>
    <t>CONTRATACION DIRECTA  112-2018</t>
  </si>
  <si>
    <t>PRESTACION DE SERVICIOS PRFESIONALES DE MEDICOS ESPECIALISTAS EN MEDICINA DE URGENCIAS Y EMERGENCIAS PARA EL AREA DE URGENCIAS DEL HOSPITAL MILITAR CENTRAL</t>
  </si>
  <si>
    <t>900789891</t>
  </si>
  <si>
    <t>CARRERA 9 A No 17-55 SUR PISO 2</t>
  </si>
  <si>
    <t>COR-MED@HOTMAIL.com</t>
  </si>
  <si>
    <t>PRESTACION DE SERVICIOS Y DE APOYO A LA GESTION ESPECIALIZADOS EN EL SERVICIO DE ORTOPEDIA Y TRAUMATOLOGIA EN URGENCIAS DEL HOSPITAL MILITAR CENTRAL</t>
  </si>
  <si>
    <t>MIGUEL ANGEL GUTIERREZ</t>
  </si>
  <si>
    <t>JOHN EDWIN VEGA</t>
  </si>
  <si>
    <t>CONTROL SISTEMAS COMUNICACIONES</t>
  </si>
  <si>
    <t>VALOR INICIAL DEL CONTRATO</t>
  </si>
  <si>
    <t>LILIANA GOMEZ SANTOFIMIO - ANTONIO MELO SANTANDER  ANDRES COLLAZOS</t>
  </si>
  <si>
    <t>ANDRES COLLAZOS</t>
  </si>
  <si>
    <t>SANDRA CELIS - MARIO MENA BEJARANO - LIESEL RAMIREZ</t>
  </si>
  <si>
    <t>JORGE ENRIQUE ECHEVERRY GUZMAN</t>
  </si>
  <si>
    <t>JUAN CARLOS LUQUE</t>
  </si>
  <si>
    <t>VALOR REDUCCION</t>
  </si>
  <si>
    <t>VALOR ADICION</t>
  </si>
  <si>
    <t xml:space="preserve">GIOVANNY ANDRES PORRAS - ADRIANA MARIÑO - LIESEL RAMIREZ </t>
  </si>
  <si>
    <t>RAMON BUENO</t>
  </si>
  <si>
    <t>LUIS FERNANDO NUÑEZ</t>
  </si>
  <si>
    <t>DOCTOR EDUARDO MEDINA</t>
  </si>
  <si>
    <t>DR MIGUEL ANGEL LUENGAS</t>
  </si>
  <si>
    <t>CT KATHERINE CASTRO</t>
  </si>
  <si>
    <t>VALOR TOTAL</t>
  </si>
  <si>
    <t>CONTRATACION DE SERVICIOS PROFESIONALES DE RADIOLOGIA URGENCIAS PARA EL SERVICIO DE IMÁGENES DIAGNOSTICAS</t>
  </si>
  <si>
    <t>ARRENDAMIENTO DE LAS AREAS FISICAS ASIGNADAS AL ALIADO ESTRATEGICO UT ALIMENTOS Y SERVICIOS PARA EFECTUAR LAS ACTIVIDADES RELACIONADAS CON EL SUMINISTRO DE ALIMENTACION A APACIENTES HOSPITALIZADOS Y MEDICOS RESIDENTES E INTERNOS DEL HOSPITAL MILITAR CENTRAL ´PARA LOS USUARIOS DEL HOSPITAL MILITAR CENTRAL</t>
  </si>
  <si>
    <t>EDUARDO MEDINA DIAZ</t>
  </si>
  <si>
    <t>LILIAN CONSUELO MUÑOZ MARRUGO</t>
  </si>
  <si>
    <t>JEFE MARTHA RODRIGUEZ FIGUEROA</t>
  </si>
  <si>
    <t>JEFE MARTHA ROMERO</t>
  </si>
  <si>
    <t>DORA ESPERANZA ROMERO CALDERON</t>
  </si>
  <si>
    <t>JULIANA MARIA ORDOÑEZ</t>
  </si>
  <si>
    <t xml:space="preserve">LUIS FERNEY RAYO ROJAS - ADRIANA MARIÑO - LIESEL RAMIREZ </t>
  </si>
  <si>
    <t>CARLOS FERNANDO CADENA MARTINEZ</t>
  </si>
  <si>
    <t>RICARDO SILVA RUEDA</t>
  </si>
  <si>
    <t>OSCAR EDUARDO SOSSA MENDOZA</t>
  </si>
  <si>
    <t>SANDRA PATRICIA GALEANO NAVARRO</t>
  </si>
  <si>
    <t>MAYOR LIGIA ROCIO MENDEZ GAVIRIA</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</si>
</sst>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quot;* #,##0_-;\-&quot;$&quot;* #,##0_-;_-&quot;$&quot;* &quot;-&quot;_-;_-@_-"/>
    <numFmt numFmtId="165" formatCode="_-&quot;$&quot;* #,##0.00_-;\-&quot;$&quot;* #,##0.00_-;_-&quot;$&quot;* &quot;-&quot;??_-;_-@_-"/>
    <numFmt numFmtId="166" formatCode="[$$-240A]\ #,##0"/>
    <numFmt numFmtId="167" formatCode="&quot;$&quot;\ #,##0"/>
    <numFmt numFmtId="168" formatCode="dd/mm/yyyy;@"/>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u/>
      <sz val="10"/>
      <color theme="10"/>
      <name val="Calibri"/>
      <family val="2"/>
      <scheme val="minor"/>
    </font>
    <font>
      <b/>
      <sz val="10"/>
      <color rgb="FFFF0000"/>
      <name val="Calibri"/>
      <family val="2"/>
      <scheme val="minor"/>
    </font>
    <font>
      <sz val="10"/>
      <color rgb="FFFF0000"/>
      <name val="Calibri"/>
      <family val="2"/>
      <scheme val="minor"/>
    </font>
    <font>
      <u/>
      <sz val="10"/>
      <color theme="10"/>
      <name val="Calibri"/>
      <family val="2"/>
    </font>
    <font>
      <b/>
      <sz val="9"/>
      <color indexed="81"/>
      <name val="Tahoma"/>
      <family val="2"/>
    </font>
  </fonts>
  <fills count="6">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FF00"/>
        <bgColor indexed="64"/>
      </patternFill>
    </fill>
  </fills>
  <borders count="14">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50">
    <xf numFmtId="0" fontId="0" fillId="0" borderId="0" xfId="0"/>
    <xf numFmtId="0" fontId="6" fillId="0" borderId="0" xfId="0" applyFont="1"/>
    <xf numFmtId="167" fontId="6" fillId="2" borderId="11" xfId="1" applyNumberFormat="1" applyFont="1" applyFill="1" applyBorder="1" applyAlignment="1">
      <alignment horizontal="center" vertical="center"/>
    </xf>
    <xf numFmtId="167" fontId="6" fillId="2" borderId="12" xfId="0" applyNumberFormat="1" applyFont="1" applyFill="1" applyBorder="1" applyAlignment="1">
      <alignment horizontal="center" vertical="center" wrapText="1"/>
    </xf>
    <xf numFmtId="0" fontId="6" fillId="0" borderId="11" xfId="0" applyFont="1" applyBorder="1" applyAlignment="1">
      <alignment horizontal="center" vertical="center" wrapText="1"/>
    </xf>
    <xf numFmtId="14" fontId="6" fillId="0" borderId="12" xfId="0" applyNumberFormat="1" applyFont="1" applyBorder="1" applyAlignment="1">
      <alignment horizontal="center" vertical="center" wrapText="1"/>
    </xf>
    <xf numFmtId="0" fontId="6" fillId="0" borderId="12" xfId="0" applyFont="1" applyBorder="1" applyAlignment="1">
      <alignment horizontal="center" vertical="center" wrapText="1"/>
    </xf>
    <xf numFmtId="49" fontId="6" fillId="2" borderId="12" xfId="0" applyNumberFormat="1" applyFont="1" applyFill="1" applyBorder="1" applyAlignment="1">
      <alignment horizontal="center" vertical="center" wrapText="1"/>
    </xf>
    <xf numFmtId="49" fontId="5" fillId="2" borderId="12" xfId="0" applyNumberFormat="1" applyFont="1" applyFill="1" applyBorder="1" applyAlignment="1">
      <alignment horizontal="center" vertical="center" wrapText="1"/>
    </xf>
    <xf numFmtId="167" fontId="6" fillId="2" borderId="12" xfId="1" applyNumberFormat="1" applyFont="1" applyFill="1" applyBorder="1" applyAlignment="1">
      <alignment horizontal="center" vertical="center"/>
    </xf>
    <xf numFmtId="168" fontId="6" fillId="3" borderId="12" xfId="0" applyNumberFormat="1" applyFont="1" applyFill="1" applyBorder="1" applyAlignment="1">
      <alignment horizontal="center" vertical="center" wrapText="1"/>
    </xf>
    <xf numFmtId="14" fontId="6" fillId="3" borderId="12" xfId="0" applyNumberFormat="1" applyFont="1" applyFill="1" applyBorder="1" applyAlignment="1">
      <alignment horizontal="center" vertical="center" wrapText="1"/>
    </xf>
    <xf numFmtId="49" fontId="7" fillId="2" borderId="12" xfId="2" applyNumberFormat="1" applyFont="1" applyFill="1" applyBorder="1" applyAlignment="1" applyProtection="1">
      <alignment horizontal="center" vertical="center" wrapText="1"/>
    </xf>
    <xf numFmtId="49" fontId="8" fillId="2" borderId="12" xfId="0" applyNumberFormat="1" applyFont="1" applyFill="1" applyBorder="1" applyAlignment="1">
      <alignment horizontal="center" vertical="center" wrapText="1"/>
    </xf>
    <xf numFmtId="167" fontId="9" fillId="2" borderId="12" xfId="1" applyNumberFormat="1" applyFont="1" applyFill="1" applyBorder="1" applyAlignment="1">
      <alignment horizontal="center" vertical="center"/>
    </xf>
    <xf numFmtId="49" fontId="6" fillId="2" borderId="12" xfId="0" applyNumberFormat="1" applyFont="1" applyFill="1" applyBorder="1" applyAlignment="1">
      <alignment horizontal="justify" vertical="center" wrapText="1"/>
    </xf>
    <xf numFmtId="49" fontId="6" fillId="2" borderId="12" xfId="0" applyNumberFormat="1" applyFont="1" applyFill="1" applyBorder="1" applyAlignment="1">
      <alignment vertical="center" wrapText="1"/>
    </xf>
    <xf numFmtId="0" fontId="6" fillId="2" borderId="12" xfId="0" applyFont="1" applyFill="1" applyBorder="1" applyAlignment="1">
      <alignment horizontal="center" vertical="center" wrapText="1"/>
    </xf>
    <xf numFmtId="14" fontId="6" fillId="2" borderId="12" xfId="0" applyNumberFormat="1" applyFont="1" applyFill="1" applyBorder="1" applyAlignment="1">
      <alignment horizontal="center" vertical="center" wrapText="1"/>
    </xf>
    <xf numFmtId="49" fontId="10" fillId="2" borderId="12" xfId="2" applyNumberFormat="1" applyFont="1" applyFill="1" applyBorder="1" applyAlignment="1" applyProtection="1">
      <alignment horizontal="center" vertical="center" wrapText="1"/>
    </xf>
    <xf numFmtId="49" fontId="2" fillId="2" borderId="12" xfId="2" applyNumberFormat="1" applyFill="1" applyBorder="1" applyAlignment="1" applyProtection="1">
      <alignment horizontal="center" vertical="center" wrapText="1"/>
    </xf>
    <xf numFmtId="0" fontId="6" fillId="0" borderId="12" xfId="0" applyFont="1" applyFill="1" applyBorder="1" applyAlignment="1">
      <alignment horizontal="center" vertical="center" wrapText="1"/>
    </xf>
    <xf numFmtId="167" fontId="6" fillId="2" borderId="12" xfId="1" applyNumberFormat="1" applyFont="1" applyFill="1" applyBorder="1" applyAlignment="1">
      <alignment horizontal="center" vertical="center" wrapText="1"/>
    </xf>
    <xf numFmtId="167" fontId="8" fillId="2" borderId="12" xfId="1" applyNumberFormat="1" applyFont="1" applyFill="1" applyBorder="1" applyAlignment="1">
      <alignment horizontal="center" vertical="center"/>
    </xf>
    <xf numFmtId="167" fontId="8" fillId="2" borderId="12" xfId="1" applyNumberFormat="1" applyFont="1" applyFill="1" applyBorder="1" applyAlignment="1">
      <alignment horizontal="center" vertical="center" wrapText="1"/>
    </xf>
    <xf numFmtId="167" fontId="5" fillId="2" borderId="12" xfId="0" applyNumberFormat="1" applyFont="1" applyFill="1" applyBorder="1" applyAlignment="1">
      <alignment horizontal="center" vertical="center" wrapText="1"/>
    </xf>
    <xf numFmtId="0" fontId="6" fillId="4" borderId="0" xfId="0" applyFont="1" applyFill="1"/>
    <xf numFmtId="166" fontId="4" fillId="4" borderId="10" xfId="0" applyNumberFormat="1" applyFont="1" applyFill="1" applyBorder="1" applyAlignment="1">
      <alignment horizontal="center" vertical="center" wrapText="1"/>
    </xf>
    <xf numFmtId="167" fontId="5" fillId="4" borderId="10" xfId="1" applyNumberFormat="1" applyFont="1" applyFill="1" applyBorder="1" applyAlignment="1">
      <alignment horizontal="center" vertical="center" wrapText="1"/>
    </xf>
    <xf numFmtId="4" fontId="4" fillId="4" borderId="10"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0" fontId="4" fillId="4" borderId="10" xfId="0" applyNumberFormat="1" applyFont="1" applyFill="1" applyBorder="1" applyAlignment="1">
      <alignment horizontal="center" vertical="center" wrapText="1"/>
    </xf>
    <xf numFmtId="49" fontId="4" fillId="4" borderId="10" xfId="0" applyNumberFormat="1" applyFont="1" applyFill="1" applyBorder="1" applyAlignment="1">
      <alignment horizontal="center" vertical="center" wrapText="1"/>
    </xf>
    <xf numFmtId="167" fontId="5" fillId="4" borderId="6" xfId="1" applyNumberFormat="1" applyFont="1" applyFill="1" applyBorder="1" applyAlignment="1">
      <alignment horizontal="center" vertical="center" wrapText="1"/>
    </xf>
    <xf numFmtId="164" fontId="6" fillId="2" borderId="11" xfId="1" applyNumberFormat="1" applyFont="1" applyFill="1" applyBorder="1" applyAlignment="1">
      <alignment horizontal="center" vertical="center"/>
    </xf>
    <xf numFmtId="167" fontId="5" fillId="2" borderId="12" xfId="1" applyNumberFormat="1" applyFont="1" applyFill="1" applyBorder="1" applyAlignment="1">
      <alignment horizontal="center" vertical="center"/>
    </xf>
    <xf numFmtId="4" fontId="4" fillId="4" borderId="5" xfId="0" applyNumberFormat="1" applyFont="1" applyFill="1" applyBorder="1" applyAlignment="1">
      <alignment horizontal="center" vertical="center" wrapText="1"/>
    </xf>
    <xf numFmtId="14" fontId="9" fillId="5" borderId="12"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0" fontId="5" fillId="4" borderId="6" xfId="0" applyFont="1" applyFill="1" applyBorder="1" applyAlignment="1">
      <alignment horizontal="center"/>
    </xf>
    <xf numFmtId="0" fontId="5" fillId="4" borderId="3" xfId="0" applyFont="1" applyFill="1" applyBorder="1" applyAlignment="1">
      <alignment horizontal="center"/>
    </xf>
    <xf numFmtId="166" fontId="4" fillId="4" borderId="3"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13" xfId="0" applyNumberFormat="1" applyFont="1" applyFill="1" applyBorder="1" applyAlignment="1">
      <alignment horizontal="center" vertical="center" wrapText="1"/>
    </xf>
    <xf numFmtId="4" fontId="4" fillId="4" borderId="5"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jomedical@jomedical.com" TargetMode="External"/><Relationship Id="rId117" Type="http://schemas.openxmlformats.org/officeDocument/2006/relationships/printerSettings" Target="../printerSettings/printerSettings1.bin"/><Relationship Id="rId21" Type="http://schemas.openxmlformats.org/officeDocument/2006/relationships/hyperlink" Target="mailto:expertosingenieros@hotmail.com" TargetMode="External"/><Relationship Id="rId42" Type="http://schemas.openxmlformats.org/officeDocument/2006/relationships/hyperlink" Target="mailto:licitaciones.col@bd.com" TargetMode="External"/><Relationship Id="rId47" Type="http://schemas.openxmlformats.org/officeDocument/2006/relationships/hyperlink" Target="mailto:Ctorogar@its.jnj.com" TargetMode="External"/><Relationship Id="rId63" Type="http://schemas.openxmlformats.org/officeDocument/2006/relationships/hyperlink" Target="mailto:diana.rubio@siemens-healthineers.com" TargetMode="External"/><Relationship Id="rId68" Type="http://schemas.openxmlformats.org/officeDocument/2006/relationships/hyperlink" Target="mailto:comercial@mmequiposmedicos.com.co" TargetMode="External"/><Relationship Id="rId84" Type="http://schemas.openxmlformats.org/officeDocument/2006/relationships/hyperlink" Target="mailto:catherine.guarin@cirec.org" TargetMode="External"/><Relationship Id="rId89" Type="http://schemas.openxmlformats.org/officeDocument/2006/relationships/hyperlink" Target="mailto:MAROSEARCHLTDA@YAHOO.COM" TargetMode="External"/><Relationship Id="rId112" Type="http://schemas.openxmlformats.org/officeDocument/2006/relationships/hyperlink" Target="mailto:aslicitacion2@lminstruments.com.co" TargetMode="External"/><Relationship Id="rId16" Type="http://schemas.openxmlformats.org/officeDocument/2006/relationships/hyperlink" Target="http://www.sherleg.com/" TargetMode="External"/><Relationship Id="rId107" Type="http://schemas.openxmlformats.org/officeDocument/2006/relationships/hyperlink" Target="mailto:luisa_quintero@baxter.com" TargetMode="External"/><Relationship Id="rId11" Type="http://schemas.openxmlformats.org/officeDocument/2006/relationships/hyperlink" Target="mailto:CORPORACIONCORSABI@GMAIL.COM" TargetMode="External"/><Relationship Id="rId32" Type="http://schemas.openxmlformats.org/officeDocument/2006/relationships/hyperlink" Target="mailto:administratcion@hemato-oncologos.com" TargetMode="External"/><Relationship Id="rId37" Type="http://schemas.openxmlformats.org/officeDocument/2006/relationships/hyperlink" Target="mailto:proyectos@cscltda.com" TargetMode="External"/><Relationship Id="rId53" Type="http://schemas.openxmlformats.org/officeDocument/2006/relationships/hyperlink" Target="mailto:contratacion@gemedco.com" TargetMode="External"/><Relationship Id="rId58" Type="http://schemas.openxmlformats.org/officeDocument/2006/relationships/hyperlink" Target="mailto:asistentecomercial@prokontrol.com.co" TargetMode="External"/><Relationship Id="rId74" Type="http://schemas.openxmlformats.org/officeDocument/2006/relationships/hyperlink" Target="mailto:flor.quintero@grupoamarey.com" TargetMode="External"/><Relationship Id="rId79" Type="http://schemas.openxmlformats.org/officeDocument/2006/relationships/hyperlink" Target="mailto:ventas@annardx.com" TargetMode="External"/><Relationship Id="rId102" Type="http://schemas.openxmlformats.org/officeDocument/2006/relationships/hyperlink" Target="mailto:jhon.tellez@convatec.com" TargetMode="External"/><Relationship Id="rId5" Type="http://schemas.openxmlformats.org/officeDocument/2006/relationships/hyperlink" Target="mailto:medirhbcolsa@gmail.com" TargetMode="External"/><Relationship Id="rId90" Type="http://schemas.openxmlformats.org/officeDocument/2006/relationships/hyperlink" Target="mailto:michelle.vasquez@roche.com" TargetMode="External"/><Relationship Id="rId95" Type="http://schemas.openxmlformats.org/officeDocument/2006/relationships/hyperlink" Target="mailto:corp-med@hotmail.com" TargetMode="External"/><Relationship Id="rId22" Type="http://schemas.openxmlformats.org/officeDocument/2006/relationships/hyperlink" Target="mailto:visioncorp7@gmail.com" TargetMode="External"/><Relationship Id="rId27" Type="http://schemas.openxmlformats.org/officeDocument/2006/relationships/hyperlink" Target="mailto:comercial@equitronic.com.co" TargetMode="External"/><Relationship Id="rId43" Type="http://schemas.openxmlformats.org/officeDocument/2006/relationships/hyperlink" Target="mailto:rodriguez.sandra@abbott.com" TargetMode="External"/><Relationship Id="rId48" Type="http://schemas.openxmlformats.org/officeDocument/2006/relationships/hyperlink" Target="mailto:rcuello@mmm.com" TargetMode="External"/><Relationship Id="rId64" Type="http://schemas.openxmlformats.org/officeDocument/2006/relationships/hyperlink" Target="mailto:patricia@bioplastsa.com" TargetMode="External"/><Relationship Id="rId69" Type="http://schemas.openxmlformats.org/officeDocument/2006/relationships/hyperlink" Target="mailto:cverdiguer@quirurgicosltda.com" TargetMode="External"/><Relationship Id="rId113" Type="http://schemas.openxmlformats.org/officeDocument/2006/relationships/hyperlink" Target="mailto:adriana.santana@draeger.com" TargetMode="External"/><Relationship Id="rId118" Type="http://schemas.openxmlformats.org/officeDocument/2006/relationships/vmlDrawing" Target="../drawings/vmlDrawing1.vml"/><Relationship Id="rId80" Type="http://schemas.openxmlformats.org/officeDocument/2006/relationships/hyperlink" Target="mailto:rodriguez.sandra@abbott.com" TargetMode="External"/><Relationship Id="rId85" Type="http://schemas.openxmlformats.org/officeDocument/2006/relationships/hyperlink" Target="mailto:servidiagnostics@gmail.com" TargetMode="External"/><Relationship Id="rId12" Type="http://schemas.openxmlformats.org/officeDocument/2006/relationships/hyperlink" Target="mailto:jorgecanon@pharmeuropea.com" TargetMode="External"/><Relationship Id="rId17" Type="http://schemas.openxmlformats.org/officeDocument/2006/relationships/hyperlink" Target="mailto:MAURICIO.ESCOBAR@KCII.COM" TargetMode="External"/><Relationship Id="rId33" Type="http://schemas.openxmlformats.org/officeDocument/2006/relationships/hyperlink" Target="mailto:colprocorp@hotmail.com" TargetMode="External"/><Relationship Id="rId38" Type="http://schemas.openxmlformats.org/officeDocument/2006/relationships/hyperlink" Target="mailto:fundarritmia@gmail.com" TargetMode="External"/><Relationship Id="rId59" Type="http://schemas.openxmlformats.org/officeDocument/2006/relationships/hyperlink" Target="mailto:corporativo@tmmedicas.com" TargetMode="External"/><Relationship Id="rId103" Type="http://schemas.openxmlformats.org/officeDocument/2006/relationships/hyperlink" Target="mailto:rcuello@mmm.com" TargetMode="External"/><Relationship Id="rId108" Type="http://schemas.openxmlformats.org/officeDocument/2006/relationships/hyperlink" Target="mailto:licitaciones@tecnicaelectromedica.com" TargetMode="External"/><Relationship Id="rId54" Type="http://schemas.openxmlformats.org/officeDocument/2006/relationships/hyperlink" Target="mailto:gerencia@biotronitech.com.co" TargetMode="External"/><Relationship Id="rId70" Type="http://schemas.openxmlformats.org/officeDocument/2006/relationships/hyperlink" Target="mailto:comercial@bioclinicos.com" TargetMode="External"/><Relationship Id="rId75" Type="http://schemas.openxmlformats.org/officeDocument/2006/relationships/hyperlink" Target="mailto:angelica.huertas@kci1.com" TargetMode="External"/><Relationship Id="rId91" Type="http://schemas.openxmlformats.org/officeDocument/2006/relationships/hyperlink" Target="mailto:CIRUGESP.LTDA@YAHOO.ES" TargetMode="External"/><Relationship Id="rId96" Type="http://schemas.openxmlformats.org/officeDocument/2006/relationships/hyperlink" Target="mailto:corp-med@hotmail.com" TargetMode="External"/><Relationship Id="rId1" Type="http://schemas.openxmlformats.org/officeDocument/2006/relationships/hyperlink" Target="mailto:corp-med@hotmail.com" TargetMode="External"/><Relationship Id="rId6" Type="http://schemas.openxmlformats.org/officeDocument/2006/relationships/hyperlink" Target="mailto:grentecomercial@fjsb.com.co" TargetMode="External"/><Relationship Id="rId23" Type="http://schemas.openxmlformats.org/officeDocument/2006/relationships/hyperlink" Target="mailto:copr-med@hotmail.com" TargetMode="External"/><Relationship Id="rId28" Type="http://schemas.openxmlformats.org/officeDocument/2006/relationships/hyperlink" Target="mailto:luis.uribe@selgad.com" TargetMode="External"/><Relationship Id="rId49" Type="http://schemas.openxmlformats.org/officeDocument/2006/relationships/hyperlink" Target="mailto:ruth.isnlda.gaviria@medtronic.com" TargetMode="External"/><Relationship Id="rId114" Type="http://schemas.openxmlformats.org/officeDocument/2006/relationships/hyperlink" Target="mailto:contratacion@gemedco.com" TargetMode="External"/><Relationship Id="rId119" Type="http://schemas.openxmlformats.org/officeDocument/2006/relationships/comments" Target="../comments1.xml"/><Relationship Id="rId10" Type="http://schemas.openxmlformats.org/officeDocument/2006/relationships/hyperlink" Target="mailto:ASOCIACIONAMECRI@HOTMAIL.COM" TargetMode="External"/><Relationship Id="rId31" Type="http://schemas.openxmlformats.org/officeDocument/2006/relationships/hyperlink" Target="mailto:aslicitacion2@lminstruments.com.co" TargetMode="External"/><Relationship Id="rId44" Type="http://schemas.openxmlformats.org/officeDocument/2006/relationships/hyperlink" Target="mailto:biocient@outlook.com" TargetMode="External"/><Relationship Id="rId52" Type="http://schemas.openxmlformats.org/officeDocument/2006/relationships/hyperlink" Target="mailto:aslicitacion2@lminstruments.com.co" TargetMode="External"/><Relationship Id="rId60" Type="http://schemas.openxmlformats.org/officeDocument/2006/relationships/hyperlink" Target="mailto:mangel@vygon.com.co" TargetMode="External"/><Relationship Id="rId65" Type="http://schemas.openxmlformats.org/officeDocument/2006/relationships/hyperlink" Target="mailto:info@surgicon.com.co" TargetMode="External"/><Relationship Id="rId73" Type="http://schemas.openxmlformats.org/officeDocument/2006/relationships/hyperlink" Target="mailto:licitaciones@medirexsas.com" TargetMode="External"/><Relationship Id="rId78" Type="http://schemas.openxmlformats.org/officeDocument/2006/relationships/hyperlink" Target="mailto:viviana.quintana@quimberlab.com.co" TargetMode="External"/><Relationship Id="rId81" Type="http://schemas.openxmlformats.org/officeDocument/2006/relationships/hyperlink" Target="mailto:biolore@hotmail.com" TargetMode="External"/><Relationship Id="rId86" Type="http://schemas.openxmlformats.org/officeDocument/2006/relationships/hyperlink" Target="mailto:emiut2019@gmail.com" TargetMode="External"/><Relationship Id="rId94" Type="http://schemas.openxmlformats.org/officeDocument/2006/relationships/hyperlink" Target="mailto:COR-MED@HOTMAIL.com" TargetMode="External"/><Relationship Id="rId99" Type="http://schemas.openxmlformats.org/officeDocument/2006/relationships/hyperlink" Target="mailto:ruth.isnlda.gaviria@medtronic.com" TargetMode="External"/><Relationship Id="rId101" Type="http://schemas.openxmlformats.org/officeDocument/2006/relationships/hyperlink" Target="mailto:maika.ramirez@quirumedicas.com.co" TargetMode="External"/><Relationship Id="rId4" Type="http://schemas.openxmlformats.org/officeDocument/2006/relationships/hyperlink" Target="mailto:ASOCIACION-ASA@HOTMAIL.COM" TargetMode="External"/><Relationship Id="rId9" Type="http://schemas.openxmlformats.org/officeDocument/2006/relationships/hyperlink" Target="mailto:sandramoralesch@gmail.com" TargetMode="External"/><Relationship Id="rId13" Type="http://schemas.openxmlformats.org/officeDocument/2006/relationships/hyperlink" Target="mailto:veyalthigroup@yahoo.com" TargetMode="External"/><Relationship Id="rId18" Type="http://schemas.openxmlformats.org/officeDocument/2006/relationships/hyperlink" Target="mailto:corp-med@hotmail.com" TargetMode="External"/><Relationship Id="rId39" Type="http://schemas.openxmlformats.org/officeDocument/2006/relationships/hyperlink" Target="mailto:corp-med@hotmail.com" TargetMode="External"/><Relationship Id="rId109" Type="http://schemas.openxmlformats.org/officeDocument/2006/relationships/hyperlink" Target="mailto:blinares@proasepsis.com" TargetMode="External"/><Relationship Id="rId34" Type="http://schemas.openxmlformats.org/officeDocument/2006/relationships/hyperlink" Target="mailto:corp-med@hotmail.com" TargetMode="External"/><Relationship Id="rId50" Type="http://schemas.openxmlformats.org/officeDocument/2006/relationships/hyperlink" Target="mailto:gerencia@artiumsalud.com" TargetMode="External"/><Relationship Id="rId55" Type="http://schemas.openxmlformats.org/officeDocument/2006/relationships/hyperlink" Target="mailto:mateo.rodriguez@bsci.com" TargetMode="External"/><Relationship Id="rId76" Type="http://schemas.openxmlformats.org/officeDocument/2006/relationships/hyperlink" Target="mailto:luisa_quintero@baxter.com" TargetMode="External"/><Relationship Id="rId97" Type="http://schemas.openxmlformats.org/officeDocument/2006/relationships/hyperlink" Target="mailto:gerencia@elite.com.co" TargetMode="External"/><Relationship Id="rId104" Type="http://schemas.openxmlformats.org/officeDocument/2006/relationships/hyperlink" Target="mailto:ordenesysuministros@outlook.com" TargetMode="External"/><Relationship Id="rId7" Type="http://schemas.openxmlformats.org/officeDocument/2006/relationships/hyperlink" Target="mailto:asceca@hotmail.com" TargetMode="External"/><Relationship Id="rId71" Type="http://schemas.openxmlformats.org/officeDocument/2006/relationships/hyperlink" Target="mailto:servicioalcliente@ctpmedica.com" TargetMode="External"/><Relationship Id="rId92" Type="http://schemas.openxmlformats.org/officeDocument/2006/relationships/hyperlink" Target="mailto:licitaciones.col@bd.com" TargetMode="External"/><Relationship Id="rId2" Type="http://schemas.openxmlformats.org/officeDocument/2006/relationships/hyperlink" Target="mailto:visioncorp7@gmail.com" TargetMode="External"/><Relationship Id="rId29" Type="http://schemas.openxmlformats.org/officeDocument/2006/relationships/hyperlink" Target="mailto:elina.castro@gbarco.com.co" TargetMode="External"/><Relationship Id="rId24" Type="http://schemas.openxmlformats.org/officeDocument/2006/relationships/hyperlink" Target="mailto:CORPEDIMIL@GMAIL.COM" TargetMode="External"/><Relationship Id="rId40" Type="http://schemas.openxmlformats.org/officeDocument/2006/relationships/hyperlink" Target="mailto:oymmedicossas@gmail.com" TargetMode="External"/><Relationship Id="rId45" Type="http://schemas.openxmlformats.org/officeDocument/2006/relationships/hyperlink" Target="mailto:ventas@labcarecolombia.com" TargetMode="External"/><Relationship Id="rId66" Type="http://schemas.openxmlformats.org/officeDocument/2006/relationships/hyperlink" Target="mailto:gerenciainstituciones@alfratrading.com.co" TargetMode="External"/><Relationship Id="rId87" Type="http://schemas.openxmlformats.org/officeDocument/2006/relationships/hyperlink" Target="mailto:ventas@labcarecolombia.com" TargetMode="External"/><Relationship Id="rId110" Type="http://schemas.openxmlformats.org/officeDocument/2006/relationships/hyperlink" Target="mailto:biolore@hotmail.com" TargetMode="External"/><Relationship Id="rId115" Type="http://schemas.openxmlformats.org/officeDocument/2006/relationships/hyperlink" Target="mailto:ealandete@gmail.com" TargetMode="External"/><Relationship Id="rId61" Type="http://schemas.openxmlformats.org/officeDocument/2006/relationships/hyperlink" Target="mailto:gustavo.rodriguez@wlorenz.com.co" TargetMode="External"/><Relationship Id="rId82" Type="http://schemas.openxmlformats.org/officeDocument/2006/relationships/hyperlink" Target="mailto:licitaciones.col@bd.com" TargetMode="External"/><Relationship Id="rId19" Type="http://schemas.openxmlformats.org/officeDocument/2006/relationships/hyperlink" Target="mailto:ingebombas@hotmail.com" TargetMode="External"/><Relationship Id="rId14" Type="http://schemas.openxmlformats.org/officeDocument/2006/relationships/hyperlink" Target="mailto:gcmaria@lifesumimed.com" TargetMode="External"/><Relationship Id="rId30" Type="http://schemas.openxmlformats.org/officeDocument/2006/relationships/hyperlink" Target="mailto:soportec@kaika.com.co" TargetMode="External"/><Relationship Id="rId35" Type="http://schemas.openxmlformats.org/officeDocument/2006/relationships/hyperlink" Target="mailto:cardiolatidosas@gmail.com" TargetMode="External"/><Relationship Id="rId56" Type="http://schemas.openxmlformats.org/officeDocument/2006/relationships/hyperlink" Target="mailto:servicioalcliente@fm-colombia.com" TargetMode="External"/><Relationship Id="rId77" Type="http://schemas.openxmlformats.org/officeDocument/2006/relationships/hyperlink" Target="mailto:gerencia@meqtm.com" TargetMode="External"/><Relationship Id="rId100" Type="http://schemas.openxmlformats.org/officeDocument/2006/relationships/hyperlink" Target="mailto:gerenciainstituciones@alfratrading.com.co" TargetMode="External"/><Relationship Id="rId105" Type="http://schemas.openxmlformats.org/officeDocument/2006/relationships/hyperlink" Target="mailto:incomedicsltda@hotmail.com" TargetMode="External"/><Relationship Id="rId8" Type="http://schemas.openxmlformats.org/officeDocument/2006/relationships/hyperlink" Target="mailto:copr-med@hotmail.com" TargetMode="External"/><Relationship Id="rId51" Type="http://schemas.openxmlformats.org/officeDocument/2006/relationships/hyperlink" Target="mailto:licitabogota2@cobomedical.com" TargetMode="External"/><Relationship Id="rId72" Type="http://schemas.openxmlformats.org/officeDocument/2006/relationships/hyperlink" Target="mailto:licitaciones@tecnicaelectromedica.com" TargetMode="External"/><Relationship Id="rId93" Type="http://schemas.openxmlformats.org/officeDocument/2006/relationships/hyperlink" Target="mailto:gerencia@oftalmocenter.com.co" TargetMode="External"/><Relationship Id="rId98" Type="http://schemas.openxmlformats.org/officeDocument/2006/relationships/hyperlink" Target="mailto:adriana.santana@draeger.com" TargetMode="External"/><Relationship Id="rId3" Type="http://schemas.openxmlformats.org/officeDocument/2006/relationships/hyperlink" Target="mailto:buhoseguridadltda@hotmail.com" TargetMode="External"/><Relationship Id="rId25" Type="http://schemas.openxmlformats.org/officeDocument/2006/relationships/hyperlink" Target="mailto:corp-med@hotmail.com" TargetMode="External"/><Relationship Id="rId46" Type="http://schemas.openxmlformats.org/officeDocument/2006/relationships/hyperlink" Target="mailto:incomedicsltda@hotmail.com" TargetMode="External"/><Relationship Id="rId67" Type="http://schemas.openxmlformats.org/officeDocument/2006/relationships/hyperlink" Target="mailto:ventas@sherleg.net" TargetMode="External"/><Relationship Id="rId116" Type="http://schemas.openxmlformats.org/officeDocument/2006/relationships/hyperlink" Target="mailto:grentecomercial@fjsb.com.co" TargetMode="External"/><Relationship Id="rId20" Type="http://schemas.openxmlformats.org/officeDocument/2006/relationships/hyperlink" Target="mailto:valenzuela10@gmail.com" TargetMode="External"/><Relationship Id="rId41" Type="http://schemas.openxmlformats.org/officeDocument/2006/relationships/hyperlink" Target="mailto:ealandete@gmail.com" TargetMode="External"/><Relationship Id="rId62" Type="http://schemas.openxmlformats.org/officeDocument/2006/relationships/hyperlink" Target="mailto:asistentecomercial@armocsa.com" TargetMode="External"/><Relationship Id="rId83" Type="http://schemas.openxmlformats.org/officeDocument/2006/relationships/hyperlink" Target="mailto:alberto.marulanda@ottobock.com.co" TargetMode="External"/><Relationship Id="rId88" Type="http://schemas.openxmlformats.org/officeDocument/2006/relationships/hyperlink" Target="mailto:comercial@labtronics.net" TargetMode="External"/><Relationship Id="rId111" Type="http://schemas.openxmlformats.org/officeDocument/2006/relationships/hyperlink" Target="mailto:licitaciones@renelly.com" TargetMode="External"/><Relationship Id="rId15" Type="http://schemas.openxmlformats.org/officeDocument/2006/relationships/hyperlink" Target="mailto:GERENCIA@BIOPLASTSA.COM" TargetMode="External"/><Relationship Id="rId36" Type="http://schemas.openxmlformats.org/officeDocument/2006/relationships/hyperlink" Target="mailto:laura.palma_villareal@siemens.com" TargetMode="External"/><Relationship Id="rId57" Type="http://schemas.openxmlformats.org/officeDocument/2006/relationships/hyperlink" Target="mailto:elina.castro@gbarco.com.co" TargetMode="External"/><Relationship Id="rId106" Type="http://schemas.openxmlformats.org/officeDocument/2006/relationships/hyperlink" Target="mailto:mangel@vygon.com.co"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Y119"/>
  <sheetViews>
    <sheetView tabSelected="1" zoomScaleNormal="100" workbookViewId="0">
      <pane xSplit="1" ySplit="2" topLeftCell="B3" activePane="bottomRight" state="frozen"/>
      <selection pane="topRight" activeCell="B1" sqref="B1"/>
      <selection pane="bottomLeft" activeCell="A3" sqref="A3"/>
      <selection pane="bottomRight" activeCell="B3" sqref="B3"/>
    </sheetView>
  </sheetViews>
  <sheetFormatPr baseColWidth="10" defaultRowHeight="12.75" x14ac:dyDescent="0.2"/>
  <cols>
    <col min="1" max="1" width="11.42578125" style="1"/>
    <col min="2" max="2" width="32.28515625" style="1" customWidth="1"/>
    <col min="3" max="3" width="21.7109375" style="1" customWidth="1"/>
    <col min="4" max="4" width="24.28515625" style="1" customWidth="1"/>
    <col min="5" max="5" width="44.7109375" style="1" customWidth="1"/>
    <col min="6" max="6" width="15.85546875" style="1" hidden="1" customWidth="1"/>
    <col min="7" max="8" width="15.28515625" style="1" hidden="1" customWidth="1"/>
    <col min="9" max="9" width="18.85546875" style="1" hidden="1" customWidth="1"/>
    <col min="10" max="10" width="17.5703125" style="1" hidden="1" customWidth="1"/>
    <col min="11" max="11" width="17.140625" style="1" hidden="1" customWidth="1"/>
    <col min="12" max="13" width="16.5703125" style="1" hidden="1" customWidth="1"/>
    <col min="14" max="14" width="15.7109375" style="1" hidden="1" customWidth="1"/>
    <col min="15" max="15" width="15.7109375" style="1" customWidth="1"/>
    <col min="16" max="16" width="13.5703125" style="1" customWidth="1"/>
    <col min="17" max="17" width="13" style="1" customWidth="1"/>
    <col min="18" max="18" width="28" style="1" customWidth="1"/>
    <col min="19" max="19" width="18.42578125" style="1" customWidth="1"/>
    <col min="20" max="20" width="25.42578125" style="1" customWidth="1"/>
    <col min="21" max="21" width="17.5703125" style="1" customWidth="1"/>
    <col min="22" max="22" width="22" style="1" customWidth="1"/>
    <col min="23" max="23" width="18.140625" style="1" customWidth="1"/>
    <col min="24" max="24" width="22.5703125" style="1" customWidth="1"/>
    <col min="25" max="25" width="16.5703125" style="1" customWidth="1"/>
    <col min="26" max="16384" width="11.42578125" style="1"/>
  </cols>
  <sheetData>
    <row r="1" spans="1:25" s="26" customFormat="1" ht="13.5" customHeight="1" thickBot="1" x14ac:dyDescent="0.25">
      <c r="A1" s="42" t="s">
        <v>751</v>
      </c>
      <c r="B1" s="40" t="s">
        <v>0</v>
      </c>
      <c r="C1" s="42" t="s">
        <v>6</v>
      </c>
      <c r="D1" s="40" t="s">
        <v>7</v>
      </c>
      <c r="E1" s="42" t="s">
        <v>1</v>
      </c>
      <c r="F1" s="46" t="s">
        <v>2</v>
      </c>
      <c r="G1" s="46"/>
      <c r="H1" s="47"/>
      <c r="I1" s="48"/>
      <c r="J1" s="49"/>
      <c r="K1" s="49"/>
      <c r="L1" s="49"/>
      <c r="M1" s="49"/>
      <c r="N1" s="49"/>
      <c r="O1" s="36"/>
      <c r="P1" s="44" t="s">
        <v>3</v>
      </c>
      <c r="Q1" s="45"/>
      <c r="R1" s="40" t="s">
        <v>4</v>
      </c>
      <c r="S1" s="42" t="s">
        <v>5</v>
      </c>
      <c r="T1" s="38" t="s">
        <v>8</v>
      </c>
      <c r="U1" s="39"/>
      <c r="V1" s="39"/>
      <c r="W1" s="39"/>
      <c r="X1" s="39"/>
      <c r="Y1" s="39"/>
    </row>
    <row r="2" spans="1:25" s="26" customFormat="1" ht="92.25" customHeight="1" thickBot="1" x14ac:dyDescent="0.25">
      <c r="A2" s="43"/>
      <c r="B2" s="41"/>
      <c r="C2" s="43"/>
      <c r="D2" s="41"/>
      <c r="E2" s="43"/>
      <c r="F2" s="27" t="s">
        <v>823</v>
      </c>
      <c r="G2" s="33" t="s">
        <v>830</v>
      </c>
      <c r="H2" s="28" t="s">
        <v>829</v>
      </c>
      <c r="I2" s="29" t="s">
        <v>9</v>
      </c>
      <c r="J2" s="30" t="s">
        <v>10</v>
      </c>
      <c r="K2" s="30" t="s">
        <v>11</v>
      </c>
      <c r="L2" s="30" t="s">
        <v>12</v>
      </c>
      <c r="M2" s="30" t="s">
        <v>13</v>
      </c>
      <c r="N2" s="30" t="s">
        <v>14</v>
      </c>
      <c r="O2" s="30" t="s">
        <v>837</v>
      </c>
      <c r="P2" s="31" t="s">
        <v>15</v>
      </c>
      <c r="Q2" s="31" t="s">
        <v>16</v>
      </c>
      <c r="R2" s="41"/>
      <c r="S2" s="43"/>
      <c r="T2" s="32" t="s">
        <v>17</v>
      </c>
      <c r="U2" s="32" t="s">
        <v>18</v>
      </c>
      <c r="V2" s="32" t="s">
        <v>19</v>
      </c>
      <c r="W2" s="32" t="s">
        <v>20</v>
      </c>
      <c r="X2" s="32" t="s">
        <v>21</v>
      </c>
      <c r="Y2" s="32" t="s">
        <v>22</v>
      </c>
    </row>
    <row r="3" spans="1:25" ht="229.5" customHeight="1" x14ac:dyDescent="0.2">
      <c r="A3" s="8" t="s">
        <v>230</v>
      </c>
      <c r="B3" s="16" t="s">
        <v>231</v>
      </c>
      <c r="C3" s="6" t="s">
        <v>233</v>
      </c>
      <c r="D3" s="6" t="s">
        <v>52</v>
      </c>
      <c r="E3" s="15" t="s">
        <v>232</v>
      </c>
      <c r="F3" s="3">
        <v>27318333</v>
      </c>
      <c r="G3" s="9"/>
      <c r="H3" s="23">
        <v>16000000</v>
      </c>
      <c r="I3" s="3"/>
      <c r="J3" s="3">
        <v>27318333</v>
      </c>
      <c r="K3" s="3">
        <v>337654596</v>
      </c>
      <c r="L3" s="3">
        <v>347784234</v>
      </c>
      <c r="M3" s="3">
        <f>358217761-16000000</f>
        <v>342217761</v>
      </c>
      <c r="N3" s="3">
        <v>215229171</v>
      </c>
      <c r="O3" s="2">
        <f t="shared" ref="O3" si="0">SUM(J3:N3)</f>
        <v>1270204095</v>
      </c>
      <c r="P3" s="10">
        <v>43441</v>
      </c>
      <c r="Q3" s="11">
        <v>44773</v>
      </c>
      <c r="R3" s="5" t="s">
        <v>851</v>
      </c>
      <c r="S3" s="6" t="s">
        <v>27</v>
      </c>
      <c r="T3" s="16" t="s">
        <v>234</v>
      </c>
      <c r="U3" s="7" t="s">
        <v>235</v>
      </c>
      <c r="V3" s="7" t="s">
        <v>130</v>
      </c>
      <c r="W3" s="7" t="s">
        <v>131</v>
      </c>
      <c r="X3" s="12" t="s">
        <v>236</v>
      </c>
      <c r="Y3" s="7" t="s">
        <v>24</v>
      </c>
    </row>
    <row r="4" spans="1:25" ht="179.25" customHeight="1" x14ac:dyDescent="0.2">
      <c r="A4" s="8" t="s">
        <v>237</v>
      </c>
      <c r="B4" s="16" t="s">
        <v>238</v>
      </c>
      <c r="C4" s="6" t="s">
        <v>241</v>
      </c>
      <c r="D4" s="6" t="s">
        <v>808</v>
      </c>
      <c r="E4" s="15" t="s">
        <v>239</v>
      </c>
      <c r="F4" s="3">
        <v>238263617</v>
      </c>
      <c r="G4" s="9">
        <f>190547058+2745555278+388133632</f>
        <v>3324235968</v>
      </c>
      <c r="H4" s="9"/>
      <c r="I4" s="3"/>
      <c r="J4" s="3">
        <v>238263617</v>
      </c>
      <c r="K4" s="3">
        <v>6080423658</v>
      </c>
      <c r="L4" s="3">
        <v>6066572898</v>
      </c>
      <c r="M4" s="3">
        <f>6248570085+274555278+388133632</f>
        <v>6911258995</v>
      </c>
      <c r="N4" s="3">
        <v>3754349193</v>
      </c>
      <c r="O4" s="2">
        <f t="shared" ref="O4:O14" si="1">SUM(J4:N4)</f>
        <v>23050868361</v>
      </c>
      <c r="P4" s="10">
        <v>43449</v>
      </c>
      <c r="Q4" s="11">
        <v>44773</v>
      </c>
      <c r="R4" s="5" t="s">
        <v>240</v>
      </c>
      <c r="S4" s="6" t="s">
        <v>28</v>
      </c>
      <c r="T4" s="16" t="s">
        <v>827</v>
      </c>
      <c r="U4" s="7" t="s">
        <v>242</v>
      </c>
      <c r="V4" s="7" t="s">
        <v>243</v>
      </c>
      <c r="W4" s="7" t="s">
        <v>244</v>
      </c>
      <c r="X4" s="19" t="s">
        <v>791</v>
      </c>
      <c r="Y4" s="7" t="s">
        <v>24</v>
      </c>
    </row>
    <row r="5" spans="1:25" ht="84.95" customHeight="1" x14ac:dyDescent="0.2">
      <c r="A5" s="8" t="s">
        <v>246</v>
      </c>
      <c r="B5" s="16" t="s">
        <v>247</v>
      </c>
      <c r="C5" s="6" t="s">
        <v>248</v>
      </c>
      <c r="D5" s="6" t="s">
        <v>804</v>
      </c>
      <c r="E5" s="15" t="s">
        <v>819</v>
      </c>
      <c r="F5" s="3">
        <v>58675200</v>
      </c>
      <c r="G5" s="9"/>
      <c r="H5" s="9"/>
      <c r="I5" s="3"/>
      <c r="J5" s="3">
        <v>58675200</v>
      </c>
      <c r="K5" s="3">
        <v>688397616</v>
      </c>
      <c r="L5" s="3">
        <v>709051644</v>
      </c>
      <c r="M5" s="3">
        <v>730326780</v>
      </c>
      <c r="N5" s="3">
        <v>427714260</v>
      </c>
      <c r="O5" s="2">
        <f t="shared" si="1"/>
        <v>2614165500</v>
      </c>
      <c r="P5" s="10">
        <v>43444</v>
      </c>
      <c r="Q5" s="11">
        <v>44742</v>
      </c>
      <c r="R5" s="5" t="s">
        <v>845</v>
      </c>
      <c r="S5" s="6" t="s">
        <v>25</v>
      </c>
      <c r="T5" s="16" t="s">
        <v>234</v>
      </c>
      <c r="U5" s="7" t="s">
        <v>235</v>
      </c>
      <c r="V5" s="7" t="s">
        <v>130</v>
      </c>
      <c r="W5" s="7" t="s">
        <v>131</v>
      </c>
      <c r="X5" s="12" t="s">
        <v>236</v>
      </c>
      <c r="Y5" s="7" t="s">
        <v>24</v>
      </c>
    </row>
    <row r="6" spans="1:25" ht="317.25" customHeight="1" x14ac:dyDescent="0.2">
      <c r="A6" s="8" t="s">
        <v>250</v>
      </c>
      <c r="B6" s="16" t="s">
        <v>132</v>
      </c>
      <c r="C6" s="6" t="s">
        <v>252</v>
      </c>
      <c r="D6" s="6" t="s">
        <v>113</v>
      </c>
      <c r="E6" s="15" t="s">
        <v>251</v>
      </c>
      <c r="F6" s="3">
        <v>250000000</v>
      </c>
      <c r="G6" s="9">
        <v>45000000</v>
      </c>
      <c r="H6" s="9"/>
      <c r="I6" s="3"/>
      <c r="J6" s="3">
        <v>250000000</v>
      </c>
      <c r="K6" s="3">
        <v>510000000</v>
      </c>
      <c r="L6" s="3">
        <f>510000000+45000000</f>
        <v>555000000</v>
      </c>
      <c r="M6" s="3">
        <v>510000000</v>
      </c>
      <c r="N6" s="3">
        <v>250000000</v>
      </c>
      <c r="O6" s="2">
        <f t="shared" si="1"/>
        <v>2075000000</v>
      </c>
      <c r="P6" s="10">
        <v>43447</v>
      </c>
      <c r="Q6" s="11">
        <v>44742</v>
      </c>
      <c r="R6" s="5" t="s">
        <v>95</v>
      </c>
      <c r="S6" s="6" t="s">
        <v>28</v>
      </c>
      <c r="T6" s="16" t="s">
        <v>133</v>
      </c>
      <c r="U6" s="7" t="s">
        <v>134</v>
      </c>
      <c r="V6" s="7" t="s">
        <v>253</v>
      </c>
      <c r="W6" s="7" t="s">
        <v>135</v>
      </c>
      <c r="X6" s="19" t="s">
        <v>136</v>
      </c>
      <c r="Y6" s="7" t="s">
        <v>24</v>
      </c>
    </row>
    <row r="7" spans="1:25" ht="127.5" customHeight="1" x14ac:dyDescent="0.2">
      <c r="A7" s="8" t="s">
        <v>254</v>
      </c>
      <c r="B7" s="16" t="s">
        <v>255</v>
      </c>
      <c r="C7" s="6" t="s">
        <v>257</v>
      </c>
      <c r="D7" s="6" t="s">
        <v>30</v>
      </c>
      <c r="E7" s="15" t="s">
        <v>256</v>
      </c>
      <c r="F7" s="3">
        <v>22897200</v>
      </c>
      <c r="G7" s="9">
        <v>8625620</v>
      </c>
      <c r="H7" s="9"/>
      <c r="I7" s="3"/>
      <c r="J7" s="3">
        <v>22897200</v>
      </c>
      <c r="K7" s="3">
        <f>567374380+8625620</f>
        <v>576000000</v>
      </c>
      <c r="L7" s="3">
        <v>584395610</v>
      </c>
      <c r="M7" s="3">
        <v>601927480</v>
      </c>
      <c r="N7" s="3">
        <v>361658100</v>
      </c>
      <c r="O7" s="2">
        <f t="shared" si="1"/>
        <v>2146878390</v>
      </c>
      <c r="P7" s="10">
        <v>43447</v>
      </c>
      <c r="Q7" s="11">
        <v>44773</v>
      </c>
      <c r="R7" s="5" t="s">
        <v>847</v>
      </c>
      <c r="S7" s="6" t="s">
        <v>28</v>
      </c>
      <c r="T7" s="16" t="s">
        <v>258</v>
      </c>
      <c r="U7" s="7" t="s">
        <v>259</v>
      </c>
      <c r="V7" s="7" t="s">
        <v>260</v>
      </c>
      <c r="W7" s="7" t="s">
        <v>796</v>
      </c>
      <c r="X7" s="12" t="s">
        <v>261</v>
      </c>
      <c r="Y7" s="7" t="s">
        <v>24</v>
      </c>
    </row>
    <row r="8" spans="1:25" ht="84.95" customHeight="1" x14ac:dyDescent="0.2">
      <c r="A8" s="8" t="s">
        <v>262</v>
      </c>
      <c r="B8" s="16" t="s">
        <v>263</v>
      </c>
      <c r="C8" s="6" t="s">
        <v>265</v>
      </c>
      <c r="D8" s="6" t="s">
        <v>804</v>
      </c>
      <c r="E8" s="15" t="s">
        <v>264</v>
      </c>
      <c r="F8" s="3">
        <v>2856982650</v>
      </c>
      <c r="G8" s="9"/>
      <c r="H8" s="23">
        <v>150000000</v>
      </c>
      <c r="I8" s="3"/>
      <c r="J8" s="3">
        <v>60586940</v>
      </c>
      <c r="K8" s="3">
        <v>750040940</v>
      </c>
      <c r="L8" s="3">
        <f>772542170-150000000</f>
        <v>622542170</v>
      </c>
      <c r="M8" s="3">
        <v>795718440</v>
      </c>
      <c r="N8" s="3">
        <v>478094160</v>
      </c>
      <c r="O8" s="2">
        <f t="shared" si="1"/>
        <v>2706982650</v>
      </c>
      <c r="P8" s="10">
        <v>43447</v>
      </c>
      <c r="Q8" s="11">
        <v>44773</v>
      </c>
      <c r="R8" s="5" t="s">
        <v>834</v>
      </c>
      <c r="S8" s="6" t="s">
        <v>27</v>
      </c>
      <c r="T8" s="16" t="s">
        <v>266</v>
      </c>
      <c r="U8" s="7" t="s">
        <v>267</v>
      </c>
      <c r="V8" s="7" t="s">
        <v>130</v>
      </c>
      <c r="W8" s="7" t="s">
        <v>131</v>
      </c>
      <c r="X8" s="12" t="s">
        <v>268</v>
      </c>
      <c r="Y8" s="7" t="s">
        <v>24</v>
      </c>
    </row>
    <row r="9" spans="1:25" ht="84.95" customHeight="1" x14ac:dyDescent="0.2">
      <c r="A9" s="8" t="s">
        <v>269</v>
      </c>
      <c r="B9" s="16" t="s">
        <v>181</v>
      </c>
      <c r="C9" s="6" t="s">
        <v>271</v>
      </c>
      <c r="D9" s="6" t="s">
        <v>30</v>
      </c>
      <c r="E9" s="15" t="s">
        <v>270</v>
      </c>
      <c r="F9" s="3">
        <v>20000000</v>
      </c>
      <c r="G9" s="9">
        <v>70000000</v>
      </c>
      <c r="H9" s="9"/>
      <c r="I9" s="3"/>
      <c r="J9" s="3">
        <v>20000000</v>
      </c>
      <c r="K9" s="3">
        <v>366525670</v>
      </c>
      <c r="L9" s="3">
        <v>377521440</v>
      </c>
      <c r="M9" s="3">
        <f>388847000+70000000</f>
        <v>458847000</v>
      </c>
      <c r="N9" s="3">
        <v>233632290</v>
      </c>
      <c r="O9" s="2">
        <f t="shared" si="1"/>
        <v>1456526400</v>
      </c>
      <c r="P9" s="10">
        <v>43448</v>
      </c>
      <c r="Q9" s="11">
        <v>44773</v>
      </c>
      <c r="R9" s="5" t="s">
        <v>112</v>
      </c>
      <c r="S9" s="6" t="s">
        <v>28</v>
      </c>
      <c r="T9" s="16" t="s">
        <v>272</v>
      </c>
      <c r="U9" s="7" t="s">
        <v>273</v>
      </c>
      <c r="V9" s="7" t="s">
        <v>114</v>
      </c>
      <c r="W9" s="7" t="s">
        <v>115</v>
      </c>
      <c r="X9" s="12" t="s">
        <v>116</v>
      </c>
      <c r="Y9" s="7" t="s">
        <v>24</v>
      </c>
    </row>
    <row r="10" spans="1:25" ht="84.95" customHeight="1" x14ac:dyDescent="0.2">
      <c r="A10" s="8" t="s">
        <v>274</v>
      </c>
      <c r="B10" s="16" t="s">
        <v>275</v>
      </c>
      <c r="C10" s="6" t="s">
        <v>277</v>
      </c>
      <c r="D10" s="6" t="s">
        <v>23</v>
      </c>
      <c r="E10" s="15" t="s">
        <v>276</v>
      </c>
      <c r="F10" s="3">
        <v>90263732</v>
      </c>
      <c r="G10" s="9"/>
      <c r="H10" s="9"/>
      <c r="I10" s="3"/>
      <c r="J10" s="3">
        <v>90263732</v>
      </c>
      <c r="K10" s="3">
        <v>2257315397</v>
      </c>
      <c r="L10" s="3">
        <v>2352122644</v>
      </c>
      <c r="M10" s="3">
        <v>2450911795</v>
      </c>
      <c r="N10" s="3">
        <v>1489745886</v>
      </c>
      <c r="O10" s="2">
        <f t="shared" si="1"/>
        <v>8640359454</v>
      </c>
      <c r="P10" s="10">
        <v>43453</v>
      </c>
      <c r="Q10" s="11">
        <v>44773</v>
      </c>
      <c r="R10" s="5" t="s">
        <v>821</v>
      </c>
      <c r="S10" s="6" t="s">
        <v>28</v>
      </c>
      <c r="T10" s="16" t="s">
        <v>278</v>
      </c>
      <c r="U10" s="7" t="s">
        <v>279</v>
      </c>
      <c r="V10" s="7" t="s">
        <v>280</v>
      </c>
      <c r="W10" s="7" t="s">
        <v>281</v>
      </c>
      <c r="X10" s="12" t="s">
        <v>282</v>
      </c>
      <c r="Y10" s="7" t="s">
        <v>24</v>
      </c>
    </row>
    <row r="11" spans="1:25" ht="84.95" customHeight="1" x14ac:dyDescent="0.2">
      <c r="A11" s="8" t="s">
        <v>283</v>
      </c>
      <c r="B11" s="16" t="s">
        <v>284</v>
      </c>
      <c r="C11" s="6" t="s">
        <v>286</v>
      </c>
      <c r="D11" s="6" t="s">
        <v>805</v>
      </c>
      <c r="E11" s="15" t="s">
        <v>285</v>
      </c>
      <c r="F11" s="3">
        <v>221450000</v>
      </c>
      <c r="G11" s="9"/>
      <c r="H11" s="9"/>
      <c r="I11" s="3"/>
      <c r="J11" s="3">
        <v>221450000</v>
      </c>
      <c r="K11" s="3">
        <v>548753840</v>
      </c>
      <c r="L11" s="3">
        <v>5651974460</v>
      </c>
      <c r="M11" s="3">
        <v>5821533690</v>
      </c>
      <c r="N11" s="3">
        <v>3497771490</v>
      </c>
      <c r="O11" s="2">
        <f t="shared" si="1"/>
        <v>15741483480</v>
      </c>
      <c r="P11" s="10">
        <v>43448</v>
      </c>
      <c r="Q11" s="11">
        <v>44742</v>
      </c>
      <c r="R11" s="5" t="s">
        <v>846</v>
      </c>
      <c r="S11" s="6" t="s">
        <v>28</v>
      </c>
      <c r="T11" s="16" t="s">
        <v>287</v>
      </c>
      <c r="U11" s="7" t="s">
        <v>288</v>
      </c>
      <c r="V11" s="7" t="s">
        <v>289</v>
      </c>
      <c r="W11" s="7" t="s">
        <v>290</v>
      </c>
      <c r="X11" s="12" t="s">
        <v>291</v>
      </c>
      <c r="Y11" s="7" t="s">
        <v>24</v>
      </c>
    </row>
    <row r="12" spans="1:25" ht="117.75" customHeight="1" x14ac:dyDescent="0.2">
      <c r="A12" s="8" t="s">
        <v>810</v>
      </c>
      <c r="B12" s="16" t="s">
        <v>284</v>
      </c>
      <c r="C12" s="6" t="s">
        <v>286</v>
      </c>
      <c r="D12" s="6" t="s">
        <v>96</v>
      </c>
      <c r="E12" s="15" t="s">
        <v>839</v>
      </c>
      <c r="F12" s="3">
        <v>28883954</v>
      </c>
      <c r="G12" s="9"/>
      <c r="H12" s="9"/>
      <c r="I12" s="3">
        <v>28883954</v>
      </c>
      <c r="J12" s="3">
        <v>28883954</v>
      </c>
      <c r="K12" s="3">
        <v>407380988</v>
      </c>
      <c r="L12" s="3">
        <v>420817889</v>
      </c>
      <c r="M12" s="3">
        <v>434718670</v>
      </c>
      <c r="N12" s="3">
        <v>224550143</v>
      </c>
      <c r="O12" s="2">
        <f t="shared" si="1"/>
        <v>1516351644</v>
      </c>
      <c r="P12" s="10">
        <v>43448</v>
      </c>
      <c r="Q12" s="11">
        <v>44742</v>
      </c>
      <c r="R12" s="5" t="s">
        <v>831</v>
      </c>
      <c r="S12" s="6" t="s">
        <v>28</v>
      </c>
      <c r="T12" s="16" t="s">
        <v>287</v>
      </c>
      <c r="U12" s="7" t="s">
        <v>288</v>
      </c>
      <c r="V12" s="7" t="s">
        <v>289</v>
      </c>
      <c r="W12" s="7" t="s">
        <v>290</v>
      </c>
      <c r="X12" s="12" t="s">
        <v>291</v>
      </c>
      <c r="Y12" s="7" t="s">
        <v>24</v>
      </c>
    </row>
    <row r="13" spans="1:25" ht="84.95" customHeight="1" x14ac:dyDescent="0.2">
      <c r="A13" s="8" t="s">
        <v>292</v>
      </c>
      <c r="B13" s="16" t="s">
        <v>293</v>
      </c>
      <c r="C13" s="6" t="s">
        <v>295</v>
      </c>
      <c r="D13" s="6" t="s">
        <v>804</v>
      </c>
      <c r="E13" s="15" t="s">
        <v>294</v>
      </c>
      <c r="F13" s="3">
        <v>41142330</v>
      </c>
      <c r="G13" s="9">
        <f>184518462+55000000</f>
        <v>239518462</v>
      </c>
      <c r="H13" s="23">
        <v>130000000</v>
      </c>
      <c r="I13" s="3"/>
      <c r="J13" s="3">
        <v>41142330</v>
      </c>
      <c r="K13" s="3">
        <f>509737050+184518462</f>
        <v>694255512</v>
      </c>
      <c r="L13" s="3">
        <f>525029160-130000000</f>
        <v>395029160</v>
      </c>
      <c r="M13" s="3">
        <f>540780030+55000000</f>
        <v>595780030</v>
      </c>
      <c r="N13" s="3">
        <v>324918670</v>
      </c>
      <c r="O13" s="2">
        <f t="shared" si="1"/>
        <v>2051125702</v>
      </c>
      <c r="P13" s="10">
        <v>43453</v>
      </c>
      <c r="Q13" s="11">
        <v>44773</v>
      </c>
      <c r="R13" s="5" t="s">
        <v>850</v>
      </c>
      <c r="S13" s="4" t="s">
        <v>25</v>
      </c>
      <c r="T13" s="16" t="s">
        <v>296</v>
      </c>
      <c r="U13" s="7" t="s">
        <v>297</v>
      </c>
      <c r="V13" s="7" t="s">
        <v>298</v>
      </c>
      <c r="W13" s="7" t="s">
        <v>299</v>
      </c>
      <c r="X13" s="12" t="s">
        <v>300</v>
      </c>
      <c r="Y13" s="7" t="s">
        <v>24</v>
      </c>
    </row>
    <row r="14" spans="1:25" ht="84.95" customHeight="1" x14ac:dyDescent="0.2">
      <c r="A14" s="8" t="s">
        <v>301</v>
      </c>
      <c r="B14" s="16" t="s">
        <v>145</v>
      </c>
      <c r="C14" s="6" t="s">
        <v>303</v>
      </c>
      <c r="D14" s="17" t="s">
        <v>30</v>
      </c>
      <c r="E14" s="15" t="s">
        <v>302</v>
      </c>
      <c r="F14" s="3">
        <v>52122000</v>
      </c>
      <c r="G14" s="23"/>
      <c r="H14" s="23">
        <v>115000000</v>
      </c>
      <c r="I14" s="3"/>
      <c r="J14" s="3">
        <v>52122000</v>
      </c>
      <c r="K14" s="3">
        <v>80000000</v>
      </c>
      <c r="L14" s="3">
        <f>80000000-60000000</f>
        <v>20000000</v>
      </c>
      <c r="M14" s="3">
        <f>80000000-55000000</f>
        <v>25000000</v>
      </c>
      <c r="N14" s="3">
        <v>40000000</v>
      </c>
      <c r="O14" s="2">
        <f t="shared" si="1"/>
        <v>217122000</v>
      </c>
      <c r="P14" s="10">
        <v>43452</v>
      </c>
      <c r="Q14" s="11">
        <v>44742</v>
      </c>
      <c r="R14" s="5" t="s">
        <v>95</v>
      </c>
      <c r="S14" s="6" t="s">
        <v>28</v>
      </c>
      <c r="T14" s="16" t="s">
        <v>304</v>
      </c>
      <c r="U14" s="7" t="s">
        <v>146</v>
      </c>
      <c r="V14" s="7" t="s">
        <v>147</v>
      </c>
      <c r="W14" s="7" t="s">
        <v>148</v>
      </c>
      <c r="X14" s="12" t="s">
        <v>149</v>
      </c>
      <c r="Y14" s="7" t="s">
        <v>24</v>
      </c>
    </row>
    <row r="15" spans="1:25" ht="227.25" customHeight="1" x14ac:dyDescent="0.2">
      <c r="A15" s="8" t="s">
        <v>306</v>
      </c>
      <c r="B15" s="16" t="s">
        <v>307</v>
      </c>
      <c r="C15" s="6" t="s">
        <v>309</v>
      </c>
      <c r="D15" s="6" t="s">
        <v>804</v>
      </c>
      <c r="E15" s="15" t="s">
        <v>308</v>
      </c>
      <c r="F15" s="3">
        <v>512643980</v>
      </c>
      <c r="G15" s="23"/>
      <c r="H15" s="23">
        <f>100000000+800000000+500000000+1000000000+700000000</f>
        <v>3100000000</v>
      </c>
      <c r="I15" s="3"/>
      <c r="J15" s="3">
        <f>512643980-100000000</f>
        <v>412643980</v>
      </c>
      <c r="K15" s="3">
        <f>6351453850-800000000</f>
        <v>5551453850</v>
      </c>
      <c r="L15" s="3">
        <f>6541997470-500000000-1000000000</f>
        <v>5041997470</v>
      </c>
      <c r="M15" s="3">
        <f>6738257390-700000000</f>
        <v>6038257390</v>
      </c>
      <c r="N15" s="3">
        <v>4048569650</v>
      </c>
      <c r="O15" s="2">
        <f t="shared" ref="O15:O60" si="2">SUM(J15:N15)</f>
        <v>21092922340</v>
      </c>
      <c r="P15" s="10">
        <v>43453</v>
      </c>
      <c r="Q15" s="11">
        <v>44773</v>
      </c>
      <c r="R15" s="5" t="s">
        <v>841</v>
      </c>
      <c r="S15" s="6" t="s">
        <v>27</v>
      </c>
      <c r="T15" s="16" t="s">
        <v>310</v>
      </c>
      <c r="U15" s="7" t="s">
        <v>311</v>
      </c>
      <c r="V15" s="7" t="s">
        <v>312</v>
      </c>
      <c r="W15" s="7" t="s">
        <v>313</v>
      </c>
      <c r="X15" s="12" t="s">
        <v>314</v>
      </c>
      <c r="Y15" s="7" t="s">
        <v>24</v>
      </c>
    </row>
    <row r="16" spans="1:25" ht="84.95" customHeight="1" x14ac:dyDescent="0.2">
      <c r="A16" s="8" t="s">
        <v>782</v>
      </c>
      <c r="B16" s="16" t="s">
        <v>247</v>
      </c>
      <c r="C16" s="6" t="s">
        <v>814</v>
      </c>
      <c r="D16" s="6" t="s">
        <v>804</v>
      </c>
      <c r="E16" s="15" t="s">
        <v>815</v>
      </c>
      <c r="F16" s="3">
        <v>50555411</v>
      </c>
      <c r="G16" s="9">
        <f>9059337+106000000+435000000</f>
        <v>550059337</v>
      </c>
      <c r="H16" s="9"/>
      <c r="I16" s="3"/>
      <c r="J16" s="3">
        <v>50555411</v>
      </c>
      <c r="K16" s="3">
        <f>623129152+9059337</f>
        <v>632188489</v>
      </c>
      <c r="L16" s="3">
        <f>643610826+106000000</f>
        <v>749610826</v>
      </c>
      <c r="M16" s="3">
        <f>662919151+435000000</f>
        <v>1097919151</v>
      </c>
      <c r="N16" s="3">
        <v>398303923</v>
      </c>
      <c r="O16" s="2">
        <f t="shared" si="2"/>
        <v>2928577800</v>
      </c>
      <c r="P16" s="10">
        <v>43461</v>
      </c>
      <c r="Q16" s="11">
        <v>44773</v>
      </c>
      <c r="R16" s="5" t="s">
        <v>845</v>
      </c>
      <c r="S16" s="6" t="s">
        <v>25</v>
      </c>
      <c r="T16" s="16" t="s">
        <v>234</v>
      </c>
      <c r="U16" s="7" t="s">
        <v>816</v>
      </c>
      <c r="V16" s="7" t="s">
        <v>817</v>
      </c>
      <c r="W16" s="7" t="s">
        <v>131</v>
      </c>
      <c r="X16" s="19" t="s">
        <v>818</v>
      </c>
      <c r="Y16" s="7" t="s">
        <v>24</v>
      </c>
    </row>
    <row r="17" spans="1:25" ht="159" customHeight="1" x14ac:dyDescent="0.2">
      <c r="A17" s="8" t="s">
        <v>774</v>
      </c>
      <c r="B17" s="16" t="s">
        <v>775</v>
      </c>
      <c r="C17" s="6" t="s">
        <v>776</v>
      </c>
      <c r="D17" s="6" t="s">
        <v>804</v>
      </c>
      <c r="E17" s="15" t="s">
        <v>787</v>
      </c>
      <c r="F17" s="3">
        <v>223265210</v>
      </c>
      <c r="G17" s="14"/>
      <c r="H17" s="23">
        <f>430000000+700000000+1400000000+230000000+1190000000+710000000</f>
        <v>4660000000</v>
      </c>
      <c r="I17" s="3"/>
      <c r="J17" s="3">
        <v>223265210</v>
      </c>
      <c r="K17" s="3">
        <f>2459355860-700000000-430000000</f>
        <v>1329355860</v>
      </c>
      <c r="L17" s="3">
        <f>2976036541-1400000000-230000000</f>
        <v>1346036541</v>
      </c>
      <c r="M17" s="3">
        <f>3065317638-1190000000</f>
        <v>1875317638</v>
      </c>
      <c r="N17" s="3">
        <v>1841745018</v>
      </c>
      <c r="O17" s="2">
        <f t="shared" si="2"/>
        <v>6615720267</v>
      </c>
      <c r="P17" s="10">
        <v>43453</v>
      </c>
      <c r="Q17" s="11">
        <v>44773</v>
      </c>
      <c r="R17" s="5" t="s">
        <v>37</v>
      </c>
      <c r="S17" s="6" t="s">
        <v>27</v>
      </c>
      <c r="T17" s="16" t="s">
        <v>777</v>
      </c>
      <c r="U17" s="7" t="s">
        <v>781</v>
      </c>
      <c r="V17" s="7" t="s">
        <v>778</v>
      </c>
      <c r="W17" s="7" t="s">
        <v>779</v>
      </c>
      <c r="X17" s="19" t="s">
        <v>780</v>
      </c>
      <c r="Y17" s="7" t="s">
        <v>24</v>
      </c>
    </row>
    <row r="18" spans="1:25" ht="84.95" customHeight="1" x14ac:dyDescent="0.2">
      <c r="A18" s="8" t="s">
        <v>316</v>
      </c>
      <c r="B18" s="16" t="s">
        <v>317</v>
      </c>
      <c r="C18" s="6" t="s">
        <v>319</v>
      </c>
      <c r="D18" s="17" t="s">
        <v>30</v>
      </c>
      <c r="E18" s="15" t="s">
        <v>318</v>
      </c>
      <c r="F18" s="3">
        <v>46000000</v>
      </c>
      <c r="G18" s="9">
        <f>40000000+20744553</f>
        <v>60744553</v>
      </c>
      <c r="H18" s="9"/>
      <c r="I18" s="3"/>
      <c r="J18" s="3">
        <v>46000000</v>
      </c>
      <c r="K18" s="3">
        <v>90000000</v>
      </c>
      <c r="L18" s="3">
        <f>80000000+40000000</f>
        <v>120000000</v>
      </c>
      <c r="M18" s="3">
        <f>90000000+20744553</f>
        <v>110744553</v>
      </c>
      <c r="N18" s="3">
        <v>80000000</v>
      </c>
      <c r="O18" s="2">
        <f t="shared" si="2"/>
        <v>446744553</v>
      </c>
      <c r="P18" s="10">
        <v>43453</v>
      </c>
      <c r="Q18" s="11">
        <v>44773</v>
      </c>
      <c r="R18" s="5" t="s">
        <v>95</v>
      </c>
      <c r="S18" s="6" t="s">
        <v>28</v>
      </c>
      <c r="T18" s="16" t="s">
        <v>117</v>
      </c>
      <c r="U18" s="7" t="s">
        <v>118</v>
      </c>
      <c r="V18" s="7" t="s">
        <v>320</v>
      </c>
      <c r="W18" s="7" t="s">
        <v>119</v>
      </c>
      <c r="X18" s="12" t="s">
        <v>120</v>
      </c>
      <c r="Y18" s="7" t="s">
        <v>182</v>
      </c>
    </row>
    <row r="19" spans="1:25" ht="84.95" customHeight="1" x14ac:dyDescent="0.2">
      <c r="A19" s="8" t="s">
        <v>321</v>
      </c>
      <c r="B19" s="16" t="s">
        <v>322</v>
      </c>
      <c r="C19" s="6" t="s">
        <v>324</v>
      </c>
      <c r="D19" s="6" t="s">
        <v>30</v>
      </c>
      <c r="E19" s="15" t="s">
        <v>323</v>
      </c>
      <c r="F19" s="3">
        <v>174000000</v>
      </c>
      <c r="G19" s="9"/>
      <c r="H19" s="9"/>
      <c r="I19" s="3"/>
      <c r="J19" s="3">
        <v>174000000</v>
      </c>
      <c r="K19" s="3">
        <v>230000000</v>
      </c>
      <c r="L19" s="3">
        <v>230000000</v>
      </c>
      <c r="M19" s="3">
        <v>230000000</v>
      </c>
      <c r="N19" s="3">
        <v>135753630</v>
      </c>
      <c r="O19" s="2">
        <f t="shared" si="2"/>
        <v>999753630</v>
      </c>
      <c r="P19" s="10">
        <v>43454</v>
      </c>
      <c r="Q19" s="11">
        <v>44742</v>
      </c>
      <c r="R19" s="5" t="s">
        <v>95</v>
      </c>
      <c r="S19" s="6" t="s">
        <v>28</v>
      </c>
      <c r="T19" s="16" t="s">
        <v>325</v>
      </c>
      <c r="U19" s="7" t="s">
        <v>326</v>
      </c>
      <c r="V19" s="7" t="s">
        <v>327</v>
      </c>
      <c r="W19" s="7" t="s">
        <v>328</v>
      </c>
      <c r="X19" s="12" t="s">
        <v>329</v>
      </c>
      <c r="Y19" s="7" t="s">
        <v>24</v>
      </c>
    </row>
    <row r="20" spans="1:25" ht="84.95" customHeight="1" x14ac:dyDescent="0.2">
      <c r="A20" s="8" t="s">
        <v>330</v>
      </c>
      <c r="B20" s="16" t="s">
        <v>154</v>
      </c>
      <c r="C20" s="6" t="s">
        <v>332</v>
      </c>
      <c r="D20" s="6" t="s">
        <v>30</v>
      </c>
      <c r="E20" s="15" t="s">
        <v>331</v>
      </c>
      <c r="F20" s="3">
        <v>30000000</v>
      </c>
      <c r="G20" s="9"/>
      <c r="H20" s="9"/>
      <c r="I20" s="3"/>
      <c r="J20" s="3">
        <v>30000000</v>
      </c>
      <c r="K20" s="3">
        <v>110000000</v>
      </c>
      <c r="L20" s="3">
        <v>150000000</v>
      </c>
      <c r="M20" s="3">
        <v>150000000</v>
      </c>
      <c r="N20" s="3">
        <v>75000000</v>
      </c>
      <c r="O20" s="2">
        <f t="shared" si="2"/>
        <v>515000000</v>
      </c>
      <c r="P20" s="10">
        <v>43454</v>
      </c>
      <c r="Q20" s="11">
        <v>44773</v>
      </c>
      <c r="R20" s="5" t="s">
        <v>95</v>
      </c>
      <c r="S20" s="6" t="s">
        <v>28</v>
      </c>
      <c r="T20" s="16" t="s">
        <v>155</v>
      </c>
      <c r="U20" s="7" t="s">
        <v>156</v>
      </c>
      <c r="V20" s="7" t="s">
        <v>157</v>
      </c>
      <c r="W20" s="7" t="s">
        <v>158</v>
      </c>
      <c r="X20" s="12" t="s">
        <v>333</v>
      </c>
      <c r="Y20" s="7" t="s">
        <v>24</v>
      </c>
    </row>
    <row r="21" spans="1:25" ht="141" customHeight="1" x14ac:dyDescent="0.2">
      <c r="A21" s="8" t="s">
        <v>334</v>
      </c>
      <c r="B21" s="16" t="s">
        <v>32</v>
      </c>
      <c r="C21" s="6" t="s">
        <v>336</v>
      </c>
      <c r="D21" s="6" t="s">
        <v>113</v>
      </c>
      <c r="E21" s="15" t="s">
        <v>335</v>
      </c>
      <c r="F21" s="3">
        <v>60000000</v>
      </c>
      <c r="G21" s="9">
        <v>40000000</v>
      </c>
      <c r="H21" s="9"/>
      <c r="I21" s="3"/>
      <c r="J21" s="3">
        <v>60000000</v>
      </c>
      <c r="K21" s="3">
        <v>100000000</v>
      </c>
      <c r="L21" s="3">
        <v>106000000</v>
      </c>
      <c r="M21" s="3">
        <f>80000000+40000000</f>
        <v>120000000</v>
      </c>
      <c r="N21" s="3">
        <v>40000000</v>
      </c>
      <c r="O21" s="2">
        <f t="shared" si="2"/>
        <v>426000000</v>
      </c>
      <c r="P21" s="10">
        <v>43454</v>
      </c>
      <c r="Q21" s="11">
        <v>44773</v>
      </c>
      <c r="R21" s="5" t="s">
        <v>95</v>
      </c>
      <c r="S21" s="6" t="s">
        <v>28</v>
      </c>
      <c r="T21" s="16" t="s">
        <v>164</v>
      </c>
      <c r="U21" s="7" t="s">
        <v>54</v>
      </c>
      <c r="V21" s="7" t="s">
        <v>337</v>
      </c>
      <c r="W21" s="7" t="s">
        <v>33</v>
      </c>
      <c r="X21" s="19" t="s">
        <v>315</v>
      </c>
      <c r="Y21" s="7" t="s">
        <v>24</v>
      </c>
    </row>
    <row r="22" spans="1:25" ht="84.95" customHeight="1" x14ac:dyDescent="0.2">
      <c r="A22" s="8" t="s">
        <v>338</v>
      </c>
      <c r="B22" s="16" t="s">
        <v>245</v>
      </c>
      <c r="C22" s="6" t="s">
        <v>339</v>
      </c>
      <c r="D22" s="6" t="s">
        <v>113</v>
      </c>
      <c r="E22" s="15" t="s">
        <v>809</v>
      </c>
      <c r="F22" s="3">
        <v>60000000</v>
      </c>
      <c r="G22" s="9"/>
      <c r="H22" s="9"/>
      <c r="I22" s="3"/>
      <c r="J22" s="3">
        <v>60000000</v>
      </c>
      <c r="K22" s="3">
        <v>100000000</v>
      </c>
      <c r="L22" s="3">
        <v>100000000</v>
      </c>
      <c r="M22" s="3">
        <v>100000000</v>
      </c>
      <c r="N22" s="3">
        <v>50000000</v>
      </c>
      <c r="O22" s="2">
        <f t="shared" si="2"/>
        <v>410000000</v>
      </c>
      <c r="P22" s="10">
        <v>43454</v>
      </c>
      <c r="Q22" s="11">
        <v>44773</v>
      </c>
      <c r="R22" s="5" t="s">
        <v>95</v>
      </c>
      <c r="S22" s="6" t="s">
        <v>28</v>
      </c>
      <c r="T22" s="16" t="s">
        <v>140</v>
      </c>
      <c r="U22" s="7" t="s">
        <v>141</v>
      </c>
      <c r="V22" s="7" t="s">
        <v>142</v>
      </c>
      <c r="W22" s="7" t="s">
        <v>143</v>
      </c>
      <c r="X22" s="12" t="s">
        <v>144</v>
      </c>
      <c r="Y22" s="7" t="s">
        <v>24</v>
      </c>
    </row>
    <row r="23" spans="1:25" ht="84.95" customHeight="1" x14ac:dyDescent="0.2">
      <c r="A23" s="8" t="s">
        <v>340</v>
      </c>
      <c r="B23" s="16" t="s">
        <v>97</v>
      </c>
      <c r="C23" s="6" t="s">
        <v>342</v>
      </c>
      <c r="D23" s="6" t="s">
        <v>30</v>
      </c>
      <c r="E23" s="15" t="s">
        <v>341</v>
      </c>
      <c r="F23" s="3">
        <v>104000000</v>
      </c>
      <c r="G23" s="9">
        <v>50743388</v>
      </c>
      <c r="H23" s="9"/>
      <c r="I23" s="3"/>
      <c r="J23" s="3">
        <v>104000000</v>
      </c>
      <c r="K23" s="3">
        <v>250000000</v>
      </c>
      <c r="L23" s="3">
        <f>250000000+50743388</f>
        <v>300743388</v>
      </c>
      <c r="M23" s="3">
        <v>250000000</v>
      </c>
      <c r="N23" s="3">
        <v>135000000</v>
      </c>
      <c r="O23" s="2">
        <f t="shared" si="2"/>
        <v>1039743388</v>
      </c>
      <c r="P23" s="10">
        <v>43453</v>
      </c>
      <c r="Q23" s="11">
        <v>44773</v>
      </c>
      <c r="R23" s="5" t="s">
        <v>95</v>
      </c>
      <c r="S23" s="6" t="s">
        <v>28</v>
      </c>
      <c r="T23" s="7" t="s">
        <v>249</v>
      </c>
      <c r="U23" s="7" t="s">
        <v>55</v>
      </c>
      <c r="V23" s="7" t="s">
        <v>56</v>
      </c>
      <c r="W23" s="7" t="s">
        <v>57</v>
      </c>
      <c r="X23" s="12" t="s">
        <v>58</v>
      </c>
      <c r="Y23" s="7" t="s">
        <v>24</v>
      </c>
    </row>
    <row r="24" spans="1:25" ht="84.95" customHeight="1" x14ac:dyDescent="0.2">
      <c r="A24" s="8" t="s">
        <v>343</v>
      </c>
      <c r="B24" s="16" t="s">
        <v>344</v>
      </c>
      <c r="C24" s="6" t="s">
        <v>346</v>
      </c>
      <c r="D24" s="6" t="s">
        <v>804</v>
      </c>
      <c r="E24" s="15" t="s">
        <v>345</v>
      </c>
      <c r="F24" s="3">
        <v>94661000</v>
      </c>
      <c r="G24" s="23"/>
      <c r="H24" s="23">
        <f>200000000+330000000+330000000+323000000</f>
        <v>1183000000</v>
      </c>
      <c r="I24" s="3"/>
      <c r="J24" s="3">
        <v>94661000</v>
      </c>
      <c r="K24" s="3">
        <f>2343768000-200000000</f>
        <v>2143768000</v>
      </c>
      <c r="L24" s="3">
        <f>2414088000-330000000</f>
        <v>2084088000</v>
      </c>
      <c r="M24" s="3">
        <f>2486508000-330000000-323000000</f>
        <v>1833508000</v>
      </c>
      <c r="N24" s="3">
        <v>1493975000</v>
      </c>
      <c r="O24" s="2">
        <f t="shared" si="2"/>
        <v>7650000000</v>
      </c>
      <c r="P24" s="10">
        <v>43455</v>
      </c>
      <c r="Q24" s="11">
        <v>44773</v>
      </c>
      <c r="R24" s="5" t="s">
        <v>207</v>
      </c>
      <c r="S24" s="6" t="s">
        <v>27</v>
      </c>
      <c r="T24" s="16" t="s">
        <v>129</v>
      </c>
      <c r="U24" s="7" t="s">
        <v>347</v>
      </c>
      <c r="V24" s="7" t="s">
        <v>348</v>
      </c>
      <c r="W24" s="7" t="s">
        <v>131</v>
      </c>
      <c r="X24" s="12" t="s">
        <v>349</v>
      </c>
      <c r="Y24" s="7" t="s">
        <v>24</v>
      </c>
    </row>
    <row r="25" spans="1:25" ht="84.95" customHeight="1" x14ac:dyDescent="0.2">
      <c r="A25" s="8" t="s">
        <v>350</v>
      </c>
      <c r="B25" s="16" t="s">
        <v>351</v>
      </c>
      <c r="C25" s="6" t="s">
        <v>352</v>
      </c>
      <c r="D25" s="6" t="s">
        <v>804</v>
      </c>
      <c r="E25" s="15" t="s">
        <v>838</v>
      </c>
      <c r="F25" s="3">
        <v>62113160</v>
      </c>
      <c r="G25" s="9"/>
      <c r="H25" s="9"/>
      <c r="I25" s="3"/>
      <c r="J25" s="3">
        <v>62113160</v>
      </c>
      <c r="K25" s="3">
        <v>1535437308</v>
      </c>
      <c r="L25" s="3">
        <v>1581500424</v>
      </c>
      <c r="M25" s="3">
        <v>1628945436</v>
      </c>
      <c r="N25" s="3">
        <v>978724719</v>
      </c>
      <c r="O25" s="2">
        <f t="shared" si="2"/>
        <v>5786721047</v>
      </c>
      <c r="P25" s="10">
        <v>43455</v>
      </c>
      <c r="Q25" s="11">
        <v>44773</v>
      </c>
      <c r="R25" s="5" t="s">
        <v>825</v>
      </c>
      <c r="S25" s="4" t="s">
        <v>25</v>
      </c>
      <c r="T25" s="16" t="s">
        <v>93</v>
      </c>
      <c r="U25" s="7" t="s">
        <v>94</v>
      </c>
      <c r="V25" s="7" t="s">
        <v>353</v>
      </c>
      <c r="W25" s="7" t="s">
        <v>354</v>
      </c>
      <c r="X25" s="12" t="s">
        <v>355</v>
      </c>
      <c r="Y25" s="7" t="s">
        <v>24</v>
      </c>
    </row>
    <row r="26" spans="1:25" ht="179.25" customHeight="1" x14ac:dyDescent="0.2">
      <c r="A26" s="8" t="s">
        <v>788</v>
      </c>
      <c r="B26" s="16" t="s">
        <v>247</v>
      </c>
      <c r="C26" s="6" t="s">
        <v>790</v>
      </c>
      <c r="D26" s="6" t="s">
        <v>804</v>
      </c>
      <c r="E26" s="15" t="s">
        <v>789</v>
      </c>
      <c r="F26" s="3">
        <v>86000000</v>
      </c>
      <c r="G26" s="23"/>
      <c r="H26" s="23">
        <f>119036932+250000000+200000000</f>
        <v>569036932</v>
      </c>
      <c r="I26" s="3"/>
      <c r="J26" s="3">
        <v>86000000</v>
      </c>
      <c r="K26" s="3">
        <v>2387477502</v>
      </c>
      <c r="L26" s="3">
        <f>2520353639-250000000-200000000</f>
        <v>2070353639</v>
      </c>
      <c r="M26" s="3">
        <v>2595964248</v>
      </c>
      <c r="N26" s="3">
        <v>1559741852</v>
      </c>
      <c r="O26" s="2">
        <f t="shared" si="2"/>
        <v>8699537241</v>
      </c>
      <c r="P26" s="10">
        <v>43455</v>
      </c>
      <c r="Q26" s="11">
        <v>44773</v>
      </c>
      <c r="R26" s="5" t="s">
        <v>53</v>
      </c>
      <c r="S26" s="6" t="s">
        <v>27</v>
      </c>
      <c r="T26" s="16" t="s">
        <v>234</v>
      </c>
      <c r="U26" s="7" t="s">
        <v>235</v>
      </c>
      <c r="V26" s="7" t="s">
        <v>130</v>
      </c>
      <c r="W26" s="7" t="s">
        <v>131</v>
      </c>
      <c r="X26" s="19" t="s">
        <v>236</v>
      </c>
      <c r="Y26" s="7" t="s">
        <v>24</v>
      </c>
    </row>
    <row r="27" spans="1:25" ht="84.95" customHeight="1" x14ac:dyDescent="0.2">
      <c r="A27" s="8" t="s">
        <v>362</v>
      </c>
      <c r="B27" s="16" t="s">
        <v>363</v>
      </c>
      <c r="C27" s="6" t="s">
        <v>365</v>
      </c>
      <c r="D27" s="6" t="s">
        <v>804</v>
      </c>
      <c r="E27" s="15" t="s">
        <v>364</v>
      </c>
      <c r="F27" s="3">
        <v>80000000</v>
      </c>
      <c r="G27" s="23"/>
      <c r="H27" s="23">
        <v>33650000</v>
      </c>
      <c r="I27" s="3"/>
      <c r="J27" s="3">
        <v>80000000</v>
      </c>
      <c r="K27" s="3">
        <v>2793050000</v>
      </c>
      <c r="L27" s="3">
        <v>2923700000</v>
      </c>
      <c r="M27" s="3">
        <v>3000600000</v>
      </c>
      <c r="N27" s="3">
        <v>1792000000</v>
      </c>
      <c r="O27" s="2">
        <f t="shared" si="2"/>
        <v>10589350000</v>
      </c>
      <c r="P27" s="10">
        <v>43458</v>
      </c>
      <c r="Q27" s="11">
        <v>44773</v>
      </c>
      <c r="R27" s="5" t="s">
        <v>224</v>
      </c>
      <c r="S27" s="6" t="s">
        <v>27</v>
      </c>
      <c r="T27" s="16" t="s">
        <v>366</v>
      </c>
      <c r="U27" s="7" t="s">
        <v>367</v>
      </c>
      <c r="V27" s="7" t="s">
        <v>368</v>
      </c>
      <c r="W27" s="7" t="s">
        <v>131</v>
      </c>
      <c r="X27" s="12" t="s">
        <v>369</v>
      </c>
      <c r="Y27" s="7" t="s">
        <v>24</v>
      </c>
    </row>
    <row r="28" spans="1:25" ht="107.25" customHeight="1" x14ac:dyDescent="0.2">
      <c r="A28" s="8" t="s">
        <v>797</v>
      </c>
      <c r="B28" s="16" t="s">
        <v>799</v>
      </c>
      <c r="C28" s="6" t="s">
        <v>800</v>
      </c>
      <c r="D28" s="6" t="s">
        <v>30</v>
      </c>
      <c r="E28" s="15" t="s">
        <v>798</v>
      </c>
      <c r="F28" s="3">
        <v>50000000</v>
      </c>
      <c r="G28" s="23"/>
      <c r="H28" s="23">
        <v>105000000</v>
      </c>
      <c r="I28" s="3"/>
      <c r="J28" s="3">
        <v>50000000</v>
      </c>
      <c r="K28" s="3">
        <v>85000000</v>
      </c>
      <c r="L28" s="3">
        <f>85000000-105000000</f>
        <v>-20000000</v>
      </c>
      <c r="M28" s="3">
        <v>85000000</v>
      </c>
      <c r="N28" s="3">
        <v>50000000</v>
      </c>
      <c r="O28" s="2">
        <f t="shared" si="2"/>
        <v>250000000</v>
      </c>
      <c r="P28" s="10">
        <v>43461</v>
      </c>
      <c r="Q28" s="11">
        <v>44742</v>
      </c>
      <c r="R28" s="5" t="s">
        <v>95</v>
      </c>
      <c r="S28" s="6" t="s">
        <v>28</v>
      </c>
      <c r="T28" s="16" t="s">
        <v>801</v>
      </c>
      <c r="U28" s="7" t="s">
        <v>803</v>
      </c>
      <c r="V28" s="7" t="s">
        <v>802</v>
      </c>
      <c r="W28" s="7"/>
      <c r="X28" s="12"/>
      <c r="Y28" s="7" t="s">
        <v>24</v>
      </c>
    </row>
    <row r="29" spans="1:25" ht="80.25" customHeight="1" x14ac:dyDescent="0.2">
      <c r="A29" s="8" t="s">
        <v>783</v>
      </c>
      <c r="B29" s="16" t="s">
        <v>247</v>
      </c>
      <c r="C29" s="6" t="s">
        <v>784</v>
      </c>
      <c r="D29" s="6" t="s">
        <v>804</v>
      </c>
      <c r="E29" s="15" t="s">
        <v>785</v>
      </c>
      <c r="F29" s="3">
        <v>102935000</v>
      </c>
      <c r="G29" s="9">
        <f>108500000+67000000</f>
        <v>175500000</v>
      </c>
      <c r="H29" s="23">
        <v>88981797</v>
      </c>
      <c r="I29" s="3"/>
      <c r="J29" s="3">
        <v>102935000</v>
      </c>
      <c r="K29" s="3">
        <v>1183294803</v>
      </c>
      <c r="L29" s="3">
        <f>1310444898+108500000</f>
        <v>1418944898</v>
      </c>
      <c r="M29" s="3">
        <f>1349758245+67000000</f>
        <v>1416758245</v>
      </c>
      <c r="N29" s="3">
        <v>810979746</v>
      </c>
      <c r="O29" s="2">
        <f t="shared" si="2"/>
        <v>4932912692</v>
      </c>
      <c r="P29" s="10">
        <v>43458</v>
      </c>
      <c r="Q29" s="11">
        <v>44773</v>
      </c>
      <c r="R29" s="18" t="s">
        <v>840</v>
      </c>
      <c r="S29" s="6" t="s">
        <v>27</v>
      </c>
      <c r="T29" s="16" t="s">
        <v>234</v>
      </c>
      <c r="U29" s="7" t="s">
        <v>235</v>
      </c>
      <c r="V29" s="7" t="s">
        <v>130</v>
      </c>
      <c r="W29" s="7" t="s">
        <v>131</v>
      </c>
      <c r="X29" s="19" t="s">
        <v>236</v>
      </c>
      <c r="Y29" s="7" t="s">
        <v>24</v>
      </c>
    </row>
    <row r="30" spans="1:25" ht="158.25" customHeight="1" x14ac:dyDescent="0.2">
      <c r="A30" s="8" t="s">
        <v>370</v>
      </c>
      <c r="B30" s="16" t="s">
        <v>371</v>
      </c>
      <c r="C30" s="6" t="s">
        <v>372</v>
      </c>
      <c r="D30" s="6" t="s">
        <v>804</v>
      </c>
      <c r="E30" s="15" t="s">
        <v>795</v>
      </c>
      <c r="F30" s="3">
        <v>38999600</v>
      </c>
      <c r="G30" s="9">
        <v>50648190</v>
      </c>
      <c r="H30" s="9"/>
      <c r="I30" s="3"/>
      <c r="J30" s="3">
        <v>38999600</v>
      </c>
      <c r="K30" s="3">
        <v>482035056</v>
      </c>
      <c r="L30" s="3">
        <v>496496108</v>
      </c>
      <c r="M30" s="3">
        <v>511390991</v>
      </c>
      <c r="N30" s="3">
        <v>307260754</v>
      </c>
      <c r="O30" s="2">
        <f t="shared" si="2"/>
        <v>1836182509</v>
      </c>
      <c r="P30" s="10">
        <v>43458</v>
      </c>
      <c r="Q30" s="11">
        <v>44773</v>
      </c>
      <c r="R30" s="5" t="s">
        <v>828</v>
      </c>
      <c r="S30" s="6" t="s">
        <v>27</v>
      </c>
      <c r="T30" s="16" t="s">
        <v>266</v>
      </c>
      <c r="U30" s="7" t="s">
        <v>267</v>
      </c>
      <c r="V30" s="7" t="s">
        <v>130</v>
      </c>
      <c r="W30" s="7" t="s">
        <v>131</v>
      </c>
      <c r="X30" s="12" t="s">
        <v>268</v>
      </c>
      <c r="Y30" s="7" t="s">
        <v>24</v>
      </c>
    </row>
    <row r="31" spans="1:25" ht="84.95" customHeight="1" x14ac:dyDescent="0.2">
      <c r="A31" s="8" t="s">
        <v>373</v>
      </c>
      <c r="B31" s="16" t="s">
        <v>70</v>
      </c>
      <c r="C31" s="6" t="s">
        <v>375</v>
      </c>
      <c r="D31" s="6" t="s">
        <v>29</v>
      </c>
      <c r="E31" s="15" t="s">
        <v>374</v>
      </c>
      <c r="F31" s="3">
        <v>60995959</v>
      </c>
      <c r="G31" s="9">
        <v>20000000</v>
      </c>
      <c r="H31" s="9"/>
      <c r="I31" s="25"/>
      <c r="J31" s="3">
        <v>60995959</v>
      </c>
      <c r="K31" s="3">
        <v>478511918</v>
      </c>
      <c r="L31" s="3">
        <v>649027980</v>
      </c>
      <c r="M31" s="3">
        <v>683806218</v>
      </c>
      <c r="N31" s="3">
        <v>356008705</v>
      </c>
      <c r="O31" s="2">
        <f t="shared" si="2"/>
        <v>2228350780</v>
      </c>
      <c r="P31" s="10">
        <v>43460</v>
      </c>
      <c r="Q31" s="11">
        <v>44773</v>
      </c>
      <c r="R31" s="5" t="s">
        <v>843</v>
      </c>
      <c r="S31" s="4" t="s">
        <v>25</v>
      </c>
      <c r="T31" s="16" t="s">
        <v>71</v>
      </c>
      <c r="U31" s="7" t="s">
        <v>72</v>
      </c>
      <c r="V31" s="7" t="s">
        <v>376</v>
      </c>
      <c r="W31" s="7" t="s">
        <v>377</v>
      </c>
      <c r="X31" s="19" t="s">
        <v>673</v>
      </c>
      <c r="Y31" s="7" t="s">
        <v>24</v>
      </c>
    </row>
    <row r="32" spans="1:25" ht="84.95" customHeight="1" x14ac:dyDescent="0.2">
      <c r="A32" s="8" t="s">
        <v>378</v>
      </c>
      <c r="B32" s="16" t="s">
        <v>99</v>
      </c>
      <c r="C32" s="6" t="s">
        <v>375</v>
      </c>
      <c r="D32" s="6" t="s">
        <v>29</v>
      </c>
      <c r="E32" s="15" t="s">
        <v>374</v>
      </c>
      <c r="F32" s="3">
        <v>43326914</v>
      </c>
      <c r="G32" s="9"/>
      <c r="H32" s="23">
        <f>500000000+600000000</f>
        <v>1100000000</v>
      </c>
      <c r="I32" s="3"/>
      <c r="J32" s="3">
        <v>43326914</v>
      </c>
      <c r="K32" s="3">
        <v>566213813</v>
      </c>
      <c r="L32" s="3">
        <f>904221785-500000000</f>
        <v>404221785</v>
      </c>
      <c r="M32" s="3">
        <f>962852667-600000000</f>
        <v>362852667</v>
      </c>
      <c r="N32" s="3">
        <v>542399132</v>
      </c>
      <c r="O32" s="2">
        <f t="shared" si="2"/>
        <v>1919014311</v>
      </c>
      <c r="P32" s="10">
        <v>43460</v>
      </c>
      <c r="Q32" s="11">
        <v>44773</v>
      </c>
      <c r="R32" s="5" t="s">
        <v>843</v>
      </c>
      <c r="S32" s="4" t="s">
        <v>25</v>
      </c>
      <c r="T32" s="16" t="s">
        <v>379</v>
      </c>
      <c r="U32" s="7" t="s">
        <v>380</v>
      </c>
      <c r="V32" s="7" t="s">
        <v>381</v>
      </c>
      <c r="W32" s="7" t="s">
        <v>382</v>
      </c>
      <c r="X32" s="12" t="s">
        <v>383</v>
      </c>
      <c r="Y32" s="7" t="s">
        <v>24</v>
      </c>
    </row>
    <row r="33" spans="1:25" ht="162" customHeight="1" x14ac:dyDescent="0.2">
      <c r="A33" s="8" t="s">
        <v>384</v>
      </c>
      <c r="B33" s="16" t="s">
        <v>173</v>
      </c>
      <c r="C33" s="6" t="s">
        <v>375</v>
      </c>
      <c r="D33" s="6" t="s">
        <v>29</v>
      </c>
      <c r="E33" s="15" t="s">
        <v>374</v>
      </c>
      <c r="F33" s="3">
        <v>16320810</v>
      </c>
      <c r="G33" s="9"/>
      <c r="H33" s="23">
        <v>400000000</v>
      </c>
      <c r="I33" s="3"/>
      <c r="J33" s="3">
        <v>16320810</v>
      </c>
      <c r="K33" s="3">
        <v>386524468</v>
      </c>
      <c r="L33" s="3">
        <f>593096277-400000000</f>
        <v>193096277</v>
      </c>
      <c r="M33" s="3">
        <v>641165958</v>
      </c>
      <c r="N33" s="3">
        <v>395842341</v>
      </c>
      <c r="O33" s="2">
        <f t="shared" si="2"/>
        <v>1632949854</v>
      </c>
      <c r="P33" s="10">
        <v>43460</v>
      </c>
      <c r="Q33" s="11">
        <v>44773</v>
      </c>
      <c r="R33" s="5" t="s">
        <v>843</v>
      </c>
      <c r="S33" s="4" t="s">
        <v>25</v>
      </c>
      <c r="T33" s="16" t="s">
        <v>174</v>
      </c>
      <c r="U33" s="7" t="s">
        <v>385</v>
      </c>
      <c r="V33" s="7" t="s">
        <v>223</v>
      </c>
      <c r="W33" s="7" t="s">
        <v>175</v>
      </c>
      <c r="X33" s="12" t="s">
        <v>176</v>
      </c>
      <c r="Y33" s="7" t="s">
        <v>24</v>
      </c>
    </row>
    <row r="34" spans="1:25" ht="114.75" customHeight="1" x14ac:dyDescent="0.2">
      <c r="A34" s="8" t="s">
        <v>386</v>
      </c>
      <c r="B34" s="16" t="s">
        <v>187</v>
      </c>
      <c r="C34" s="6" t="s">
        <v>375</v>
      </c>
      <c r="D34" s="6" t="s">
        <v>29</v>
      </c>
      <c r="E34" s="15" t="s">
        <v>374</v>
      </c>
      <c r="F34" s="3">
        <v>26749102</v>
      </c>
      <c r="G34" s="9"/>
      <c r="H34" s="9"/>
      <c r="I34" s="3"/>
      <c r="J34" s="3">
        <v>26749102</v>
      </c>
      <c r="K34" s="3">
        <v>502302895</v>
      </c>
      <c r="L34" s="3">
        <f>653235019-653235019</f>
        <v>0</v>
      </c>
      <c r="M34" s="3">
        <v>703070526</v>
      </c>
      <c r="N34" s="3">
        <v>208521882</v>
      </c>
      <c r="O34" s="2">
        <f t="shared" si="2"/>
        <v>1440644405</v>
      </c>
      <c r="P34" s="10">
        <v>43460</v>
      </c>
      <c r="Q34" s="11">
        <v>44773</v>
      </c>
      <c r="R34" s="5" t="s">
        <v>843</v>
      </c>
      <c r="S34" s="4" t="s">
        <v>25</v>
      </c>
      <c r="T34" s="16" t="s">
        <v>387</v>
      </c>
      <c r="U34" s="7" t="s">
        <v>188</v>
      </c>
      <c r="V34" s="7" t="s">
        <v>189</v>
      </c>
      <c r="W34" s="7" t="s">
        <v>388</v>
      </c>
      <c r="X34" s="12" t="s">
        <v>389</v>
      </c>
      <c r="Y34" s="7" t="s">
        <v>24</v>
      </c>
    </row>
    <row r="35" spans="1:25" ht="84.95" customHeight="1" x14ac:dyDescent="0.2">
      <c r="A35" s="8" t="s">
        <v>390</v>
      </c>
      <c r="B35" s="16" t="s">
        <v>391</v>
      </c>
      <c r="C35" s="6" t="s">
        <v>375</v>
      </c>
      <c r="D35" s="6" t="s">
        <v>29</v>
      </c>
      <c r="E35" s="15" t="s">
        <v>374</v>
      </c>
      <c r="F35" s="3">
        <v>31700000</v>
      </c>
      <c r="G35" s="9">
        <v>60000000</v>
      </c>
      <c r="H35" s="9"/>
      <c r="I35" s="3"/>
      <c r="J35" s="3">
        <v>31700000</v>
      </c>
      <c r="K35" s="3">
        <v>707800000</v>
      </c>
      <c r="L35" s="3">
        <v>855300000</v>
      </c>
      <c r="M35" s="3">
        <v>959000000</v>
      </c>
      <c r="N35" s="3">
        <v>495000000</v>
      </c>
      <c r="O35" s="2">
        <f t="shared" si="2"/>
        <v>3048800000</v>
      </c>
      <c r="P35" s="10">
        <v>43460</v>
      </c>
      <c r="Q35" s="11">
        <v>44773</v>
      </c>
      <c r="R35" s="5" t="s">
        <v>843</v>
      </c>
      <c r="S35" s="4" t="s">
        <v>25</v>
      </c>
      <c r="T35" s="16" t="s">
        <v>392</v>
      </c>
      <c r="U35" s="7" t="s">
        <v>393</v>
      </c>
      <c r="V35" s="7" t="s">
        <v>394</v>
      </c>
      <c r="W35" s="7" t="s">
        <v>395</v>
      </c>
      <c r="X35" s="19" t="s">
        <v>792</v>
      </c>
      <c r="Y35" s="7" t="s">
        <v>24</v>
      </c>
    </row>
    <row r="36" spans="1:25" ht="84.95" customHeight="1" x14ac:dyDescent="0.2">
      <c r="A36" s="8" t="s">
        <v>396</v>
      </c>
      <c r="B36" s="16" t="s">
        <v>169</v>
      </c>
      <c r="C36" s="6" t="s">
        <v>375</v>
      </c>
      <c r="D36" s="6" t="s">
        <v>29</v>
      </c>
      <c r="E36" s="15" t="s">
        <v>374</v>
      </c>
      <c r="F36" s="3">
        <v>8420326</v>
      </c>
      <c r="G36" s="23"/>
      <c r="H36" s="23">
        <v>10000000</v>
      </c>
      <c r="I36" s="3"/>
      <c r="J36" s="3">
        <v>8420326</v>
      </c>
      <c r="K36" s="3">
        <v>176297134</v>
      </c>
      <c r="L36" s="3">
        <v>261726929</v>
      </c>
      <c r="M36" s="3">
        <v>262062848</v>
      </c>
      <c r="N36" s="3">
        <v>183431503</v>
      </c>
      <c r="O36" s="2">
        <f t="shared" si="2"/>
        <v>891938740</v>
      </c>
      <c r="P36" s="10">
        <v>43460</v>
      </c>
      <c r="Q36" s="11">
        <v>44773</v>
      </c>
      <c r="R36" s="5" t="s">
        <v>843</v>
      </c>
      <c r="S36" s="4" t="s">
        <v>25</v>
      </c>
      <c r="T36" s="16" t="s">
        <v>170</v>
      </c>
      <c r="U36" s="7" t="s">
        <v>171</v>
      </c>
      <c r="V36" s="7" t="s">
        <v>397</v>
      </c>
      <c r="W36" s="7" t="s">
        <v>202</v>
      </c>
      <c r="X36" s="19" t="s">
        <v>172</v>
      </c>
      <c r="Y36" s="7" t="s">
        <v>24</v>
      </c>
    </row>
    <row r="37" spans="1:25" ht="105" customHeight="1" x14ac:dyDescent="0.2">
      <c r="A37" s="8" t="s">
        <v>398</v>
      </c>
      <c r="B37" s="16" t="s">
        <v>183</v>
      </c>
      <c r="C37" s="6" t="s">
        <v>375</v>
      </c>
      <c r="D37" s="6" t="s">
        <v>29</v>
      </c>
      <c r="E37" s="15" t="s">
        <v>374</v>
      </c>
      <c r="F37" s="3">
        <v>44397157</v>
      </c>
      <c r="G37" s="23"/>
      <c r="H37" s="23">
        <v>250000000</v>
      </c>
      <c r="I37" s="3"/>
      <c r="J37" s="3">
        <v>44397157</v>
      </c>
      <c r="K37" s="3">
        <v>638854812</v>
      </c>
      <c r="L37" s="3">
        <f>1082105570-250000000</f>
        <v>832105570</v>
      </c>
      <c r="M37" s="3">
        <v>1057080083</v>
      </c>
      <c r="N37" s="3">
        <v>736994817</v>
      </c>
      <c r="O37" s="2">
        <f t="shared" si="2"/>
        <v>3309432439</v>
      </c>
      <c r="P37" s="10">
        <v>43460</v>
      </c>
      <c r="Q37" s="11">
        <v>44773</v>
      </c>
      <c r="R37" s="5" t="s">
        <v>843</v>
      </c>
      <c r="S37" s="4" t="s">
        <v>25</v>
      </c>
      <c r="T37" s="16" t="s">
        <v>399</v>
      </c>
      <c r="U37" s="7" t="s">
        <v>184</v>
      </c>
      <c r="V37" s="7" t="s">
        <v>400</v>
      </c>
      <c r="W37" s="7" t="s">
        <v>185</v>
      </c>
      <c r="X37" s="19" t="s">
        <v>186</v>
      </c>
      <c r="Y37" s="7" t="s">
        <v>24</v>
      </c>
    </row>
    <row r="38" spans="1:25" ht="84.95" customHeight="1" x14ac:dyDescent="0.2">
      <c r="A38" s="8" t="s">
        <v>401</v>
      </c>
      <c r="B38" s="16" t="s">
        <v>177</v>
      </c>
      <c r="C38" s="6" t="s">
        <v>375</v>
      </c>
      <c r="D38" s="6" t="s">
        <v>29</v>
      </c>
      <c r="E38" s="15" t="s">
        <v>374</v>
      </c>
      <c r="F38" s="3">
        <v>9774203</v>
      </c>
      <c r="G38" s="9"/>
      <c r="H38" s="9"/>
      <c r="I38" s="3"/>
      <c r="J38" s="3">
        <v>9774203</v>
      </c>
      <c r="K38" s="3">
        <v>186598411</v>
      </c>
      <c r="L38" s="3">
        <v>262126339</v>
      </c>
      <c r="M38" s="3">
        <v>294686633</v>
      </c>
      <c r="N38" s="3">
        <v>157534095</v>
      </c>
      <c r="O38" s="2">
        <f t="shared" si="2"/>
        <v>910719681</v>
      </c>
      <c r="P38" s="10">
        <v>43460</v>
      </c>
      <c r="Q38" s="11">
        <v>44773</v>
      </c>
      <c r="R38" s="5" t="s">
        <v>843</v>
      </c>
      <c r="S38" s="4" t="s">
        <v>25</v>
      </c>
      <c r="T38" s="16" t="s">
        <v>178</v>
      </c>
      <c r="U38" s="7" t="s">
        <v>179</v>
      </c>
      <c r="V38" s="7" t="s">
        <v>402</v>
      </c>
      <c r="W38" s="7" t="s">
        <v>403</v>
      </c>
      <c r="X38" s="19" t="s">
        <v>180</v>
      </c>
      <c r="Y38" s="7" t="s">
        <v>24</v>
      </c>
    </row>
    <row r="39" spans="1:25" ht="84.95" customHeight="1" x14ac:dyDescent="0.2">
      <c r="A39" s="8" t="s">
        <v>404</v>
      </c>
      <c r="B39" s="16" t="s">
        <v>405</v>
      </c>
      <c r="C39" s="6" t="s">
        <v>375</v>
      </c>
      <c r="D39" s="6" t="s">
        <v>29</v>
      </c>
      <c r="E39" s="15" t="s">
        <v>374</v>
      </c>
      <c r="F39" s="3">
        <v>10010000</v>
      </c>
      <c r="G39" s="9"/>
      <c r="H39" s="9"/>
      <c r="I39" s="3"/>
      <c r="J39" s="3">
        <v>10010000</v>
      </c>
      <c r="K39" s="3">
        <v>191100000</v>
      </c>
      <c r="L39" s="3">
        <v>268450000</v>
      </c>
      <c r="M39" s="3">
        <v>254800000</v>
      </c>
      <c r="N39" s="3">
        <v>185640000</v>
      </c>
      <c r="O39" s="2">
        <f t="shared" si="2"/>
        <v>910000000</v>
      </c>
      <c r="P39" s="10">
        <v>43460</v>
      </c>
      <c r="Q39" s="11">
        <v>44773</v>
      </c>
      <c r="R39" s="5" t="s">
        <v>843</v>
      </c>
      <c r="S39" s="4" t="s">
        <v>25</v>
      </c>
      <c r="T39" s="16" t="s">
        <v>406</v>
      </c>
      <c r="U39" s="7" t="s">
        <v>407</v>
      </c>
      <c r="V39" s="7" t="s">
        <v>408</v>
      </c>
      <c r="W39" s="7" t="s">
        <v>409</v>
      </c>
      <c r="X39" s="19" t="s">
        <v>604</v>
      </c>
      <c r="Y39" s="7" t="s">
        <v>24</v>
      </c>
    </row>
    <row r="40" spans="1:25" ht="84.95" customHeight="1" x14ac:dyDescent="0.2">
      <c r="A40" s="8" t="s">
        <v>410</v>
      </c>
      <c r="B40" s="16" t="s">
        <v>43</v>
      </c>
      <c r="C40" s="6" t="s">
        <v>375</v>
      </c>
      <c r="D40" s="6" t="s">
        <v>29</v>
      </c>
      <c r="E40" s="15" t="s">
        <v>374</v>
      </c>
      <c r="F40" s="3">
        <v>5973888</v>
      </c>
      <c r="G40" s="9"/>
      <c r="H40" s="23">
        <v>120000000</v>
      </c>
      <c r="I40" s="3"/>
      <c r="J40" s="3">
        <v>5973888</v>
      </c>
      <c r="K40" s="3">
        <v>114085136</v>
      </c>
      <c r="L40" s="3">
        <f>160262453-120000000</f>
        <v>40262453</v>
      </c>
      <c r="M40" s="3">
        <v>152113514</v>
      </c>
      <c r="N40" s="3">
        <v>110825560</v>
      </c>
      <c r="O40" s="2">
        <f t="shared" si="2"/>
        <v>423260551</v>
      </c>
      <c r="P40" s="10">
        <v>43460</v>
      </c>
      <c r="Q40" s="11">
        <v>44773</v>
      </c>
      <c r="R40" s="5" t="s">
        <v>843</v>
      </c>
      <c r="S40" s="4" t="s">
        <v>25</v>
      </c>
      <c r="T40" s="16" t="s">
        <v>59</v>
      </c>
      <c r="U40" s="7" t="s">
        <v>45</v>
      </c>
      <c r="V40" s="7" t="s">
        <v>411</v>
      </c>
      <c r="W40" s="7" t="s">
        <v>46</v>
      </c>
      <c r="X40" s="19" t="s">
        <v>47</v>
      </c>
      <c r="Y40" s="7" t="s">
        <v>36</v>
      </c>
    </row>
    <row r="41" spans="1:25" ht="104.25" customHeight="1" x14ac:dyDescent="0.2">
      <c r="A41" s="8" t="s">
        <v>412</v>
      </c>
      <c r="B41" s="16" t="s">
        <v>413</v>
      </c>
      <c r="C41" s="6" t="s">
        <v>375</v>
      </c>
      <c r="D41" s="6" t="s">
        <v>29</v>
      </c>
      <c r="E41" s="15" t="s">
        <v>374</v>
      </c>
      <c r="F41" s="3">
        <v>39200000</v>
      </c>
      <c r="G41" s="9">
        <f>457000000+100000000+500000000</f>
        <v>1057000000</v>
      </c>
      <c r="H41" s="9"/>
      <c r="I41" s="3"/>
      <c r="J41" s="3">
        <v>39200000</v>
      </c>
      <c r="K41" s="3">
        <v>907000000</v>
      </c>
      <c r="L41" s="3">
        <f>1050000000+100000000</f>
        <v>1150000000</v>
      </c>
      <c r="M41" s="3">
        <f>1000000000+500000000</f>
        <v>1500000000</v>
      </c>
      <c r="N41" s="3">
        <v>900000000</v>
      </c>
      <c r="O41" s="2">
        <f t="shared" si="2"/>
        <v>4496200000</v>
      </c>
      <c r="P41" s="10">
        <v>43460</v>
      </c>
      <c r="Q41" s="11">
        <v>44773</v>
      </c>
      <c r="R41" s="5" t="s">
        <v>843</v>
      </c>
      <c r="S41" s="4" t="s">
        <v>25</v>
      </c>
      <c r="T41" s="16" t="s">
        <v>414</v>
      </c>
      <c r="U41" s="7" t="s">
        <v>220</v>
      </c>
      <c r="V41" s="7" t="s">
        <v>415</v>
      </c>
      <c r="W41" s="7" t="s">
        <v>221</v>
      </c>
      <c r="X41" s="19" t="s">
        <v>222</v>
      </c>
      <c r="Y41" s="7" t="s">
        <v>24</v>
      </c>
    </row>
    <row r="42" spans="1:25" ht="84.95" customHeight="1" x14ac:dyDescent="0.2">
      <c r="A42" s="8" t="s">
        <v>416</v>
      </c>
      <c r="B42" s="16" t="s">
        <v>121</v>
      </c>
      <c r="C42" s="6" t="s">
        <v>375</v>
      </c>
      <c r="D42" s="6" t="s">
        <v>29</v>
      </c>
      <c r="E42" s="15" t="s">
        <v>374</v>
      </c>
      <c r="F42" s="3">
        <v>12526136</v>
      </c>
      <c r="G42" s="23"/>
      <c r="H42" s="23">
        <v>80000000</v>
      </c>
      <c r="I42" s="3"/>
      <c r="J42" s="3">
        <v>12526136</v>
      </c>
      <c r="K42" s="3">
        <v>159135355</v>
      </c>
      <c r="L42" s="3">
        <f>346928237-80000000</f>
        <v>266928237</v>
      </c>
      <c r="M42" s="3">
        <v>340679557</v>
      </c>
      <c r="N42" s="3">
        <v>232302916</v>
      </c>
      <c r="O42" s="2">
        <f t="shared" si="2"/>
        <v>1011572201</v>
      </c>
      <c r="P42" s="10">
        <v>43460</v>
      </c>
      <c r="Q42" s="11">
        <v>44773</v>
      </c>
      <c r="R42" s="5" t="s">
        <v>843</v>
      </c>
      <c r="S42" s="4" t="s">
        <v>25</v>
      </c>
      <c r="T42" s="16" t="s">
        <v>38</v>
      </c>
      <c r="U42" s="7" t="s">
        <v>39</v>
      </c>
      <c r="V42" s="7" t="s">
        <v>417</v>
      </c>
      <c r="W42" s="7" t="s">
        <v>41</v>
      </c>
      <c r="X42" s="12" t="s">
        <v>418</v>
      </c>
      <c r="Y42" s="7" t="s">
        <v>24</v>
      </c>
    </row>
    <row r="43" spans="1:25" ht="144" customHeight="1" x14ac:dyDescent="0.2">
      <c r="A43" s="8" t="s">
        <v>419</v>
      </c>
      <c r="B43" s="16" t="s">
        <v>78</v>
      </c>
      <c r="C43" s="6" t="s">
        <v>375</v>
      </c>
      <c r="D43" s="6" t="s">
        <v>29</v>
      </c>
      <c r="E43" s="15" t="s">
        <v>374</v>
      </c>
      <c r="F43" s="3">
        <v>2200000</v>
      </c>
      <c r="G43" s="23"/>
      <c r="H43" s="23">
        <f>57772400+78000000+32000000</f>
        <v>167772400</v>
      </c>
      <c r="I43" s="3"/>
      <c r="J43" s="3">
        <v>2200000</v>
      </c>
      <c r="K43" s="3">
        <v>6227600</v>
      </c>
      <c r="L43" s="3">
        <f>78000000-68000000</f>
        <v>10000000</v>
      </c>
      <c r="M43" s="3">
        <f>78000000-32000000</f>
        <v>46000000</v>
      </c>
      <c r="N43" s="3">
        <v>51600000</v>
      </c>
      <c r="O43" s="2">
        <f t="shared" si="2"/>
        <v>116027600</v>
      </c>
      <c r="P43" s="10">
        <v>43460</v>
      </c>
      <c r="Q43" s="11">
        <v>44773</v>
      </c>
      <c r="R43" s="5" t="s">
        <v>843</v>
      </c>
      <c r="S43" s="4" t="s">
        <v>25</v>
      </c>
      <c r="T43" s="16" t="s">
        <v>79</v>
      </c>
      <c r="U43" s="7" t="s">
        <v>80</v>
      </c>
      <c r="V43" s="7" t="s">
        <v>420</v>
      </c>
      <c r="W43" s="7" t="s">
        <v>81</v>
      </c>
      <c r="X43" s="12" t="s">
        <v>421</v>
      </c>
      <c r="Y43" s="7" t="s">
        <v>24</v>
      </c>
    </row>
    <row r="44" spans="1:25" ht="84.95" customHeight="1" x14ac:dyDescent="0.2">
      <c r="A44" s="8" t="s">
        <v>422</v>
      </c>
      <c r="B44" s="16" t="s">
        <v>214</v>
      </c>
      <c r="C44" s="6" t="s">
        <v>375</v>
      </c>
      <c r="D44" s="6" t="s">
        <v>29</v>
      </c>
      <c r="E44" s="15" t="s">
        <v>374</v>
      </c>
      <c r="F44" s="3">
        <v>929241</v>
      </c>
      <c r="G44" s="9"/>
      <c r="H44" s="23">
        <v>12813681</v>
      </c>
      <c r="I44" s="3"/>
      <c r="J44" s="3">
        <v>929241</v>
      </c>
      <c r="K44" s="3">
        <v>17740049</v>
      </c>
      <c r="L44" s="3">
        <v>24920545</v>
      </c>
      <c r="M44" s="3">
        <f>23653399-12813681</f>
        <v>10839718</v>
      </c>
      <c r="N44" s="3">
        <v>17233190</v>
      </c>
      <c r="O44" s="2">
        <f t="shared" si="2"/>
        <v>71662743</v>
      </c>
      <c r="P44" s="10">
        <v>43460</v>
      </c>
      <c r="Q44" s="11">
        <v>44773</v>
      </c>
      <c r="R44" s="5" t="s">
        <v>843</v>
      </c>
      <c r="S44" s="4" t="s">
        <v>25</v>
      </c>
      <c r="T44" s="16" t="s">
        <v>423</v>
      </c>
      <c r="U44" s="7" t="s">
        <v>215</v>
      </c>
      <c r="V44" s="7" t="s">
        <v>424</v>
      </c>
      <c r="W44" s="7" t="s">
        <v>216</v>
      </c>
      <c r="X44" s="12" t="s">
        <v>217</v>
      </c>
      <c r="Y44" s="7" t="s">
        <v>24</v>
      </c>
    </row>
    <row r="45" spans="1:25" ht="84.95" customHeight="1" x14ac:dyDescent="0.2">
      <c r="A45" s="8" t="s">
        <v>425</v>
      </c>
      <c r="B45" s="16" t="s">
        <v>100</v>
      </c>
      <c r="C45" s="6" t="s">
        <v>375</v>
      </c>
      <c r="D45" s="6" t="s">
        <v>29</v>
      </c>
      <c r="E45" s="15" t="s">
        <v>374</v>
      </c>
      <c r="F45" s="3">
        <v>11114776</v>
      </c>
      <c r="G45" s="9"/>
      <c r="H45" s="23">
        <v>130000000</v>
      </c>
      <c r="I45" s="3"/>
      <c r="J45" s="3">
        <v>11114776</v>
      </c>
      <c r="K45" s="3">
        <v>212191172</v>
      </c>
      <c r="L45" s="3">
        <v>298078076</v>
      </c>
      <c r="M45" s="3">
        <f>287921563-130000000</f>
        <v>157921563</v>
      </c>
      <c r="N45" s="3">
        <v>206128568</v>
      </c>
      <c r="O45" s="2">
        <f t="shared" si="2"/>
        <v>885434155</v>
      </c>
      <c r="P45" s="10">
        <v>43460</v>
      </c>
      <c r="Q45" s="11">
        <v>44773</v>
      </c>
      <c r="R45" s="5" t="s">
        <v>843</v>
      </c>
      <c r="S45" s="4" t="s">
        <v>25</v>
      </c>
      <c r="T45" s="16" t="s">
        <v>101</v>
      </c>
      <c r="U45" s="7" t="s">
        <v>102</v>
      </c>
      <c r="V45" s="7" t="s">
        <v>426</v>
      </c>
      <c r="W45" s="7" t="s">
        <v>427</v>
      </c>
      <c r="X45" s="19" t="s">
        <v>105</v>
      </c>
      <c r="Y45" s="7" t="s">
        <v>24</v>
      </c>
    </row>
    <row r="46" spans="1:25" ht="84.95" customHeight="1" x14ac:dyDescent="0.2">
      <c r="A46" s="8" t="s">
        <v>428</v>
      </c>
      <c r="B46" s="16" t="s">
        <v>429</v>
      </c>
      <c r="C46" s="6" t="s">
        <v>375</v>
      </c>
      <c r="D46" s="6" t="s">
        <v>29</v>
      </c>
      <c r="E46" s="15" t="s">
        <v>374</v>
      </c>
      <c r="F46" s="3">
        <v>2848328</v>
      </c>
      <c r="G46" s="9"/>
      <c r="H46" s="23">
        <v>75411993</v>
      </c>
      <c r="I46" s="3"/>
      <c r="J46" s="3">
        <v>2848328</v>
      </c>
      <c r="K46" s="3">
        <v>58558995</v>
      </c>
      <c r="L46" s="3">
        <v>76223350</v>
      </c>
      <c r="M46" s="3">
        <f>75411993-75411993</f>
        <v>0</v>
      </c>
      <c r="N46" s="3">
        <v>57114452</v>
      </c>
      <c r="O46" s="2">
        <f t="shared" si="2"/>
        <v>194745125</v>
      </c>
      <c r="P46" s="10">
        <v>43460</v>
      </c>
      <c r="Q46" s="11">
        <v>44773</v>
      </c>
      <c r="R46" s="5" t="s">
        <v>843</v>
      </c>
      <c r="S46" s="4" t="s">
        <v>25</v>
      </c>
      <c r="T46" s="16" t="s">
        <v>430</v>
      </c>
      <c r="U46" s="7" t="s">
        <v>431</v>
      </c>
      <c r="V46" s="7" t="s">
        <v>432</v>
      </c>
      <c r="W46" s="7" t="s">
        <v>433</v>
      </c>
      <c r="X46" s="19" t="s">
        <v>793</v>
      </c>
      <c r="Y46" s="7" t="s">
        <v>24</v>
      </c>
    </row>
    <row r="47" spans="1:25" ht="84.95" customHeight="1" x14ac:dyDescent="0.2">
      <c r="A47" s="8" t="s">
        <v>434</v>
      </c>
      <c r="B47" s="16" t="s">
        <v>435</v>
      </c>
      <c r="C47" s="6" t="s">
        <v>375</v>
      </c>
      <c r="D47" s="6" t="s">
        <v>29</v>
      </c>
      <c r="E47" s="15" t="s">
        <v>374</v>
      </c>
      <c r="F47" s="3">
        <v>77000</v>
      </c>
      <c r="G47" s="9"/>
      <c r="H47" s="9"/>
      <c r="I47" s="3"/>
      <c r="J47" s="3">
        <v>77000</v>
      </c>
      <c r="K47" s="3">
        <v>1470000</v>
      </c>
      <c r="L47" s="3">
        <v>2065000</v>
      </c>
      <c r="M47" s="3">
        <v>1960000</v>
      </c>
      <c r="N47" s="3">
        <v>1428000</v>
      </c>
      <c r="O47" s="2">
        <f t="shared" si="2"/>
        <v>7000000</v>
      </c>
      <c r="P47" s="10">
        <v>43460</v>
      </c>
      <c r="Q47" s="11">
        <v>44773</v>
      </c>
      <c r="R47" s="5" t="s">
        <v>843</v>
      </c>
      <c r="S47" s="4" t="s">
        <v>25</v>
      </c>
      <c r="T47" s="16" t="s">
        <v>436</v>
      </c>
      <c r="U47" s="7" t="s">
        <v>437</v>
      </c>
      <c r="V47" s="7" t="s">
        <v>438</v>
      </c>
      <c r="W47" s="7" t="s">
        <v>439</v>
      </c>
      <c r="X47" s="19" t="s">
        <v>723</v>
      </c>
      <c r="Y47" s="7" t="s">
        <v>24</v>
      </c>
    </row>
    <row r="48" spans="1:25" ht="84.95" customHeight="1" x14ac:dyDescent="0.2">
      <c r="A48" s="8" t="s">
        <v>440</v>
      </c>
      <c r="B48" s="16" t="s">
        <v>441</v>
      </c>
      <c r="C48" s="6" t="s">
        <v>375</v>
      </c>
      <c r="D48" s="6" t="s">
        <v>29</v>
      </c>
      <c r="E48" s="15" t="s">
        <v>374</v>
      </c>
      <c r="F48" s="3">
        <v>60000000</v>
      </c>
      <c r="G48" s="9">
        <f>40000000+55000000</f>
        <v>95000000</v>
      </c>
      <c r="H48" s="9"/>
      <c r="I48" s="3"/>
      <c r="J48" s="3">
        <v>60000000</v>
      </c>
      <c r="K48" s="3">
        <v>452437796</v>
      </c>
      <c r="L48" s="3">
        <f>590188517+55000000</f>
        <v>645188517</v>
      </c>
      <c r="M48" s="3">
        <v>700444181</v>
      </c>
      <c r="N48" s="3">
        <v>228929506</v>
      </c>
      <c r="O48" s="2">
        <f t="shared" si="2"/>
        <v>2087000000</v>
      </c>
      <c r="P48" s="10">
        <v>43460</v>
      </c>
      <c r="Q48" s="11">
        <v>44773</v>
      </c>
      <c r="R48" s="5" t="s">
        <v>843</v>
      </c>
      <c r="S48" s="4" t="s">
        <v>25</v>
      </c>
      <c r="T48" s="16" t="s">
        <v>442</v>
      </c>
      <c r="U48" s="7" t="s">
        <v>443</v>
      </c>
      <c r="V48" s="7" t="s">
        <v>444</v>
      </c>
      <c r="W48" s="7" t="s">
        <v>445</v>
      </c>
      <c r="X48" s="19" t="s">
        <v>794</v>
      </c>
      <c r="Y48" s="7" t="s">
        <v>446</v>
      </c>
    </row>
    <row r="49" spans="1:25" ht="84.95" customHeight="1" x14ac:dyDescent="0.2">
      <c r="A49" s="8" t="s">
        <v>447</v>
      </c>
      <c r="B49" s="16" t="s">
        <v>97</v>
      </c>
      <c r="C49" s="6" t="s">
        <v>375</v>
      </c>
      <c r="D49" s="6" t="s">
        <v>29</v>
      </c>
      <c r="E49" s="15" t="s">
        <v>374</v>
      </c>
      <c r="F49" s="3">
        <v>2000000</v>
      </c>
      <c r="G49" s="9">
        <v>2000000</v>
      </c>
      <c r="H49" s="9"/>
      <c r="I49" s="3"/>
      <c r="J49" s="3">
        <v>2000000</v>
      </c>
      <c r="K49" s="3">
        <v>45000000</v>
      </c>
      <c r="L49" s="3">
        <v>65000000</v>
      </c>
      <c r="M49" s="3">
        <v>75000000</v>
      </c>
      <c r="N49" s="3">
        <v>12800000</v>
      </c>
      <c r="O49" s="2">
        <f t="shared" si="2"/>
        <v>199800000</v>
      </c>
      <c r="P49" s="10">
        <v>43460</v>
      </c>
      <c r="Q49" s="11">
        <v>44773</v>
      </c>
      <c r="R49" s="5" t="s">
        <v>843</v>
      </c>
      <c r="S49" s="4" t="s">
        <v>25</v>
      </c>
      <c r="T49" s="16" t="s">
        <v>98</v>
      </c>
      <c r="U49" s="7" t="s">
        <v>55</v>
      </c>
      <c r="V49" s="7" t="s">
        <v>448</v>
      </c>
      <c r="W49" s="7" t="s">
        <v>57</v>
      </c>
      <c r="X49" s="19" t="s">
        <v>58</v>
      </c>
      <c r="Y49" s="7" t="s">
        <v>24</v>
      </c>
    </row>
    <row r="50" spans="1:25" ht="84.95" customHeight="1" x14ac:dyDescent="0.2">
      <c r="A50" s="8" t="s">
        <v>449</v>
      </c>
      <c r="B50" s="16" t="s">
        <v>132</v>
      </c>
      <c r="C50" s="6" t="s">
        <v>375</v>
      </c>
      <c r="D50" s="6" t="s">
        <v>29</v>
      </c>
      <c r="E50" s="15" t="s">
        <v>374</v>
      </c>
      <c r="F50" s="3">
        <v>500000</v>
      </c>
      <c r="G50" s="9">
        <v>12000000</v>
      </c>
      <c r="H50" s="9"/>
      <c r="I50" s="3"/>
      <c r="J50" s="3">
        <v>500000</v>
      </c>
      <c r="K50" s="3">
        <v>6000000</v>
      </c>
      <c r="L50" s="3">
        <v>7000000</v>
      </c>
      <c r="M50" s="3">
        <v>7000000</v>
      </c>
      <c r="N50" s="3">
        <f>3500000+12000000</f>
        <v>15500000</v>
      </c>
      <c r="O50" s="2">
        <f t="shared" si="2"/>
        <v>36000000</v>
      </c>
      <c r="P50" s="10">
        <v>43460</v>
      </c>
      <c r="Q50" s="11">
        <v>44773</v>
      </c>
      <c r="R50" s="5" t="s">
        <v>843</v>
      </c>
      <c r="S50" s="4" t="s">
        <v>25</v>
      </c>
      <c r="T50" s="16" t="s">
        <v>450</v>
      </c>
      <c r="U50" s="7" t="s">
        <v>134</v>
      </c>
      <c r="V50" s="7" t="s">
        <v>253</v>
      </c>
      <c r="W50" s="7" t="s">
        <v>135</v>
      </c>
      <c r="X50" s="19" t="s">
        <v>136</v>
      </c>
      <c r="Y50" s="7" t="s">
        <v>24</v>
      </c>
    </row>
    <row r="51" spans="1:25" ht="81" customHeight="1" x14ac:dyDescent="0.2">
      <c r="A51" s="8" t="s">
        <v>451</v>
      </c>
      <c r="B51" s="16" t="s">
        <v>452</v>
      </c>
      <c r="C51" s="6" t="s">
        <v>454</v>
      </c>
      <c r="D51" s="6" t="s">
        <v>804</v>
      </c>
      <c r="E51" s="15" t="s">
        <v>453</v>
      </c>
      <c r="F51" s="3">
        <v>75568942</v>
      </c>
      <c r="G51" s="9">
        <f>200000000+150000000+150000000</f>
        <v>500000000</v>
      </c>
      <c r="H51" s="9"/>
      <c r="I51" s="3"/>
      <c r="J51" s="3">
        <v>75568942</v>
      </c>
      <c r="K51" s="3">
        <v>2059459678</v>
      </c>
      <c r="L51" s="3">
        <v>1850220270</v>
      </c>
      <c r="M51" s="3">
        <f>1905726880+150000000+150000000</f>
        <v>2205726880</v>
      </c>
      <c r="N51" s="3">
        <v>1145024230</v>
      </c>
      <c r="O51" s="2">
        <f t="shared" si="2"/>
        <v>7336000000</v>
      </c>
      <c r="P51" s="10">
        <v>43462</v>
      </c>
      <c r="Q51" s="11">
        <v>44773</v>
      </c>
      <c r="R51" s="5" t="s">
        <v>836</v>
      </c>
      <c r="S51" s="6" t="s">
        <v>27</v>
      </c>
      <c r="T51" s="16" t="s">
        <v>455</v>
      </c>
      <c r="U51" s="7" t="s">
        <v>456</v>
      </c>
      <c r="V51" s="7" t="s">
        <v>457</v>
      </c>
      <c r="W51" s="7" t="s">
        <v>458</v>
      </c>
      <c r="X51" s="12" t="s">
        <v>459</v>
      </c>
      <c r="Y51" s="7" t="s">
        <v>24</v>
      </c>
    </row>
    <row r="52" spans="1:25" ht="84.95" customHeight="1" x14ac:dyDescent="0.2">
      <c r="A52" s="8" t="s">
        <v>460</v>
      </c>
      <c r="B52" s="16" t="s">
        <v>461</v>
      </c>
      <c r="C52" s="6" t="s">
        <v>463</v>
      </c>
      <c r="D52" s="6" t="s">
        <v>29</v>
      </c>
      <c r="E52" s="15" t="s">
        <v>462</v>
      </c>
      <c r="F52" s="3">
        <v>13750000</v>
      </c>
      <c r="G52" s="9">
        <v>27000000</v>
      </c>
      <c r="H52" s="9"/>
      <c r="I52" s="3"/>
      <c r="J52" s="3">
        <v>13750000</v>
      </c>
      <c r="K52" s="3">
        <v>340714000</v>
      </c>
      <c r="L52" s="3">
        <v>350935420</v>
      </c>
      <c r="M52" s="3">
        <f>361463480+27000000</f>
        <v>388463480</v>
      </c>
      <c r="N52" s="3">
        <v>217179310</v>
      </c>
      <c r="O52" s="2">
        <f t="shared" si="2"/>
        <v>1311042210</v>
      </c>
      <c r="P52" s="10">
        <v>43460</v>
      </c>
      <c r="Q52" s="11">
        <v>44773</v>
      </c>
      <c r="R52" s="5" t="s">
        <v>112</v>
      </c>
      <c r="S52" s="6" t="s">
        <v>28</v>
      </c>
      <c r="T52" s="16" t="s">
        <v>464</v>
      </c>
      <c r="U52" s="7" t="s">
        <v>273</v>
      </c>
      <c r="V52" s="7" t="s">
        <v>465</v>
      </c>
      <c r="W52" s="7" t="s">
        <v>466</v>
      </c>
      <c r="X52" s="12" t="s">
        <v>467</v>
      </c>
      <c r="Y52" s="7" t="s">
        <v>35</v>
      </c>
    </row>
    <row r="53" spans="1:25" ht="101.25" customHeight="1" x14ac:dyDescent="0.2">
      <c r="A53" s="8" t="s">
        <v>468</v>
      </c>
      <c r="B53" s="16" t="s">
        <v>247</v>
      </c>
      <c r="C53" s="6" t="s">
        <v>470</v>
      </c>
      <c r="D53" s="6" t="s">
        <v>804</v>
      </c>
      <c r="E53" s="15" t="s">
        <v>469</v>
      </c>
      <c r="F53" s="3">
        <v>20592750</v>
      </c>
      <c r="G53" s="23"/>
      <c r="H53" s="23">
        <f>17000000+50000000+40000000</f>
        <v>107000000</v>
      </c>
      <c r="I53" s="3"/>
      <c r="J53" s="3">
        <f>20592750-17000000</f>
        <v>3592750</v>
      </c>
      <c r="K53" s="3">
        <f>255135980-40000000</f>
        <v>215135980</v>
      </c>
      <c r="L53" s="3">
        <f>262790060-50000000</f>
        <v>212790060</v>
      </c>
      <c r="M53" s="3">
        <v>270673760</v>
      </c>
      <c r="N53" s="3">
        <v>162629820</v>
      </c>
      <c r="O53" s="2">
        <f t="shared" si="2"/>
        <v>864822370</v>
      </c>
      <c r="P53" s="10">
        <v>43461</v>
      </c>
      <c r="Q53" s="11">
        <v>44773</v>
      </c>
      <c r="R53" s="5" t="s">
        <v>848</v>
      </c>
      <c r="S53" s="6" t="s">
        <v>27</v>
      </c>
      <c r="T53" s="16" t="s">
        <v>234</v>
      </c>
      <c r="U53" s="7" t="s">
        <v>471</v>
      </c>
      <c r="V53" s="7" t="s">
        <v>130</v>
      </c>
      <c r="W53" s="7" t="s">
        <v>131</v>
      </c>
      <c r="X53" s="12" t="s">
        <v>236</v>
      </c>
      <c r="Y53" s="7" t="s">
        <v>24</v>
      </c>
    </row>
    <row r="54" spans="1:25" ht="112.5" customHeight="1" x14ac:dyDescent="0.2">
      <c r="A54" s="8" t="s">
        <v>472</v>
      </c>
      <c r="B54" s="16" t="s">
        <v>473</v>
      </c>
      <c r="C54" s="6" t="s">
        <v>475</v>
      </c>
      <c r="D54" s="6" t="s">
        <v>804</v>
      </c>
      <c r="E54" s="15" t="s">
        <v>474</v>
      </c>
      <c r="F54" s="3">
        <v>69828250</v>
      </c>
      <c r="G54" s="23"/>
      <c r="H54" s="23">
        <f>123000000+400000000</f>
        <v>523000000</v>
      </c>
      <c r="I54" s="3"/>
      <c r="J54" s="3">
        <v>68828250</v>
      </c>
      <c r="K54" s="3">
        <v>742144120</v>
      </c>
      <c r="L54" s="3">
        <f>891098440-400000000</f>
        <v>491098440</v>
      </c>
      <c r="M54" s="3">
        <v>917831390</v>
      </c>
      <c r="N54" s="3">
        <v>551463690</v>
      </c>
      <c r="O54" s="2">
        <f t="shared" si="2"/>
        <v>2771365890</v>
      </c>
      <c r="P54" s="10">
        <v>43461</v>
      </c>
      <c r="Q54" s="11">
        <v>44773</v>
      </c>
      <c r="R54" s="5" t="s">
        <v>53</v>
      </c>
      <c r="S54" s="6" t="s">
        <v>27</v>
      </c>
      <c r="T54" s="16" t="s">
        <v>476</v>
      </c>
      <c r="U54" s="7" t="s">
        <v>477</v>
      </c>
      <c r="V54" s="7" t="s">
        <v>130</v>
      </c>
      <c r="W54" s="7" t="s">
        <v>131</v>
      </c>
      <c r="X54" s="12" t="s">
        <v>478</v>
      </c>
      <c r="Y54" s="7" t="s">
        <v>24</v>
      </c>
    </row>
    <row r="55" spans="1:25" ht="84.95" customHeight="1" x14ac:dyDescent="0.2">
      <c r="A55" s="8" t="s">
        <v>479</v>
      </c>
      <c r="B55" s="16" t="s">
        <v>247</v>
      </c>
      <c r="C55" s="6" t="s">
        <v>481</v>
      </c>
      <c r="D55" s="6" t="s">
        <v>804</v>
      </c>
      <c r="E55" s="15" t="s">
        <v>480</v>
      </c>
      <c r="F55" s="3">
        <v>5500000</v>
      </c>
      <c r="G55" s="9"/>
      <c r="H55" s="9"/>
      <c r="I55" s="3"/>
      <c r="J55" s="3">
        <v>5500000</v>
      </c>
      <c r="K55" s="3">
        <v>180000000</v>
      </c>
      <c r="L55" s="3">
        <v>180000000</v>
      </c>
      <c r="M55" s="3">
        <v>185400000</v>
      </c>
      <c r="N55" s="3">
        <v>111394500</v>
      </c>
      <c r="O55" s="2">
        <f t="shared" si="2"/>
        <v>662294500</v>
      </c>
      <c r="P55" s="10">
        <v>43461</v>
      </c>
      <c r="Q55" s="11">
        <v>44773</v>
      </c>
      <c r="R55" s="5" t="s">
        <v>833</v>
      </c>
      <c r="S55" s="6" t="s">
        <v>27</v>
      </c>
      <c r="T55" s="16" t="s">
        <v>234</v>
      </c>
      <c r="U55" s="7" t="s">
        <v>471</v>
      </c>
      <c r="V55" s="7" t="s">
        <v>130</v>
      </c>
      <c r="W55" s="7" t="s">
        <v>482</v>
      </c>
      <c r="X55" s="12" t="s">
        <v>236</v>
      </c>
      <c r="Y55" s="7" t="s">
        <v>24</v>
      </c>
    </row>
    <row r="56" spans="1:25" ht="84.95" customHeight="1" x14ac:dyDescent="0.2">
      <c r="A56" s="8" t="s">
        <v>483</v>
      </c>
      <c r="B56" s="16" t="s">
        <v>484</v>
      </c>
      <c r="C56" s="6" t="s">
        <v>487</v>
      </c>
      <c r="D56" s="6" t="s">
        <v>804</v>
      </c>
      <c r="E56" s="15" t="s">
        <v>485</v>
      </c>
      <c r="F56" s="3">
        <v>95404865</v>
      </c>
      <c r="G56" s="35">
        <v>678594434</v>
      </c>
      <c r="H56" s="23">
        <f>65703941+99073886</f>
        <v>164777827</v>
      </c>
      <c r="I56" s="3"/>
      <c r="J56" s="3">
        <v>95404865</v>
      </c>
      <c r="K56" s="3">
        <v>3569152669</v>
      </c>
      <c r="L56" s="3">
        <v>3733205445</v>
      </c>
      <c r="M56" s="3">
        <f>3859224224+678594434-99073886</f>
        <v>4438744772</v>
      </c>
      <c r="N56" s="3">
        <v>2296483809</v>
      </c>
      <c r="O56" s="2">
        <f t="shared" si="2"/>
        <v>14132991560</v>
      </c>
      <c r="P56" s="10">
        <v>43461</v>
      </c>
      <c r="Q56" s="11">
        <v>44773</v>
      </c>
      <c r="R56" s="5" t="s">
        <v>486</v>
      </c>
      <c r="S56" s="6" t="s">
        <v>27</v>
      </c>
      <c r="T56" s="16" t="s">
        <v>488</v>
      </c>
      <c r="U56" s="7" t="s">
        <v>489</v>
      </c>
      <c r="V56" s="7" t="s">
        <v>490</v>
      </c>
      <c r="W56" s="7" t="s">
        <v>491</v>
      </c>
      <c r="X56" s="12" t="s">
        <v>492</v>
      </c>
      <c r="Y56" s="7" t="s">
        <v>24</v>
      </c>
    </row>
    <row r="57" spans="1:25" ht="177" customHeight="1" x14ac:dyDescent="0.2">
      <c r="A57" s="8" t="s">
        <v>493</v>
      </c>
      <c r="B57" s="16" t="s">
        <v>494</v>
      </c>
      <c r="C57" s="6" t="s">
        <v>497</v>
      </c>
      <c r="D57" s="6" t="s">
        <v>804</v>
      </c>
      <c r="E57" s="15" t="s">
        <v>495</v>
      </c>
      <c r="F57" s="3">
        <v>266732480</v>
      </c>
      <c r="G57" s="23"/>
      <c r="H57" s="23">
        <f>1750000000+1900000000+130000000+430000000</f>
        <v>4210000000</v>
      </c>
      <c r="I57" s="3"/>
      <c r="J57" s="3">
        <v>266732480</v>
      </c>
      <c r="K57" s="3">
        <v>1554708790</v>
      </c>
      <c r="L57" s="3">
        <f>3403850050-1900000000+130000000</f>
        <v>1633850050</v>
      </c>
      <c r="M57" s="3">
        <f>3505965550-430000000</f>
        <v>3075965550</v>
      </c>
      <c r="N57" s="3">
        <v>2106500970</v>
      </c>
      <c r="O57" s="2">
        <f t="shared" si="2"/>
        <v>8637757840</v>
      </c>
      <c r="P57" s="10">
        <v>43461</v>
      </c>
      <c r="Q57" s="11">
        <v>44773</v>
      </c>
      <c r="R57" s="5" t="s">
        <v>496</v>
      </c>
      <c r="S57" s="6" t="s">
        <v>27</v>
      </c>
      <c r="T57" s="16" t="s">
        <v>498</v>
      </c>
      <c r="U57" s="7" t="s">
        <v>499</v>
      </c>
      <c r="V57" s="7" t="s">
        <v>500</v>
      </c>
      <c r="W57" s="7" t="s">
        <v>501</v>
      </c>
      <c r="X57" s="12" t="s">
        <v>502</v>
      </c>
      <c r="Y57" s="7" t="s">
        <v>24</v>
      </c>
    </row>
    <row r="58" spans="1:25" ht="84.95" customHeight="1" x14ac:dyDescent="0.2">
      <c r="A58" s="8" t="s">
        <v>503</v>
      </c>
      <c r="B58" s="16" t="s">
        <v>504</v>
      </c>
      <c r="C58" s="6" t="s">
        <v>506</v>
      </c>
      <c r="D58" s="6" t="s">
        <v>113</v>
      </c>
      <c r="E58" s="15" t="s">
        <v>505</v>
      </c>
      <c r="F58" s="3">
        <v>157000000</v>
      </c>
      <c r="G58" s="22">
        <v>33000000</v>
      </c>
      <c r="H58" s="24">
        <v>125000000</v>
      </c>
      <c r="I58" s="3"/>
      <c r="J58" s="3">
        <v>157000000</v>
      </c>
      <c r="K58" s="3">
        <v>258720520</v>
      </c>
      <c r="L58" s="3">
        <f>191720520-125000000</f>
        <v>66720520</v>
      </c>
      <c r="M58" s="3">
        <v>198720520</v>
      </c>
      <c r="N58" s="3">
        <v>170000000</v>
      </c>
      <c r="O58" s="2">
        <f t="shared" si="2"/>
        <v>851161560</v>
      </c>
      <c r="P58" s="10">
        <v>43461</v>
      </c>
      <c r="Q58" s="11">
        <v>44742</v>
      </c>
      <c r="R58" s="5" t="s">
        <v>95</v>
      </c>
      <c r="S58" s="6" t="s">
        <v>28</v>
      </c>
      <c r="T58" s="16" t="s">
        <v>507</v>
      </c>
      <c r="U58" s="7" t="s">
        <v>66</v>
      </c>
      <c r="V58" s="7" t="s">
        <v>67</v>
      </c>
      <c r="W58" s="7" t="s">
        <v>508</v>
      </c>
      <c r="X58" s="12" t="s">
        <v>509</v>
      </c>
      <c r="Y58" s="7" t="s">
        <v>24</v>
      </c>
    </row>
    <row r="59" spans="1:25" ht="84.95" customHeight="1" x14ac:dyDescent="0.2">
      <c r="A59" s="8" t="s">
        <v>510</v>
      </c>
      <c r="B59" s="16" t="s">
        <v>822</v>
      </c>
      <c r="C59" s="6" t="s">
        <v>511</v>
      </c>
      <c r="D59" s="17" t="s">
        <v>30</v>
      </c>
      <c r="E59" s="15" t="s">
        <v>807</v>
      </c>
      <c r="F59" s="3">
        <v>2188325</v>
      </c>
      <c r="G59" s="9">
        <f>26259900+27047697+42859500</f>
        <v>96167097</v>
      </c>
      <c r="H59" s="9"/>
      <c r="I59" s="3"/>
      <c r="J59" s="3">
        <v>2188325</v>
      </c>
      <c r="K59" s="3">
        <f>52519800+26259900</f>
        <v>78779700</v>
      </c>
      <c r="L59" s="3">
        <f>54095394+27047697</f>
        <v>81143091</v>
      </c>
      <c r="M59" s="3">
        <f>55719000+42859500</f>
        <v>98578500</v>
      </c>
      <c r="N59" s="3">
        <v>33477481</v>
      </c>
      <c r="O59" s="2">
        <f t="shared" si="2"/>
        <v>294167097</v>
      </c>
      <c r="P59" s="10">
        <v>43460</v>
      </c>
      <c r="Q59" s="11">
        <v>44773</v>
      </c>
      <c r="R59" s="5" t="s">
        <v>821</v>
      </c>
      <c r="S59" s="6" t="s">
        <v>28</v>
      </c>
      <c r="T59" s="16" t="s">
        <v>512</v>
      </c>
      <c r="U59" s="7" t="s">
        <v>513</v>
      </c>
      <c r="V59" s="7" t="s">
        <v>514</v>
      </c>
      <c r="W59" s="7" t="s">
        <v>515</v>
      </c>
      <c r="X59" s="12" t="s">
        <v>516</v>
      </c>
      <c r="Y59" s="7" t="s">
        <v>24</v>
      </c>
    </row>
    <row r="60" spans="1:25" ht="84.95" customHeight="1" x14ac:dyDescent="0.2">
      <c r="A60" s="8" t="s">
        <v>517</v>
      </c>
      <c r="B60" s="16" t="s">
        <v>356</v>
      </c>
      <c r="C60" s="6" t="s">
        <v>519</v>
      </c>
      <c r="D60" s="6" t="s">
        <v>96</v>
      </c>
      <c r="E60" s="15" t="s">
        <v>518</v>
      </c>
      <c r="F60" s="3">
        <v>100000000</v>
      </c>
      <c r="G60" s="9"/>
      <c r="H60" s="9"/>
      <c r="I60" s="3"/>
      <c r="J60" s="3">
        <v>100000000</v>
      </c>
      <c r="K60" s="3">
        <v>1100000000</v>
      </c>
      <c r="L60" s="3">
        <v>1359600000</v>
      </c>
      <c r="M60" s="3">
        <v>1400388000</v>
      </c>
      <c r="N60" s="3">
        <v>841399790</v>
      </c>
      <c r="O60" s="2">
        <f t="shared" si="2"/>
        <v>4801387790</v>
      </c>
      <c r="P60" s="10">
        <v>43462</v>
      </c>
      <c r="Q60" s="11">
        <v>44773</v>
      </c>
      <c r="R60" s="5" t="s">
        <v>844</v>
      </c>
      <c r="S60" s="4" t="s">
        <v>25</v>
      </c>
      <c r="T60" s="16" t="s">
        <v>520</v>
      </c>
      <c r="U60" s="7" t="s">
        <v>358</v>
      </c>
      <c r="V60" s="7" t="s">
        <v>521</v>
      </c>
      <c r="W60" s="7" t="s">
        <v>522</v>
      </c>
      <c r="X60" s="19" t="s">
        <v>361</v>
      </c>
      <c r="Y60" s="7" t="s">
        <v>24</v>
      </c>
    </row>
    <row r="61" spans="1:25" ht="104.25" customHeight="1" x14ac:dyDescent="0.2">
      <c r="A61" s="8" t="s">
        <v>523</v>
      </c>
      <c r="B61" s="16" t="s">
        <v>524</v>
      </c>
      <c r="C61" s="6" t="s">
        <v>525</v>
      </c>
      <c r="D61" s="6" t="s">
        <v>804</v>
      </c>
      <c r="E61" s="15" t="s">
        <v>806</v>
      </c>
      <c r="F61" s="3">
        <v>120000000</v>
      </c>
      <c r="G61" s="23"/>
      <c r="H61" s="23">
        <f>600000000+3239629657</f>
        <v>3839629657</v>
      </c>
      <c r="I61" s="3"/>
      <c r="J61" s="3">
        <v>120000000</v>
      </c>
      <c r="K61" s="3">
        <v>5960480000</v>
      </c>
      <c r="L61" s="3">
        <f>6757294400-3239629657</f>
        <v>3517664743</v>
      </c>
      <c r="M61" s="3">
        <v>6960013232</v>
      </c>
      <c r="N61" s="3">
        <v>4181807951</v>
      </c>
      <c r="O61" s="2">
        <f t="shared" ref="O61:O110" si="3">SUM(J61:N61)</f>
        <v>20739965926</v>
      </c>
      <c r="P61" s="10">
        <v>43462</v>
      </c>
      <c r="Q61" s="11">
        <v>44773</v>
      </c>
      <c r="R61" s="5" t="s">
        <v>849</v>
      </c>
      <c r="S61" s="6" t="s">
        <v>27</v>
      </c>
      <c r="T61" s="16" t="s">
        <v>526</v>
      </c>
      <c r="U61" s="7" t="s">
        <v>527</v>
      </c>
      <c r="V61" s="7" t="s">
        <v>528</v>
      </c>
      <c r="W61" s="7" t="s">
        <v>529</v>
      </c>
      <c r="X61" s="12" t="s">
        <v>530</v>
      </c>
      <c r="Y61" s="7" t="s">
        <v>24</v>
      </c>
    </row>
    <row r="62" spans="1:25" ht="84.95" customHeight="1" x14ac:dyDescent="0.2">
      <c r="A62" s="8" t="s">
        <v>531</v>
      </c>
      <c r="B62" s="16" t="s">
        <v>532</v>
      </c>
      <c r="C62" s="6" t="s">
        <v>534</v>
      </c>
      <c r="D62" s="6" t="s">
        <v>804</v>
      </c>
      <c r="E62" s="15" t="s">
        <v>533</v>
      </c>
      <c r="F62" s="3">
        <v>23000000</v>
      </c>
      <c r="G62" s="9"/>
      <c r="H62" s="9"/>
      <c r="I62" s="3"/>
      <c r="J62" s="3">
        <v>23000000</v>
      </c>
      <c r="K62" s="3">
        <v>856208100</v>
      </c>
      <c r="L62" s="3">
        <v>881894340</v>
      </c>
      <c r="M62" s="3">
        <v>908351160</v>
      </c>
      <c r="N62" s="3">
        <v>545767670</v>
      </c>
      <c r="O62" s="2">
        <f t="shared" si="3"/>
        <v>3215221270</v>
      </c>
      <c r="P62" s="10">
        <v>43462</v>
      </c>
      <c r="Q62" s="11">
        <v>44773</v>
      </c>
      <c r="R62" s="5" t="s">
        <v>111</v>
      </c>
      <c r="S62" s="6" t="s">
        <v>27</v>
      </c>
      <c r="T62" s="16" t="s">
        <v>535</v>
      </c>
      <c r="U62" s="7" t="s">
        <v>536</v>
      </c>
      <c r="V62" s="7" t="s">
        <v>537</v>
      </c>
      <c r="W62" s="7" t="s">
        <v>538</v>
      </c>
      <c r="X62" s="12" t="s">
        <v>539</v>
      </c>
      <c r="Y62" s="7" t="s">
        <v>24</v>
      </c>
    </row>
    <row r="63" spans="1:25" ht="84.95" customHeight="1" x14ac:dyDescent="0.2">
      <c r="A63" s="8" t="s">
        <v>540</v>
      </c>
      <c r="B63" s="16" t="s">
        <v>247</v>
      </c>
      <c r="C63" s="6" t="s">
        <v>542</v>
      </c>
      <c r="D63" s="6" t="s">
        <v>804</v>
      </c>
      <c r="E63" s="15" t="s">
        <v>541</v>
      </c>
      <c r="F63" s="3">
        <v>20000000</v>
      </c>
      <c r="G63" s="22">
        <f>170000000+100000000</f>
        <v>270000000</v>
      </c>
      <c r="H63" s="24">
        <f>100000000+22000000</f>
        <v>122000000</v>
      </c>
      <c r="I63" s="3"/>
      <c r="J63" s="3">
        <v>20000000</v>
      </c>
      <c r="K63" s="3">
        <v>890000000</v>
      </c>
      <c r="L63" s="3">
        <f>770400000-100000000</f>
        <v>670400000</v>
      </c>
      <c r="M63" s="3">
        <f>824400000-22000000+100000000</f>
        <v>902400000</v>
      </c>
      <c r="N63" s="3">
        <v>514500000</v>
      </c>
      <c r="O63" s="2">
        <f t="shared" si="3"/>
        <v>2997300000</v>
      </c>
      <c r="P63" s="10">
        <v>43462</v>
      </c>
      <c r="Q63" s="11">
        <v>44773</v>
      </c>
      <c r="R63" s="5" t="s">
        <v>31</v>
      </c>
      <c r="S63" s="6" t="s">
        <v>27</v>
      </c>
      <c r="T63" s="16" t="s">
        <v>234</v>
      </c>
      <c r="U63" s="7" t="s">
        <v>543</v>
      </c>
      <c r="V63" s="7" t="s">
        <v>130</v>
      </c>
      <c r="W63" s="7" t="s">
        <v>131</v>
      </c>
      <c r="X63" s="12" t="s">
        <v>544</v>
      </c>
      <c r="Y63" s="7" t="s">
        <v>24</v>
      </c>
    </row>
    <row r="64" spans="1:25" ht="206.25" customHeight="1" x14ac:dyDescent="0.2">
      <c r="A64" s="8" t="s">
        <v>545</v>
      </c>
      <c r="B64" s="16" t="s">
        <v>247</v>
      </c>
      <c r="C64" s="6" t="s">
        <v>547</v>
      </c>
      <c r="D64" s="6" t="s">
        <v>804</v>
      </c>
      <c r="E64" s="15" t="s">
        <v>546</v>
      </c>
      <c r="F64" s="3">
        <v>80348819</v>
      </c>
      <c r="G64" s="9">
        <v>150000000</v>
      </c>
      <c r="H64" s="23">
        <f>313886353+800000000+400000000</f>
        <v>1513886353</v>
      </c>
      <c r="I64" s="3"/>
      <c r="J64" s="3">
        <v>80348819</v>
      </c>
      <c r="K64" s="3">
        <v>2665447856</v>
      </c>
      <c r="L64" s="3">
        <f>3068714235+800000000+400000000</f>
        <v>4268714235</v>
      </c>
      <c r="M64" s="3">
        <f>3160775662+150000000</f>
        <v>3310775662</v>
      </c>
      <c r="N64" s="3">
        <v>1899099377</v>
      </c>
      <c r="O64" s="2">
        <f t="shared" si="3"/>
        <v>12224385949</v>
      </c>
      <c r="P64" s="10">
        <v>43462</v>
      </c>
      <c r="Q64" s="11">
        <v>44773</v>
      </c>
      <c r="R64" s="37" t="s">
        <v>828</v>
      </c>
      <c r="S64" s="6" t="s">
        <v>27</v>
      </c>
      <c r="T64" s="16" t="s">
        <v>234</v>
      </c>
      <c r="U64" s="7" t="s">
        <v>235</v>
      </c>
      <c r="V64" s="7" t="s">
        <v>130</v>
      </c>
      <c r="W64" s="7" t="s">
        <v>131</v>
      </c>
      <c r="X64" s="12" t="s">
        <v>236</v>
      </c>
      <c r="Y64" s="7" t="s">
        <v>24</v>
      </c>
    </row>
    <row r="65" spans="1:25" ht="84.95" customHeight="1" x14ac:dyDescent="0.2">
      <c r="A65" s="8" t="s">
        <v>548</v>
      </c>
      <c r="B65" s="16" t="s">
        <v>549</v>
      </c>
      <c r="C65" s="6" t="s">
        <v>551</v>
      </c>
      <c r="D65" s="6" t="s">
        <v>804</v>
      </c>
      <c r="E65" s="15" t="s">
        <v>550</v>
      </c>
      <c r="F65" s="3">
        <v>183522918</v>
      </c>
      <c r="G65" s="9">
        <f>19920960+160000000</f>
        <v>179920960</v>
      </c>
      <c r="H65" s="23">
        <v>216956490</v>
      </c>
      <c r="I65" s="3"/>
      <c r="J65" s="3">
        <v>183522918</v>
      </c>
      <c r="K65" s="3">
        <v>6588073292</v>
      </c>
      <c r="L65" s="3">
        <f>7009180676+19920960</f>
        <v>7029101636</v>
      </c>
      <c r="M65" s="3">
        <f>7219456096+160000000</f>
        <v>7379456096</v>
      </c>
      <c r="N65" s="3">
        <v>4337689871</v>
      </c>
      <c r="O65" s="2">
        <f t="shared" si="3"/>
        <v>25517843813</v>
      </c>
      <c r="P65" s="10">
        <v>43462</v>
      </c>
      <c r="Q65" s="11">
        <v>44773</v>
      </c>
      <c r="R65" s="5" t="s">
        <v>835</v>
      </c>
      <c r="S65" s="6" t="s">
        <v>27</v>
      </c>
      <c r="T65" s="16" t="s">
        <v>552</v>
      </c>
      <c r="U65" s="7" t="s">
        <v>553</v>
      </c>
      <c r="V65" s="7" t="s">
        <v>130</v>
      </c>
      <c r="W65" s="7" t="s">
        <v>131</v>
      </c>
      <c r="X65" s="12" t="s">
        <v>554</v>
      </c>
      <c r="Y65" s="7" t="s">
        <v>24</v>
      </c>
    </row>
    <row r="66" spans="1:25" ht="117.75" customHeight="1" x14ac:dyDescent="0.2">
      <c r="A66" s="8" t="s">
        <v>555</v>
      </c>
      <c r="B66" s="16" t="s">
        <v>247</v>
      </c>
      <c r="C66" s="6" t="s">
        <v>557</v>
      </c>
      <c r="D66" s="6" t="s">
        <v>804</v>
      </c>
      <c r="E66" s="15" t="s">
        <v>556</v>
      </c>
      <c r="F66" s="3">
        <v>20864574</v>
      </c>
      <c r="G66" s="23"/>
      <c r="H66" s="23">
        <f>350000000+100000000</f>
        <v>450000000</v>
      </c>
      <c r="I66" s="3"/>
      <c r="J66" s="3">
        <v>20864574</v>
      </c>
      <c r="K66" s="3">
        <v>773658402</v>
      </c>
      <c r="L66" s="3">
        <f>796868154-350000000-100000000</f>
        <v>346868154</v>
      </c>
      <c r="M66" s="3">
        <v>820774199</v>
      </c>
      <c r="N66" s="3">
        <v>493148498</v>
      </c>
      <c r="O66" s="2">
        <f t="shared" si="3"/>
        <v>2455313827</v>
      </c>
      <c r="P66" s="10">
        <v>43462</v>
      </c>
      <c r="Q66" s="11">
        <v>44773</v>
      </c>
      <c r="R66" s="37" t="s">
        <v>828</v>
      </c>
      <c r="S66" s="6" t="s">
        <v>27</v>
      </c>
      <c r="T66" s="16" t="s">
        <v>234</v>
      </c>
      <c r="U66" s="7" t="s">
        <v>543</v>
      </c>
      <c r="V66" s="7" t="s">
        <v>130</v>
      </c>
      <c r="W66" s="7" t="s">
        <v>131</v>
      </c>
      <c r="X66" s="12" t="s">
        <v>544</v>
      </c>
      <c r="Y66" s="7" t="s">
        <v>24</v>
      </c>
    </row>
    <row r="67" spans="1:25" ht="84.95" customHeight="1" x14ac:dyDescent="0.2">
      <c r="A67" s="8" t="s">
        <v>558</v>
      </c>
      <c r="B67" s="16" t="s">
        <v>559</v>
      </c>
      <c r="C67" s="6" t="s">
        <v>561</v>
      </c>
      <c r="D67" s="6" t="s">
        <v>804</v>
      </c>
      <c r="E67" s="15" t="s">
        <v>560</v>
      </c>
      <c r="F67" s="3">
        <v>32000000</v>
      </c>
      <c r="G67" s="23"/>
      <c r="H67" s="23">
        <f>420000000+550000000</f>
        <v>970000000</v>
      </c>
      <c r="I67" s="3"/>
      <c r="J67" s="3">
        <v>32000000</v>
      </c>
      <c r="K67" s="3">
        <v>508877910</v>
      </c>
      <c r="L67" s="3">
        <f>956744250</f>
        <v>956744250</v>
      </c>
      <c r="M67" s="3">
        <v>985446580</v>
      </c>
      <c r="N67" s="3">
        <v>592089150</v>
      </c>
      <c r="O67" s="2">
        <f t="shared" si="3"/>
        <v>3075157890</v>
      </c>
      <c r="P67" s="10">
        <v>43462</v>
      </c>
      <c r="Q67" s="11">
        <v>44773</v>
      </c>
      <c r="R67" s="5" t="s">
        <v>496</v>
      </c>
      <c r="S67" s="6" t="s">
        <v>27</v>
      </c>
      <c r="T67" s="16" t="s">
        <v>562</v>
      </c>
      <c r="U67" s="7" t="s">
        <v>563</v>
      </c>
      <c r="V67" s="7" t="s">
        <v>564</v>
      </c>
      <c r="W67" s="7" t="s">
        <v>565</v>
      </c>
      <c r="X67" s="12" t="s">
        <v>566</v>
      </c>
      <c r="Y67" s="7" t="s">
        <v>24</v>
      </c>
    </row>
    <row r="68" spans="1:25" ht="84.95" customHeight="1" x14ac:dyDescent="0.2">
      <c r="A68" s="8" t="s">
        <v>567</v>
      </c>
      <c r="B68" s="16" t="s">
        <v>568</v>
      </c>
      <c r="C68" s="6" t="s">
        <v>570</v>
      </c>
      <c r="D68" s="6" t="s">
        <v>29</v>
      </c>
      <c r="E68" s="15" t="s">
        <v>569</v>
      </c>
      <c r="F68" s="3">
        <v>350708924</v>
      </c>
      <c r="G68" s="9">
        <f>900000000+9620000000+11800000000</f>
        <v>22320000000</v>
      </c>
      <c r="H68" s="9"/>
      <c r="I68" s="3"/>
      <c r="J68" s="3">
        <v>350708924</v>
      </c>
      <c r="K68" s="3">
        <v>44466057823</v>
      </c>
      <c r="L68" s="3">
        <f>25070039596+9620000000</f>
        <v>34690039596</v>
      </c>
      <c r="M68" s="3">
        <f>26722140970+11800000000</f>
        <v>38522140970</v>
      </c>
      <c r="N68" s="3">
        <v>17643590218</v>
      </c>
      <c r="O68" s="2">
        <f t="shared" si="3"/>
        <v>135672537531</v>
      </c>
      <c r="P68" s="10">
        <v>43462</v>
      </c>
      <c r="Q68" s="11">
        <v>44742</v>
      </c>
      <c r="R68" s="5" t="s">
        <v>826</v>
      </c>
      <c r="S68" s="4" t="s">
        <v>25</v>
      </c>
      <c r="T68" s="16" t="s">
        <v>571</v>
      </c>
      <c r="U68" s="7" t="s">
        <v>572</v>
      </c>
      <c r="V68" s="7" t="s">
        <v>573</v>
      </c>
      <c r="W68" s="7" t="s">
        <v>574</v>
      </c>
      <c r="X68" s="20" t="s">
        <v>575</v>
      </c>
      <c r="Y68" s="7" t="s">
        <v>24</v>
      </c>
    </row>
    <row r="69" spans="1:25" ht="129" customHeight="1" x14ac:dyDescent="0.2">
      <c r="A69" s="8" t="s">
        <v>764</v>
      </c>
      <c r="B69" s="16" t="s">
        <v>811</v>
      </c>
      <c r="C69" s="6" t="s">
        <v>765</v>
      </c>
      <c r="D69" s="6" t="s">
        <v>804</v>
      </c>
      <c r="E69" s="15" t="s">
        <v>766</v>
      </c>
      <c r="F69" s="3">
        <v>3939671797</v>
      </c>
      <c r="G69" s="23"/>
      <c r="H69" s="23">
        <f>280000000+500000000+250000000</f>
        <v>1030000000</v>
      </c>
      <c r="I69" s="3"/>
      <c r="J69" s="3">
        <v>40000000</v>
      </c>
      <c r="K69" s="3">
        <v>732512000</v>
      </c>
      <c r="L69" s="3">
        <f>1067896406-500000000</f>
        <v>567896406</v>
      </c>
      <c r="M69" s="3">
        <f>1126310340-250000000</f>
        <v>876310340</v>
      </c>
      <c r="N69" s="3">
        <v>692953051</v>
      </c>
      <c r="O69" s="2">
        <f t="shared" si="3"/>
        <v>2909671797</v>
      </c>
      <c r="P69" s="10">
        <v>43462</v>
      </c>
      <c r="Q69" s="11">
        <v>44773</v>
      </c>
      <c r="R69" s="18" t="s">
        <v>833</v>
      </c>
      <c r="S69" s="6" t="s">
        <v>27</v>
      </c>
      <c r="T69" s="16" t="s">
        <v>767</v>
      </c>
      <c r="U69" s="7" t="s">
        <v>768</v>
      </c>
      <c r="V69" s="7" t="s">
        <v>769</v>
      </c>
      <c r="W69" s="7" t="s">
        <v>770</v>
      </c>
      <c r="X69" s="19" t="s">
        <v>771</v>
      </c>
      <c r="Y69" s="7" t="s">
        <v>24</v>
      </c>
    </row>
    <row r="70" spans="1:25" ht="84.95" customHeight="1" x14ac:dyDescent="0.2">
      <c r="A70" s="8" t="s">
        <v>763</v>
      </c>
      <c r="B70" s="16" t="s">
        <v>225</v>
      </c>
      <c r="C70" s="6" t="s">
        <v>756</v>
      </c>
      <c r="D70" s="6" t="s">
        <v>29</v>
      </c>
      <c r="E70" s="15" t="s">
        <v>757</v>
      </c>
      <c r="F70" s="3">
        <v>34276077</v>
      </c>
      <c r="G70" s="23"/>
      <c r="H70" s="23">
        <v>290000000</v>
      </c>
      <c r="I70" s="3"/>
      <c r="J70" s="3">
        <v>34276077</v>
      </c>
      <c r="K70" s="3">
        <v>590741885</v>
      </c>
      <c r="L70" s="3">
        <v>612918411</v>
      </c>
      <c r="M70" s="3">
        <v>631088393</v>
      </c>
      <c r="N70" s="3">
        <v>379178956</v>
      </c>
      <c r="O70" s="2">
        <f t="shared" si="3"/>
        <v>2248203722</v>
      </c>
      <c r="P70" s="10">
        <v>43462</v>
      </c>
      <c r="Q70" s="11">
        <v>44773</v>
      </c>
      <c r="R70" s="5" t="s">
        <v>843</v>
      </c>
      <c r="S70" s="4" t="s">
        <v>25</v>
      </c>
      <c r="T70" s="16" t="s">
        <v>713</v>
      </c>
      <c r="U70" s="7" t="s">
        <v>226</v>
      </c>
      <c r="V70" s="7" t="s">
        <v>227</v>
      </c>
      <c r="W70" s="7" t="s">
        <v>228</v>
      </c>
      <c r="X70" s="19" t="s">
        <v>229</v>
      </c>
      <c r="Y70" s="7" t="s">
        <v>24</v>
      </c>
    </row>
    <row r="71" spans="1:25" ht="84.95" customHeight="1" x14ac:dyDescent="0.2">
      <c r="A71" s="8" t="s">
        <v>772</v>
      </c>
      <c r="B71" s="16" t="s">
        <v>190</v>
      </c>
      <c r="C71" s="6" t="s">
        <v>756</v>
      </c>
      <c r="D71" s="6" t="s">
        <v>29</v>
      </c>
      <c r="E71" s="15" t="s">
        <v>757</v>
      </c>
      <c r="F71" s="3">
        <v>34276077</v>
      </c>
      <c r="G71" s="23"/>
      <c r="H71" s="23">
        <f>276000000+200000000</f>
        <v>476000000</v>
      </c>
      <c r="I71" s="3"/>
      <c r="J71" s="3">
        <v>34276077</v>
      </c>
      <c r="K71" s="3">
        <v>590741885</v>
      </c>
      <c r="L71" s="3">
        <f>612918411-276000000</f>
        <v>336918411</v>
      </c>
      <c r="M71" s="3">
        <f>631088393-200000000</f>
        <v>431088393</v>
      </c>
      <c r="N71" s="3">
        <v>379178931</v>
      </c>
      <c r="O71" s="2">
        <f t="shared" si="3"/>
        <v>1772203697</v>
      </c>
      <c r="P71" s="10">
        <v>43462</v>
      </c>
      <c r="Q71" s="11">
        <v>44773</v>
      </c>
      <c r="R71" s="5" t="s">
        <v>843</v>
      </c>
      <c r="S71" s="4" t="s">
        <v>25</v>
      </c>
      <c r="T71" s="16" t="s">
        <v>191</v>
      </c>
      <c r="U71" s="7" t="s">
        <v>192</v>
      </c>
      <c r="V71" s="7" t="s">
        <v>193</v>
      </c>
      <c r="W71" s="7" t="s">
        <v>773</v>
      </c>
      <c r="X71" s="19" t="s">
        <v>195</v>
      </c>
      <c r="Y71" s="7" t="s">
        <v>196</v>
      </c>
    </row>
    <row r="72" spans="1:25" ht="84.95" customHeight="1" x14ac:dyDescent="0.2">
      <c r="A72" s="8" t="s">
        <v>755</v>
      </c>
      <c r="B72" s="16" t="s">
        <v>124</v>
      </c>
      <c r="C72" s="6" t="s">
        <v>756</v>
      </c>
      <c r="D72" s="6" t="s">
        <v>29</v>
      </c>
      <c r="E72" s="15" t="s">
        <v>757</v>
      </c>
      <c r="F72" s="3">
        <v>5712679</v>
      </c>
      <c r="G72" s="23"/>
      <c r="H72" s="23">
        <v>70000000</v>
      </c>
      <c r="I72" s="3"/>
      <c r="J72" s="3">
        <v>5712679</v>
      </c>
      <c r="K72" s="3">
        <v>98456980</v>
      </c>
      <c r="L72" s="3">
        <f>102153068-70000000</f>
        <v>32153068</v>
      </c>
      <c r="M72" s="34">
        <v>105181398</v>
      </c>
      <c r="N72" s="34">
        <v>0</v>
      </c>
      <c r="O72" s="2">
        <f t="shared" si="3"/>
        <v>241504125</v>
      </c>
      <c r="P72" s="10">
        <v>43462</v>
      </c>
      <c r="Q72" s="11">
        <v>44773</v>
      </c>
      <c r="R72" s="5" t="s">
        <v>843</v>
      </c>
      <c r="S72" s="4" t="s">
        <v>25</v>
      </c>
      <c r="T72" s="16" t="s">
        <v>125</v>
      </c>
      <c r="U72" s="7" t="s">
        <v>126</v>
      </c>
      <c r="V72" s="7" t="s">
        <v>127</v>
      </c>
      <c r="W72" s="7" t="s">
        <v>758</v>
      </c>
      <c r="X72" s="19" t="s">
        <v>128</v>
      </c>
      <c r="Y72" s="7" t="s">
        <v>24</v>
      </c>
    </row>
    <row r="73" spans="1:25" ht="84.95" customHeight="1" x14ac:dyDescent="0.2">
      <c r="A73" s="8" t="s">
        <v>760</v>
      </c>
      <c r="B73" s="16" t="s">
        <v>107</v>
      </c>
      <c r="C73" s="6" t="s">
        <v>756</v>
      </c>
      <c r="D73" s="6" t="s">
        <v>29</v>
      </c>
      <c r="E73" s="15" t="s">
        <v>757</v>
      </c>
      <c r="F73" s="3">
        <v>7997751</v>
      </c>
      <c r="G73" s="23"/>
      <c r="H73" s="23">
        <v>90242000</v>
      </c>
      <c r="I73" s="3"/>
      <c r="J73" s="3">
        <v>7997751</v>
      </c>
      <c r="K73" s="3">
        <v>137839773</v>
      </c>
      <c r="L73" s="3">
        <f>143014295-90242000</f>
        <v>52772295</v>
      </c>
      <c r="M73" s="34">
        <v>0</v>
      </c>
      <c r="N73" s="34">
        <v>0</v>
      </c>
      <c r="O73" s="2">
        <f t="shared" si="3"/>
        <v>198609819</v>
      </c>
      <c r="P73" s="10">
        <v>43462</v>
      </c>
      <c r="Q73" s="11">
        <v>44773</v>
      </c>
      <c r="R73" s="5" t="s">
        <v>843</v>
      </c>
      <c r="S73" s="4" t="s">
        <v>25</v>
      </c>
      <c r="T73" s="16" t="s">
        <v>108</v>
      </c>
      <c r="U73" s="7" t="s">
        <v>109</v>
      </c>
      <c r="V73" s="7" t="s">
        <v>761</v>
      </c>
      <c r="W73" s="7" t="s">
        <v>110</v>
      </c>
      <c r="X73" s="19" t="s">
        <v>762</v>
      </c>
      <c r="Y73" s="7" t="s">
        <v>24</v>
      </c>
    </row>
    <row r="74" spans="1:25" ht="84.95" customHeight="1" x14ac:dyDescent="0.2">
      <c r="A74" s="8" t="s">
        <v>812</v>
      </c>
      <c r="B74" s="16" t="s">
        <v>568</v>
      </c>
      <c r="C74" s="6" t="s">
        <v>570</v>
      </c>
      <c r="D74" s="6" t="s">
        <v>34</v>
      </c>
      <c r="E74" s="15" t="s">
        <v>813</v>
      </c>
      <c r="F74" s="3" t="s">
        <v>26</v>
      </c>
      <c r="G74" s="9"/>
      <c r="H74" s="9"/>
      <c r="I74" s="3"/>
      <c r="J74" s="3" t="s">
        <v>26</v>
      </c>
      <c r="K74" s="34">
        <v>0</v>
      </c>
      <c r="L74" s="34">
        <v>0</v>
      </c>
      <c r="M74" s="34">
        <v>0</v>
      </c>
      <c r="N74" s="34">
        <v>0</v>
      </c>
      <c r="O74" s="2">
        <f t="shared" si="3"/>
        <v>0</v>
      </c>
      <c r="P74" s="10"/>
      <c r="Q74" s="11">
        <v>44742</v>
      </c>
      <c r="R74" s="5" t="s">
        <v>832</v>
      </c>
      <c r="S74" s="6" t="s">
        <v>28</v>
      </c>
      <c r="T74" s="16" t="s">
        <v>571</v>
      </c>
      <c r="U74" s="7" t="s">
        <v>572</v>
      </c>
      <c r="V74" s="7" t="s">
        <v>573</v>
      </c>
      <c r="W74" s="7" t="s">
        <v>574</v>
      </c>
      <c r="X74" s="12" t="s">
        <v>575</v>
      </c>
      <c r="Y74" s="7" t="s">
        <v>24</v>
      </c>
    </row>
    <row r="75" spans="1:25" ht="104.25" customHeight="1" x14ac:dyDescent="0.2">
      <c r="A75" s="13" t="s">
        <v>578</v>
      </c>
      <c r="B75" s="16" t="s">
        <v>190</v>
      </c>
      <c r="C75" s="6" t="s">
        <v>580</v>
      </c>
      <c r="D75" s="6" t="s">
        <v>29</v>
      </c>
      <c r="E75" s="15" t="s">
        <v>579</v>
      </c>
      <c r="F75" s="3">
        <v>168925</v>
      </c>
      <c r="G75" s="9"/>
      <c r="H75" s="9"/>
      <c r="I75" s="3"/>
      <c r="J75" s="3">
        <v>168925</v>
      </c>
      <c r="K75" s="3">
        <v>6800000</v>
      </c>
      <c r="L75" s="3">
        <v>7000000</v>
      </c>
      <c r="M75" s="3">
        <v>7300000</v>
      </c>
      <c r="N75" s="3">
        <v>4000000</v>
      </c>
      <c r="O75" s="2">
        <f t="shared" si="3"/>
        <v>25268925</v>
      </c>
      <c r="P75" s="10">
        <v>43462</v>
      </c>
      <c r="Q75" s="11">
        <v>44772</v>
      </c>
      <c r="R75" s="5" t="s">
        <v>843</v>
      </c>
      <c r="S75" s="4" t="s">
        <v>25</v>
      </c>
      <c r="T75" s="16" t="s">
        <v>191</v>
      </c>
      <c r="U75" s="7" t="s">
        <v>581</v>
      </c>
      <c r="V75" s="7" t="s">
        <v>193</v>
      </c>
      <c r="W75" s="7" t="s">
        <v>194</v>
      </c>
      <c r="X75" s="12" t="s">
        <v>195</v>
      </c>
      <c r="Y75" s="7" t="s">
        <v>24</v>
      </c>
    </row>
    <row r="76" spans="1:25" ht="111" customHeight="1" x14ac:dyDescent="0.2">
      <c r="A76" s="8" t="s">
        <v>582</v>
      </c>
      <c r="B76" s="16" t="s">
        <v>583</v>
      </c>
      <c r="C76" s="6" t="s">
        <v>580</v>
      </c>
      <c r="D76" s="6" t="s">
        <v>29</v>
      </c>
      <c r="E76" s="15" t="s">
        <v>579</v>
      </c>
      <c r="F76" s="3">
        <v>8130302</v>
      </c>
      <c r="G76" s="9"/>
      <c r="H76" s="23">
        <v>70000000</v>
      </c>
      <c r="I76" s="3"/>
      <c r="J76" s="3">
        <v>8130302</v>
      </c>
      <c r="K76" s="3">
        <v>390000000</v>
      </c>
      <c r="L76" s="3">
        <f>400000000-70000000</f>
        <v>330000000</v>
      </c>
      <c r="M76" s="3">
        <v>413000000</v>
      </c>
      <c r="N76" s="3">
        <v>248000000</v>
      </c>
      <c r="O76" s="2">
        <f t="shared" si="3"/>
        <v>1389130302</v>
      </c>
      <c r="P76" s="10">
        <v>43462</v>
      </c>
      <c r="Q76" s="11">
        <v>44772</v>
      </c>
      <c r="R76" s="5" t="s">
        <v>843</v>
      </c>
      <c r="S76" s="4" t="s">
        <v>25</v>
      </c>
      <c r="T76" s="16" t="s">
        <v>197</v>
      </c>
      <c r="U76" s="7" t="s">
        <v>198</v>
      </c>
      <c r="V76" s="7" t="s">
        <v>584</v>
      </c>
      <c r="W76" s="7" t="s">
        <v>200</v>
      </c>
      <c r="X76" s="12" t="s">
        <v>201</v>
      </c>
      <c r="Y76" s="7" t="s">
        <v>24</v>
      </c>
    </row>
    <row r="77" spans="1:25" ht="110.25" customHeight="1" x14ac:dyDescent="0.2">
      <c r="A77" s="8" t="s">
        <v>585</v>
      </c>
      <c r="B77" s="16" t="s">
        <v>586</v>
      </c>
      <c r="C77" s="6" t="s">
        <v>580</v>
      </c>
      <c r="D77" s="6" t="s">
        <v>29</v>
      </c>
      <c r="E77" s="15" t="s">
        <v>579</v>
      </c>
      <c r="F77" s="3">
        <v>6728341</v>
      </c>
      <c r="G77" s="9"/>
      <c r="H77" s="9"/>
      <c r="I77" s="3"/>
      <c r="J77" s="3">
        <v>6728341</v>
      </c>
      <c r="K77" s="3">
        <v>322000000</v>
      </c>
      <c r="L77" s="3">
        <v>375800000</v>
      </c>
      <c r="M77" s="3">
        <v>341500000</v>
      </c>
      <c r="N77" s="3">
        <v>205300000</v>
      </c>
      <c r="O77" s="2">
        <f t="shared" si="3"/>
        <v>1251328341</v>
      </c>
      <c r="P77" s="10">
        <v>43462</v>
      </c>
      <c r="Q77" s="11">
        <v>44772</v>
      </c>
      <c r="R77" s="5" t="s">
        <v>843</v>
      </c>
      <c r="S77" s="4" t="s">
        <v>25</v>
      </c>
      <c r="T77" s="16" t="s">
        <v>587</v>
      </c>
      <c r="U77" s="7" t="s">
        <v>588</v>
      </c>
      <c r="V77" s="7" t="s">
        <v>589</v>
      </c>
      <c r="W77" s="7" t="s">
        <v>590</v>
      </c>
      <c r="X77" s="12" t="s">
        <v>591</v>
      </c>
      <c r="Y77" s="7" t="s">
        <v>24</v>
      </c>
    </row>
    <row r="78" spans="1:25" ht="108" customHeight="1" x14ac:dyDescent="0.2">
      <c r="A78" s="8" t="s">
        <v>592</v>
      </c>
      <c r="B78" s="16" t="s">
        <v>593</v>
      </c>
      <c r="C78" s="6" t="s">
        <v>580</v>
      </c>
      <c r="D78" s="6" t="s">
        <v>29</v>
      </c>
      <c r="E78" s="15" t="s">
        <v>579</v>
      </c>
      <c r="F78" s="3">
        <v>649837000</v>
      </c>
      <c r="G78" s="9"/>
      <c r="H78" s="9"/>
      <c r="I78" s="3"/>
      <c r="J78" s="3">
        <v>649837</v>
      </c>
      <c r="K78" s="3">
        <v>11000000</v>
      </c>
      <c r="L78" s="3">
        <v>11300000</v>
      </c>
      <c r="M78" s="3">
        <v>11600000</v>
      </c>
      <c r="N78" s="3">
        <v>7000000</v>
      </c>
      <c r="O78" s="2">
        <f t="shared" si="3"/>
        <v>41549837</v>
      </c>
      <c r="P78" s="10">
        <v>43462</v>
      </c>
      <c r="Q78" s="11">
        <v>44772</v>
      </c>
      <c r="R78" s="5" t="s">
        <v>843</v>
      </c>
      <c r="S78" s="4" t="s">
        <v>25</v>
      </c>
      <c r="T78" s="16" t="s">
        <v>594</v>
      </c>
      <c r="U78" s="7" t="s">
        <v>595</v>
      </c>
      <c r="V78" s="7" t="s">
        <v>596</v>
      </c>
      <c r="W78" s="7" t="s">
        <v>597</v>
      </c>
      <c r="X78" s="12" t="s">
        <v>598</v>
      </c>
      <c r="Y78" s="7" t="s">
        <v>24</v>
      </c>
    </row>
    <row r="79" spans="1:25" ht="109.5" customHeight="1" x14ac:dyDescent="0.2">
      <c r="A79" s="8" t="s">
        <v>599</v>
      </c>
      <c r="B79" s="16" t="s">
        <v>405</v>
      </c>
      <c r="C79" s="6" t="s">
        <v>601</v>
      </c>
      <c r="D79" s="6" t="s">
        <v>29</v>
      </c>
      <c r="E79" s="15" t="s">
        <v>600</v>
      </c>
      <c r="F79" s="3">
        <v>211000000</v>
      </c>
      <c r="G79" s="9">
        <f>500000000+600000000+1000000000</f>
        <v>2100000000</v>
      </c>
      <c r="H79" s="9"/>
      <c r="I79" s="3"/>
      <c r="J79" s="3">
        <v>211000000</v>
      </c>
      <c r="K79" s="3">
        <v>2231000000</v>
      </c>
      <c r="L79" s="3">
        <f>2371000000+500000000</f>
        <v>2871000000</v>
      </c>
      <c r="M79" s="3">
        <f>2271000000+600000000+1000000000</f>
        <v>3871000000</v>
      </c>
      <c r="N79" s="3">
        <v>1790000000</v>
      </c>
      <c r="O79" s="2">
        <f t="shared" si="3"/>
        <v>10974000000</v>
      </c>
      <c r="P79" s="10">
        <v>43462</v>
      </c>
      <c r="Q79" s="11">
        <v>44773</v>
      </c>
      <c r="R79" s="5" t="s">
        <v>842</v>
      </c>
      <c r="S79" s="6" t="s">
        <v>27</v>
      </c>
      <c r="T79" s="16" t="s">
        <v>406</v>
      </c>
      <c r="U79" s="7" t="s">
        <v>602</v>
      </c>
      <c r="V79" s="7" t="s">
        <v>603</v>
      </c>
      <c r="W79" s="7" t="s">
        <v>409</v>
      </c>
      <c r="X79" s="12" t="s">
        <v>604</v>
      </c>
      <c r="Y79" s="7" t="s">
        <v>24</v>
      </c>
    </row>
    <row r="80" spans="1:25" ht="84.95" customHeight="1" x14ac:dyDescent="0.2">
      <c r="A80" s="8" t="s">
        <v>605</v>
      </c>
      <c r="B80" s="16" t="s">
        <v>606</v>
      </c>
      <c r="C80" s="6" t="s">
        <v>601</v>
      </c>
      <c r="D80" s="6" t="s">
        <v>29</v>
      </c>
      <c r="E80" s="15" t="s">
        <v>600</v>
      </c>
      <c r="F80" s="3">
        <v>263500000</v>
      </c>
      <c r="G80" s="9"/>
      <c r="H80" s="9"/>
      <c r="I80" s="3"/>
      <c r="J80" s="3">
        <v>263500000</v>
      </c>
      <c r="K80" s="3">
        <v>3261000000</v>
      </c>
      <c r="L80" s="3">
        <v>3271000000</v>
      </c>
      <c r="M80" s="3">
        <v>3401000000</v>
      </c>
      <c r="N80" s="3">
        <v>1991500000</v>
      </c>
      <c r="O80" s="2">
        <f t="shared" si="3"/>
        <v>12188000000</v>
      </c>
      <c r="P80" s="10">
        <v>43462</v>
      </c>
      <c r="Q80" s="11">
        <v>44773</v>
      </c>
      <c r="R80" s="5" t="s">
        <v>842</v>
      </c>
      <c r="S80" s="6" t="s">
        <v>27</v>
      </c>
      <c r="T80" s="16" t="s">
        <v>607</v>
      </c>
      <c r="U80" s="7" t="s">
        <v>608</v>
      </c>
      <c r="V80" s="7" t="s">
        <v>609</v>
      </c>
      <c r="W80" s="7" t="s">
        <v>610</v>
      </c>
      <c r="X80" s="12" t="s">
        <v>611</v>
      </c>
      <c r="Y80" s="7" t="s">
        <v>24</v>
      </c>
    </row>
    <row r="81" spans="1:25" ht="84.95" customHeight="1" x14ac:dyDescent="0.2">
      <c r="A81" s="8" t="s">
        <v>612</v>
      </c>
      <c r="B81" s="16" t="s">
        <v>183</v>
      </c>
      <c r="C81" s="6" t="s">
        <v>601</v>
      </c>
      <c r="D81" s="6" t="s">
        <v>29</v>
      </c>
      <c r="E81" s="15" t="s">
        <v>600</v>
      </c>
      <c r="F81" s="3">
        <v>11000000</v>
      </c>
      <c r="G81" s="9">
        <f>65000000+65000000</f>
        <v>130000000</v>
      </c>
      <c r="H81" s="9"/>
      <c r="I81" s="3"/>
      <c r="J81" s="3">
        <v>11000000</v>
      </c>
      <c r="K81" s="3">
        <v>13000000</v>
      </c>
      <c r="L81" s="3">
        <f>130000000+65000000</f>
        <v>195000000</v>
      </c>
      <c r="M81" s="3">
        <f>130000000+65000000</f>
        <v>195000000</v>
      </c>
      <c r="N81" s="3">
        <v>76000000</v>
      </c>
      <c r="O81" s="2">
        <f t="shared" si="3"/>
        <v>490000000</v>
      </c>
      <c r="P81" s="10">
        <v>43462</v>
      </c>
      <c r="Q81" s="11">
        <v>44773</v>
      </c>
      <c r="R81" s="5" t="s">
        <v>842</v>
      </c>
      <c r="S81" s="6" t="s">
        <v>27</v>
      </c>
      <c r="T81" s="16" t="s">
        <v>613</v>
      </c>
      <c r="U81" s="7" t="s">
        <v>184</v>
      </c>
      <c r="V81" s="7" t="s">
        <v>614</v>
      </c>
      <c r="W81" s="7" t="s">
        <v>615</v>
      </c>
      <c r="X81" s="12" t="s">
        <v>186</v>
      </c>
      <c r="Y81" s="7" t="s">
        <v>24</v>
      </c>
    </row>
    <row r="82" spans="1:25" ht="84.95" customHeight="1" x14ac:dyDescent="0.2">
      <c r="A82" s="8" t="s">
        <v>616</v>
      </c>
      <c r="B82" s="16" t="s">
        <v>32</v>
      </c>
      <c r="C82" s="6" t="s">
        <v>601</v>
      </c>
      <c r="D82" s="6" t="s">
        <v>29</v>
      </c>
      <c r="E82" s="15" t="s">
        <v>600</v>
      </c>
      <c r="F82" s="3">
        <v>332800000</v>
      </c>
      <c r="G82" s="9">
        <f>300000000+60000000</f>
        <v>360000000</v>
      </c>
      <c r="H82" s="9"/>
      <c r="I82" s="3"/>
      <c r="J82" s="3">
        <v>332800000</v>
      </c>
      <c r="K82" s="3">
        <v>4201000000</v>
      </c>
      <c r="L82" s="3">
        <v>3961000000</v>
      </c>
      <c r="M82" s="3">
        <f>4096000000+60000000</f>
        <v>4156000000</v>
      </c>
      <c r="N82" s="3">
        <v>2368200000</v>
      </c>
      <c r="O82" s="2">
        <f t="shared" si="3"/>
        <v>15019000000</v>
      </c>
      <c r="P82" s="10">
        <v>43462</v>
      </c>
      <c r="Q82" s="11">
        <v>44773</v>
      </c>
      <c r="R82" s="5" t="s">
        <v>842</v>
      </c>
      <c r="S82" s="6" t="s">
        <v>27</v>
      </c>
      <c r="T82" s="16" t="s">
        <v>164</v>
      </c>
      <c r="U82" s="7" t="s">
        <v>54</v>
      </c>
      <c r="V82" s="7" t="s">
        <v>165</v>
      </c>
      <c r="W82" s="7" t="s">
        <v>33</v>
      </c>
      <c r="X82" s="12" t="s">
        <v>315</v>
      </c>
      <c r="Y82" s="7" t="s">
        <v>24</v>
      </c>
    </row>
    <row r="83" spans="1:25" ht="84.95" customHeight="1" x14ac:dyDescent="0.2">
      <c r="A83" s="8" t="s">
        <v>617</v>
      </c>
      <c r="B83" s="16" t="s">
        <v>618</v>
      </c>
      <c r="C83" s="6" t="s">
        <v>601</v>
      </c>
      <c r="D83" s="6" t="s">
        <v>29</v>
      </c>
      <c r="E83" s="15" t="s">
        <v>600</v>
      </c>
      <c r="F83" s="3">
        <v>6000000</v>
      </c>
      <c r="G83" s="9">
        <v>33500000</v>
      </c>
      <c r="H83" s="9"/>
      <c r="I83" s="3"/>
      <c r="J83" s="3">
        <v>6000000</v>
      </c>
      <c r="K83" s="3">
        <v>100500000</v>
      </c>
      <c r="L83" s="3">
        <v>67000000</v>
      </c>
      <c r="M83" s="3">
        <v>67000000</v>
      </c>
      <c r="N83" s="3">
        <v>40000000</v>
      </c>
      <c r="O83" s="2">
        <f t="shared" si="3"/>
        <v>280500000</v>
      </c>
      <c r="P83" s="10">
        <v>43462</v>
      </c>
      <c r="Q83" s="11">
        <v>44773</v>
      </c>
      <c r="R83" s="5" t="s">
        <v>842</v>
      </c>
      <c r="S83" s="6" t="s">
        <v>27</v>
      </c>
      <c r="T83" s="16" t="s">
        <v>619</v>
      </c>
      <c r="U83" s="7" t="s">
        <v>620</v>
      </c>
      <c r="V83" s="7" t="s">
        <v>621</v>
      </c>
      <c r="W83" s="7" t="s">
        <v>622</v>
      </c>
      <c r="X83" s="12" t="s">
        <v>623</v>
      </c>
      <c r="Y83" s="7" t="s">
        <v>24</v>
      </c>
    </row>
    <row r="84" spans="1:25" ht="84.95" customHeight="1" x14ac:dyDescent="0.2">
      <c r="A84" s="8" t="s">
        <v>624</v>
      </c>
      <c r="B84" s="16" t="s">
        <v>88</v>
      </c>
      <c r="C84" s="6" t="s">
        <v>601</v>
      </c>
      <c r="D84" s="6" t="s">
        <v>29</v>
      </c>
      <c r="E84" s="15" t="s">
        <v>600</v>
      </c>
      <c r="F84" s="3">
        <v>7000000</v>
      </c>
      <c r="G84" s="23"/>
      <c r="H84" s="23">
        <f>50000000+14878261</f>
        <v>64878261</v>
      </c>
      <c r="I84" s="3"/>
      <c r="J84" s="3">
        <v>7000000</v>
      </c>
      <c r="K84" s="3">
        <v>40000000</v>
      </c>
      <c r="L84" s="3">
        <f>90000000-14878261</f>
        <v>75121739</v>
      </c>
      <c r="M84" s="3">
        <v>90000000</v>
      </c>
      <c r="N84" s="3">
        <v>53000000</v>
      </c>
      <c r="O84" s="2">
        <f t="shared" si="3"/>
        <v>265121739</v>
      </c>
      <c r="P84" s="10">
        <v>43462</v>
      </c>
      <c r="Q84" s="11">
        <v>44773</v>
      </c>
      <c r="R84" s="5" t="s">
        <v>842</v>
      </c>
      <c r="S84" s="6" t="s">
        <v>27</v>
      </c>
      <c r="T84" s="16" t="s">
        <v>89</v>
      </c>
      <c r="U84" s="7" t="s">
        <v>90</v>
      </c>
      <c r="V84" s="7" t="s">
        <v>91</v>
      </c>
      <c r="W84" s="7" t="s">
        <v>625</v>
      </c>
      <c r="X84" s="12" t="s">
        <v>92</v>
      </c>
      <c r="Y84" s="7" t="s">
        <v>24</v>
      </c>
    </row>
    <row r="85" spans="1:25" ht="84.95" customHeight="1" x14ac:dyDescent="0.2">
      <c r="A85" s="8" t="s">
        <v>626</v>
      </c>
      <c r="B85" s="16" t="s">
        <v>97</v>
      </c>
      <c r="C85" s="6" t="s">
        <v>601</v>
      </c>
      <c r="D85" s="6" t="s">
        <v>29</v>
      </c>
      <c r="E85" s="15" t="s">
        <v>600</v>
      </c>
      <c r="F85" s="3">
        <v>110900000</v>
      </c>
      <c r="G85" s="23"/>
      <c r="H85" s="23">
        <v>200000000</v>
      </c>
      <c r="I85" s="3"/>
      <c r="J85" s="3">
        <v>110900000</v>
      </c>
      <c r="K85" s="3">
        <v>1243000000</v>
      </c>
      <c r="L85" s="3">
        <v>1448000000</v>
      </c>
      <c r="M85" s="3">
        <v>1473000000</v>
      </c>
      <c r="N85" s="3">
        <v>863600000</v>
      </c>
      <c r="O85" s="2">
        <f t="shared" si="3"/>
        <v>5138500000</v>
      </c>
      <c r="P85" s="10">
        <v>43462</v>
      </c>
      <c r="Q85" s="11">
        <v>44773</v>
      </c>
      <c r="R85" s="5" t="s">
        <v>842</v>
      </c>
      <c r="S85" s="6" t="s">
        <v>27</v>
      </c>
      <c r="T85" s="16" t="s">
        <v>249</v>
      </c>
      <c r="U85" s="7" t="s">
        <v>55</v>
      </c>
      <c r="V85" s="7" t="s">
        <v>56</v>
      </c>
      <c r="W85" s="7" t="s">
        <v>57</v>
      </c>
      <c r="X85" s="12" t="s">
        <v>58</v>
      </c>
      <c r="Y85" s="7" t="s">
        <v>24</v>
      </c>
    </row>
    <row r="86" spans="1:25" ht="84.95" customHeight="1" x14ac:dyDescent="0.2">
      <c r="A86" s="13" t="s">
        <v>627</v>
      </c>
      <c r="B86" s="16" t="s">
        <v>628</v>
      </c>
      <c r="C86" s="6" t="s">
        <v>601</v>
      </c>
      <c r="D86" s="6" t="s">
        <v>29</v>
      </c>
      <c r="E86" s="15" t="s">
        <v>600</v>
      </c>
      <c r="F86" s="3">
        <v>6000000</v>
      </c>
      <c r="G86" s="23"/>
      <c r="H86" s="23">
        <v>49631297</v>
      </c>
      <c r="I86" s="3"/>
      <c r="J86" s="3">
        <v>6000000</v>
      </c>
      <c r="K86" s="3">
        <v>30368703</v>
      </c>
      <c r="L86" s="3">
        <v>80000000</v>
      </c>
      <c r="M86" s="3">
        <v>80000000</v>
      </c>
      <c r="N86" s="3">
        <v>48000000</v>
      </c>
      <c r="O86" s="2">
        <f t="shared" si="3"/>
        <v>244368703</v>
      </c>
      <c r="P86" s="10">
        <v>43462</v>
      </c>
      <c r="Q86" s="11">
        <v>44773</v>
      </c>
      <c r="R86" s="5" t="s">
        <v>842</v>
      </c>
      <c r="S86" s="6" t="s">
        <v>27</v>
      </c>
      <c r="T86" s="16" t="s">
        <v>357</v>
      </c>
      <c r="U86" s="7" t="s">
        <v>358</v>
      </c>
      <c r="V86" s="7" t="s">
        <v>359</v>
      </c>
      <c r="W86" s="7" t="s">
        <v>360</v>
      </c>
      <c r="X86" s="12" t="s">
        <v>361</v>
      </c>
      <c r="Y86" s="7" t="s">
        <v>24</v>
      </c>
    </row>
    <row r="87" spans="1:25" ht="84.95" customHeight="1" x14ac:dyDescent="0.2">
      <c r="A87" s="8" t="s">
        <v>629</v>
      </c>
      <c r="B87" s="16" t="s">
        <v>166</v>
      </c>
      <c r="C87" s="6" t="s">
        <v>601</v>
      </c>
      <c r="D87" s="6" t="s">
        <v>29</v>
      </c>
      <c r="E87" s="15" t="s">
        <v>600</v>
      </c>
      <c r="F87" s="3">
        <v>48450000</v>
      </c>
      <c r="G87" s="9">
        <v>49890448</v>
      </c>
      <c r="H87" s="23">
        <v>81805355</v>
      </c>
      <c r="I87" s="3"/>
      <c r="J87" s="3">
        <v>48450000</v>
      </c>
      <c r="K87" s="3">
        <v>479000000</v>
      </c>
      <c r="L87" s="3">
        <f>489000000-81805355</f>
        <v>407194645</v>
      </c>
      <c r="M87" s="3">
        <f>479000000+49890448</f>
        <v>528890448</v>
      </c>
      <c r="N87" s="3">
        <v>282150000</v>
      </c>
      <c r="O87" s="2">
        <f t="shared" si="3"/>
        <v>1745685093</v>
      </c>
      <c r="P87" s="10">
        <v>43462</v>
      </c>
      <c r="Q87" s="11">
        <v>44773</v>
      </c>
      <c r="R87" s="5" t="s">
        <v>842</v>
      </c>
      <c r="S87" s="6" t="s">
        <v>27</v>
      </c>
      <c r="T87" s="16" t="s">
        <v>159</v>
      </c>
      <c r="U87" s="7" t="s">
        <v>75</v>
      </c>
      <c r="V87" s="7" t="s">
        <v>167</v>
      </c>
      <c r="W87" s="7" t="s">
        <v>76</v>
      </c>
      <c r="X87" s="12" t="s">
        <v>77</v>
      </c>
      <c r="Y87" s="7" t="s">
        <v>24</v>
      </c>
    </row>
    <row r="88" spans="1:25" ht="84.95" customHeight="1" x14ac:dyDescent="0.2">
      <c r="A88" s="8" t="s">
        <v>630</v>
      </c>
      <c r="B88" s="16" t="s">
        <v>631</v>
      </c>
      <c r="C88" s="6" t="s">
        <v>601</v>
      </c>
      <c r="D88" s="6" t="s">
        <v>29</v>
      </c>
      <c r="E88" s="15" t="s">
        <v>600</v>
      </c>
      <c r="F88" s="3">
        <v>22850000</v>
      </c>
      <c r="G88" s="9">
        <f>200000000+80000000</f>
        <v>280000000</v>
      </c>
      <c r="H88" s="9"/>
      <c r="I88" s="3"/>
      <c r="J88" s="3">
        <v>22850000</v>
      </c>
      <c r="K88" s="3">
        <v>385000000</v>
      </c>
      <c r="L88" s="3">
        <f>285000000+100000000</f>
        <v>385000000</v>
      </c>
      <c r="M88" s="3">
        <f>285000000+80000000</f>
        <v>365000000</v>
      </c>
      <c r="N88" s="3">
        <v>163450000</v>
      </c>
      <c r="O88" s="2">
        <f t="shared" si="3"/>
        <v>1321300000</v>
      </c>
      <c r="P88" s="10">
        <v>43462</v>
      </c>
      <c r="Q88" s="11">
        <v>44773</v>
      </c>
      <c r="R88" s="5" t="s">
        <v>842</v>
      </c>
      <c r="S88" s="6" t="s">
        <v>27</v>
      </c>
      <c r="T88" s="16" t="s">
        <v>632</v>
      </c>
      <c r="U88" s="7" t="s">
        <v>633</v>
      </c>
      <c r="V88" s="7" t="s">
        <v>634</v>
      </c>
      <c r="W88" s="7" t="s">
        <v>635</v>
      </c>
      <c r="X88" s="12" t="s">
        <v>636</v>
      </c>
      <c r="Y88" s="7" t="s">
        <v>24</v>
      </c>
    </row>
    <row r="89" spans="1:25" ht="84.95" customHeight="1" x14ac:dyDescent="0.2">
      <c r="A89" s="8" t="s">
        <v>637</v>
      </c>
      <c r="B89" s="16" t="s">
        <v>208</v>
      </c>
      <c r="C89" s="6" t="s">
        <v>601</v>
      </c>
      <c r="D89" s="6" t="s">
        <v>29</v>
      </c>
      <c r="E89" s="15" t="s">
        <v>600</v>
      </c>
      <c r="F89" s="3">
        <v>4000000</v>
      </c>
      <c r="G89" s="9"/>
      <c r="H89" s="23">
        <v>23000000</v>
      </c>
      <c r="I89" s="3"/>
      <c r="J89" s="3">
        <v>4000000</v>
      </c>
      <c r="K89" s="3">
        <v>46000000</v>
      </c>
      <c r="L89" s="3">
        <f>41000000-23000000</f>
        <v>18000000</v>
      </c>
      <c r="M89" s="3">
        <v>46000000</v>
      </c>
      <c r="N89" s="3">
        <v>27000000</v>
      </c>
      <c r="O89" s="2">
        <f t="shared" si="3"/>
        <v>141000000</v>
      </c>
      <c r="P89" s="10">
        <v>43462</v>
      </c>
      <c r="Q89" s="11">
        <v>44773</v>
      </c>
      <c r="R89" s="5" t="s">
        <v>842</v>
      </c>
      <c r="S89" s="6" t="s">
        <v>27</v>
      </c>
      <c r="T89" s="16" t="s">
        <v>638</v>
      </c>
      <c r="U89" s="7" t="s">
        <v>209</v>
      </c>
      <c r="V89" s="7" t="s">
        <v>639</v>
      </c>
      <c r="W89" s="7" t="s">
        <v>640</v>
      </c>
      <c r="X89" s="12" t="s">
        <v>641</v>
      </c>
      <c r="Y89" s="7" t="s">
        <v>24</v>
      </c>
    </row>
    <row r="90" spans="1:25" ht="84.95" customHeight="1" x14ac:dyDescent="0.2">
      <c r="A90" s="8" t="s">
        <v>642</v>
      </c>
      <c r="B90" s="16" t="s">
        <v>154</v>
      </c>
      <c r="C90" s="6" t="s">
        <v>601</v>
      </c>
      <c r="D90" s="6" t="s">
        <v>29</v>
      </c>
      <c r="E90" s="15" t="s">
        <v>600</v>
      </c>
      <c r="F90" s="3">
        <v>9000000</v>
      </c>
      <c r="G90" s="23"/>
      <c r="H90" s="23">
        <v>39711738</v>
      </c>
      <c r="I90" s="3"/>
      <c r="J90" s="3">
        <v>9000000</v>
      </c>
      <c r="K90" s="3">
        <v>60000000</v>
      </c>
      <c r="L90" s="3">
        <f>60000000-39711738</f>
        <v>20288262</v>
      </c>
      <c r="M90" s="3">
        <v>60000000</v>
      </c>
      <c r="N90" s="3">
        <v>35000000</v>
      </c>
      <c r="O90" s="2">
        <f t="shared" si="3"/>
        <v>184288262</v>
      </c>
      <c r="P90" s="10">
        <v>43462</v>
      </c>
      <c r="Q90" s="11">
        <v>44773</v>
      </c>
      <c r="R90" s="5" t="s">
        <v>842</v>
      </c>
      <c r="S90" s="6" t="s">
        <v>27</v>
      </c>
      <c r="T90" s="16" t="s">
        <v>155</v>
      </c>
      <c r="U90" s="7" t="s">
        <v>156</v>
      </c>
      <c r="V90" s="7" t="s">
        <v>157</v>
      </c>
      <c r="W90" s="7" t="s">
        <v>158</v>
      </c>
      <c r="X90" s="12" t="s">
        <v>333</v>
      </c>
      <c r="Y90" s="7" t="s">
        <v>24</v>
      </c>
    </row>
    <row r="91" spans="1:25" ht="154.5" customHeight="1" x14ac:dyDescent="0.2">
      <c r="A91" s="8" t="s">
        <v>643</v>
      </c>
      <c r="B91" s="16" t="s">
        <v>644</v>
      </c>
      <c r="C91" s="6" t="s">
        <v>601</v>
      </c>
      <c r="D91" s="6" t="s">
        <v>29</v>
      </c>
      <c r="E91" s="15" t="s">
        <v>600</v>
      </c>
      <c r="F91" s="3">
        <v>40000000</v>
      </c>
      <c r="G91" s="23"/>
      <c r="H91" s="23">
        <f>384582508+133203774</f>
        <v>517786282</v>
      </c>
      <c r="I91" s="3"/>
      <c r="J91" s="3">
        <v>40000000</v>
      </c>
      <c r="K91" s="3">
        <v>135417492</v>
      </c>
      <c r="L91" s="3">
        <f>520000000-133203774</f>
        <v>386796226</v>
      </c>
      <c r="M91" s="3">
        <v>520000000</v>
      </c>
      <c r="N91" s="3">
        <v>306000000</v>
      </c>
      <c r="O91" s="2">
        <f t="shared" si="3"/>
        <v>1388213718</v>
      </c>
      <c r="P91" s="10">
        <v>43462</v>
      </c>
      <c r="Q91" s="11">
        <v>44773</v>
      </c>
      <c r="R91" s="5" t="s">
        <v>842</v>
      </c>
      <c r="S91" s="6" t="s">
        <v>27</v>
      </c>
      <c r="T91" s="16" t="s">
        <v>645</v>
      </c>
      <c r="U91" s="7" t="s">
        <v>646</v>
      </c>
      <c r="V91" s="7" t="s">
        <v>647</v>
      </c>
      <c r="W91" s="7" t="s">
        <v>648</v>
      </c>
      <c r="X91" s="12" t="s">
        <v>649</v>
      </c>
      <c r="Y91" s="7" t="s">
        <v>24</v>
      </c>
    </row>
    <row r="92" spans="1:25" ht="84.95" customHeight="1" x14ac:dyDescent="0.2">
      <c r="A92" s="8" t="s">
        <v>650</v>
      </c>
      <c r="B92" s="16" t="s">
        <v>212</v>
      </c>
      <c r="C92" s="6" t="s">
        <v>601</v>
      </c>
      <c r="D92" s="6" t="s">
        <v>29</v>
      </c>
      <c r="E92" s="15" t="s">
        <v>600</v>
      </c>
      <c r="F92" s="3">
        <v>22000000</v>
      </c>
      <c r="G92" s="23"/>
      <c r="H92" s="23">
        <v>100000000</v>
      </c>
      <c r="I92" s="3"/>
      <c r="J92" s="3">
        <v>22000000</v>
      </c>
      <c r="K92" s="3">
        <v>270000000</v>
      </c>
      <c r="L92" s="3">
        <f>270000000-100000000</f>
        <v>170000000</v>
      </c>
      <c r="M92" s="3">
        <v>270000000</v>
      </c>
      <c r="N92" s="3">
        <v>158000000</v>
      </c>
      <c r="O92" s="2">
        <f t="shared" si="3"/>
        <v>890000000</v>
      </c>
      <c r="P92" s="10">
        <v>43462</v>
      </c>
      <c r="Q92" s="11">
        <v>44773</v>
      </c>
      <c r="R92" s="5" t="s">
        <v>842</v>
      </c>
      <c r="S92" s="6" t="s">
        <v>27</v>
      </c>
      <c r="T92" s="16" t="s">
        <v>651</v>
      </c>
      <c r="U92" s="7" t="s">
        <v>213</v>
      </c>
      <c r="V92" s="7" t="s">
        <v>652</v>
      </c>
      <c r="W92" s="7" t="s">
        <v>653</v>
      </c>
      <c r="X92" s="12" t="s">
        <v>654</v>
      </c>
      <c r="Y92" s="7" t="s">
        <v>24</v>
      </c>
    </row>
    <row r="93" spans="1:25" ht="84.95" customHeight="1" x14ac:dyDescent="0.2">
      <c r="A93" s="8" t="s">
        <v>655</v>
      </c>
      <c r="B93" s="16" t="s">
        <v>43</v>
      </c>
      <c r="C93" s="6" t="s">
        <v>601</v>
      </c>
      <c r="D93" s="6" t="s">
        <v>29</v>
      </c>
      <c r="E93" s="15" t="s">
        <v>600</v>
      </c>
      <c r="F93" s="3">
        <v>33400000</v>
      </c>
      <c r="G93" s="23"/>
      <c r="H93" s="23">
        <f>90000000+61942592</f>
        <v>151942592</v>
      </c>
      <c r="I93" s="3"/>
      <c r="J93" s="3">
        <v>33400000</v>
      </c>
      <c r="K93" s="3">
        <v>400500000</v>
      </c>
      <c r="L93" s="3">
        <f>400500000-90000000</f>
        <v>310500000</v>
      </c>
      <c r="M93" s="3">
        <f>400500000-61942592</f>
        <v>338557408</v>
      </c>
      <c r="N93" s="3">
        <v>234600000</v>
      </c>
      <c r="O93" s="2">
        <f t="shared" si="3"/>
        <v>1317557408</v>
      </c>
      <c r="P93" s="10">
        <v>43462</v>
      </c>
      <c r="Q93" s="11">
        <v>44773</v>
      </c>
      <c r="R93" s="5" t="s">
        <v>842</v>
      </c>
      <c r="S93" s="6" t="s">
        <v>27</v>
      </c>
      <c r="T93" s="16" t="s">
        <v>44</v>
      </c>
      <c r="U93" s="7" t="s">
        <v>45</v>
      </c>
      <c r="V93" s="7" t="s">
        <v>656</v>
      </c>
      <c r="W93" s="7" t="s">
        <v>46</v>
      </c>
      <c r="X93" s="12" t="s">
        <v>47</v>
      </c>
      <c r="Y93" s="7" t="s">
        <v>24</v>
      </c>
    </row>
    <row r="94" spans="1:25" ht="84.95" customHeight="1" x14ac:dyDescent="0.2">
      <c r="A94" s="8" t="s">
        <v>657</v>
      </c>
      <c r="B94" s="16" t="s">
        <v>658</v>
      </c>
      <c r="C94" s="6" t="s">
        <v>601</v>
      </c>
      <c r="D94" s="6" t="s">
        <v>29</v>
      </c>
      <c r="E94" s="15" t="s">
        <v>600</v>
      </c>
      <c r="F94" s="3">
        <v>5000000</v>
      </c>
      <c r="G94" s="9"/>
      <c r="H94" s="9"/>
      <c r="I94" s="3"/>
      <c r="J94" s="3">
        <v>5000000</v>
      </c>
      <c r="K94" s="3">
        <v>60000000</v>
      </c>
      <c r="L94" s="3">
        <v>60000000</v>
      </c>
      <c r="M94" s="3">
        <v>60000000</v>
      </c>
      <c r="N94" s="3">
        <v>35000000</v>
      </c>
      <c r="O94" s="2">
        <f t="shared" si="3"/>
        <v>220000000</v>
      </c>
      <c r="P94" s="10">
        <v>43462</v>
      </c>
      <c r="Q94" s="11">
        <v>44773</v>
      </c>
      <c r="R94" s="5" t="s">
        <v>842</v>
      </c>
      <c r="S94" s="6" t="s">
        <v>27</v>
      </c>
      <c r="T94" s="16" t="s">
        <v>83</v>
      </c>
      <c r="U94" s="7" t="s">
        <v>84</v>
      </c>
      <c r="V94" s="7" t="s">
        <v>85</v>
      </c>
      <c r="W94" s="7" t="s">
        <v>86</v>
      </c>
      <c r="X94" s="12" t="s">
        <v>87</v>
      </c>
      <c r="Y94" s="7" t="s">
        <v>24</v>
      </c>
    </row>
    <row r="95" spans="1:25" ht="131.25" customHeight="1" x14ac:dyDescent="0.2">
      <c r="A95" s="8" t="s">
        <v>659</v>
      </c>
      <c r="B95" s="16" t="s">
        <v>60</v>
      </c>
      <c r="C95" s="6" t="s">
        <v>601</v>
      </c>
      <c r="D95" s="6" t="s">
        <v>29</v>
      </c>
      <c r="E95" s="15" t="s">
        <v>600</v>
      </c>
      <c r="F95" s="3">
        <v>6000000</v>
      </c>
      <c r="G95" s="23"/>
      <c r="H95" s="23">
        <f>30000000+2850366</f>
        <v>32850366</v>
      </c>
      <c r="I95" s="3"/>
      <c r="J95" s="3">
        <v>6000000</v>
      </c>
      <c r="K95" s="3">
        <v>70000000</v>
      </c>
      <c r="L95" s="3">
        <f>70000000-2850366</f>
        <v>67149634</v>
      </c>
      <c r="M95" s="3">
        <v>70000000</v>
      </c>
      <c r="N95" s="3">
        <v>40000000</v>
      </c>
      <c r="O95" s="2">
        <f t="shared" si="3"/>
        <v>253149634</v>
      </c>
      <c r="P95" s="10">
        <v>43462</v>
      </c>
      <c r="Q95" s="11">
        <v>44773</v>
      </c>
      <c r="R95" s="5" t="s">
        <v>842</v>
      </c>
      <c r="S95" s="6" t="s">
        <v>27</v>
      </c>
      <c r="T95" s="16" t="s">
        <v>61</v>
      </c>
      <c r="U95" s="7" t="s">
        <v>62</v>
      </c>
      <c r="V95" s="7" t="s">
        <v>63</v>
      </c>
      <c r="W95" s="7" t="s">
        <v>64</v>
      </c>
      <c r="X95" s="12" t="s">
        <v>65</v>
      </c>
      <c r="Y95" s="7" t="s">
        <v>24</v>
      </c>
    </row>
    <row r="96" spans="1:25" ht="84.95" customHeight="1" x14ac:dyDescent="0.2">
      <c r="A96" s="8" t="s">
        <v>660</v>
      </c>
      <c r="B96" s="16" t="s">
        <v>504</v>
      </c>
      <c r="C96" s="6" t="s">
        <v>601</v>
      </c>
      <c r="D96" s="6" t="s">
        <v>29</v>
      </c>
      <c r="E96" s="15" t="s">
        <v>600</v>
      </c>
      <c r="F96" s="3">
        <v>2000000</v>
      </c>
      <c r="G96" s="9">
        <v>15000000</v>
      </c>
      <c r="H96" s="9"/>
      <c r="I96" s="3"/>
      <c r="J96" s="3">
        <v>2000000</v>
      </c>
      <c r="K96" s="3">
        <v>30000000</v>
      </c>
      <c r="L96" s="3">
        <f>30000000+15000000</f>
        <v>45000000</v>
      </c>
      <c r="M96" s="3">
        <v>30000000</v>
      </c>
      <c r="N96" s="3">
        <v>18000000</v>
      </c>
      <c r="O96" s="2">
        <f t="shared" si="3"/>
        <v>125000000</v>
      </c>
      <c r="P96" s="10">
        <v>43462</v>
      </c>
      <c r="Q96" s="11">
        <v>44773</v>
      </c>
      <c r="R96" s="5" t="s">
        <v>842</v>
      </c>
      <c r="S96" s="6" t="s">
        <v>27</v>
      </c>
      <c r="T96" s="16" t="s">
        <v>661</v>
      </c>
      <c r="U96" s="7" t="s">
        <v>66</v>
      </c>
      <c r="V96" s="7" t="s">
        <v>662</v>
      </c>
      <c r="W96" s="7" t="s">
        <v>68</v>
      </c>
      <c r="X96" s="12" t="s">
        <v>69</v>
      </c>
      <c r="Y96" s="7" t="s">
        <v>663</v>
      </c>
    </row>
    <row r="97" spans="1:25" ht="84.95" customHeight="1" x14ac:dyDescent="0.2">
      <c r="A97" s="13" t="s">
        <v>664</v>
      </c>
      <c r="B97" s="16" t="s">
        <v>121</v>
      </c>
      <c r="C97" s="6" t="s">
        <v>601</v>
      </c>
      <c r="D97" s="6" t="s">
        <v>29</v>
      </c>
      <c r="E97" s="15" t="s">
        <v>600</v>
      </c>
      <c r="F97" s="3">
        <v>5400000</v>
      </c>
      <c r="G97" s="23"/>
      <c r="H97" s="23">
        <v>30000000</v>
      </c>
      <c r="I97" s="3"/>
      <c r="J97" s="3">
        <v>5400000</v>
      </c>
      <c r="K97" s="3">
        <v>94000000</v>
      </c>
      <c r="L97" s="3">
        <v>114000000</v>
      </c>
      <c r="M97" s="3">
        <v>124000000</v>
      </c>
      <c r="N97" s="3">
        <v>72600000</v>
      </c>
      <c r="O97" s="2">
        <f t="shared" si="3"/>
        <v>410000000</v>
      </c>
      <c r="P97" s="10">
        <v>43462</v>
      </c>
      <c r="Q97" s="11">
        <v>44773</v>
      </c>
      <c r="R97" s="5" t="s">
        <v>842</v>
      </c>
      <c r="S97" s="6" t="s">
        <v>27</v>
      </c>
      <c r="T97" s="16" t="s">
        <v>38</v>
      </c>
      <c r="U97" s="7" t="s">
        <v>39</v>
      </c>
      <c r="V97" s="7" t="s">
        <v>40</v>
      </c>
      <c r="W97" s="7" t="s">
        <v>41</v>
      </c>
      <c r="X97" s="12" t="s">
        <v>42</v>
      </c>
      <c r="Y97" s="7" t="s">
        <v>24</v>
      </c>
    </row>
    <row r="98" spans="1:25" ht="128.25" customHeight="1" x14ac:dyDescent="0.2">
      <c r="A98" s="8" t="s">
        <v>665</v>
      </c>
      <c r="B98" s="16" t="s">
        <v>666</v>
      </c>
      <c r="C98" s="6" t="s">
        <v>601</v>
      </c>
      <c r="D98" s="6" t="s">
        <v>29</v>
      </c>
      <c r="E98" s="15" t="s">
        <v>600</v>
      </c>
      <c r="F98" s="3">
        <v>1500000000</v>
      </c>
      <c r="G98" s="23"/>
      <c r="H98" s="23">
        <f>5897338+3000000</f>
        <v>8897338</v>
      </c>
      <c r="I98" s="3"/>
      <c r="J98" s="3">
        <v>1500000000</v>
      </c>
      <c r="K98" s="3">
        <v>9102662</v>
      </c>
      <c r="L98" s="3">
        <f>13000000-3000000</f>
        <v>10000000</v>
      </c>
      <c r="M98" s="3">
        <v>15000000</v>
      </c>
      <c r="N98" s="3">
        <v>9000000</v>
      </c>
      <c r="O98" s="2">
        <f t="shared" si="3"/>
        <v>1543102662</v>
      </c>
      <c r="P98" s="10">
        <v>43462</v>
      </c>
      <c r="Q98" s="11">
        <v>44773</v>
      </c>
      <c r="R98" s="5" t="s">
        <v>842</v>
      </c>
      <c r="S98" s="6" t="s">
        <v>27</v>
      </c>
      <c r="T98" s="16" t="s">
        <v>667</v>
      </c>
      <c r="U98" s="7" t="s">
        <v>668</v>
      </c>
      <c r="V98" s="7" t="s">
        <v>669</v>
      </c>
      <c r="W98" s="7" t="s">
        <v>670</v>
      </c>
      <c r="X98" s="12" t="s">
        <v>671</v>
      </c>
      <c r="Y98" s="7" t="s">
        <v>24</v>
      </c>
    </row>
    <row r="99" spans="1:25" ht="84.95" customHeight="1" x14ac:dyDescent="0.2">
      <c r="A99" s="8" t="s">
        <v>672</v>
      </c>
      <c r="B99" s="16" t="s">
        <v>70</v>
      </c>
      <c r="C99" s="6" t="s">
        <v>601</v>
      </c>
      <c r="D99" s="6" t="s">
        <v>29</v>
      </c>
      <c r="E99" s="15" t="s">
        <v>600</v>
      </c>
      <c r="F99" s="3">
        <v>192200000</v>
      </c>
      <c r="G99" s="24"/>
      <c r="H99" s="24">
        <f>200000000+300000000</f>
        <v>500000000</v>
      </c>
      <c r="I99" s="3"/>
      <c r="J99" s="3">
        <v>192200000</v>
      </c>
      <c r="K99" s="3">
        <v>675263130</v>
      </c>
      <c r="L99" s="3">
        <f>1307000000-300000000</f>
        <v>1007000000</v>
      </c>
      <c r="M99" s="3">
        <v>1307000000</v>
      </c>
      <c r="N99" s="3">
        <v>765800000</v>
      </c>
      <c r="O99" s="2">
        <f t="shared" si="3"/>
        <v>3947263130</v>
      </c>
      <c r="P99" s="10">
        <v>43462</v>
      </c>
      <c r="Q99" s="11">
        <v>44773</v>
      </c>
      <c r="R99" s="5" t="s">
        <v>842</v>
      </c>
      <c r="S99" s="6" t="s">
        <v>27</v>
      </c>
      <c r="T99" s="16" t="s">
        <v>71</v>
      </c>
      <c r="U99" s="7" t="s">
        <v>72</v>
      </c>
      <c r="V99" s="7" t="s">
        <v>73</v>
      </c>
      <c r="W99" s="7" t="s">
        <v>74</v>
      </c>
      <c r="X99" s="12" t="s">
        <v>673</v>
      </c>
      <c r="Y99" s="7" t="s">
        <v>24</v>
      </c>
    </row>
    <row r="100" spans="1:25" ht="84.95" customHeight="1" x14ac:dyDescent="0.2">
      <c r="A100" s="13" t="s">
        <v>674</v>
      </c>
      <c r="B100" s="16" t="s">
        <v>122</v>
      </c>
      <c r="C100" s="6" t="s">
        <v>601</v>
      </c>
      <c r="D100" s="6" t="s">
        <v>29</v>
      </c>
      <c r="E100" s="15" t="s">
        <v>600</v>
      </c>
      <c r="F100" s="3">
        <v>22800000</v>
      </c>
      <c r="G100" s="23"/>
      <c r="H100" s="23">
        <v>33779058</v>
      </c>
      <c r="I100" s="3"/>
      <c r="J100" s="3">
        <v>22800000</v>
      </c>
      <c r="K100" s="3">
        <v>278000000</v>
      </c>
      <c r="L100" s="3">
        <f>268000000-33779058</f>
        <v>234220942</v>
      </c>
      <c r="M100" s="3">
        <v>278000000</v>
      </c>
      <c r="N100" s="3">
        <v>164200000</v>
      </c>
      <c r="O100" s="2">
        <f t="shared" si="3"/>
        <v>977220942</v>
      </c>
      <c r="P100" s="10">
        <v>43462</v>
      </c>
      <c r="Q100" s="11">
        <v>44773</v>
      </c>
      <c r="R100" s="5" t="s">
        <v>842</v>
      </c>
      <c r="S100" s="6" t="s">
        <v>27</v>
      </c>
      <c r="T100" s="16" t="s">
        <v>79</v>
      </c>
      <c r="U100" s="7" t="s">
        <v>80</v>
      </c>
      <c r="V100" s="7" t="s">
        <v>123</v>
      </c>
      <c r="W100" s="7" t="s">
        <v>675</v>
      </c>
      <c r="X100" s="12" t="s">
        <v>82</v>
      </c>
      <c r="Y100" s="7" t="s">
        <v>24</v>
      </c>
    </row>
    <row r="101" spans="1:25" ht="84.95" customHeight="1" x14ac:dyDescent="0.2">
      <c r="A101" s="8" t="s">
        <v>676</v>
      </c>
      <c r="B101" s="16" t="s">
        <v>677</v>
      </c>
      <c r="C101" s="6" t="s">
        <v>601</v>
      </c>
      <c r="D101" s="6" t="s">
        <v>29</v>
      </c>
      <c r="E101" s="15" t="s">
        <v>600</v>
      </c>
      <c r="F101" s="3">
        <v>67667000</v>
      </c>
      <c r="G101" s="9"/>
      <c r="H101" s="9"/>
      <c r="I101" s="3"/>
      <c r="J101" s="3">
        <v>67667000</v>
      </c>
      <c r="K101" s="3">
        <v>934000000</v>
      </c>
      <c r="L101" s="3">
        <v>874000000</v>
      </c>
      <c r="M101" s="3">
        <v>934000000</v>
      </c>
      <c r="N101" s="3">
        <v>545733000</v>
      </c>
      <c r="O101" s="2">
        <f t="shared" si="3"/>
        <v>3355400000</v>
      </c>
      <c r="P101" s="10">
        <v>43462</v>
      </c>
      <c r="Q101" s="11">
        <v>44773</v>
      </c>
      <c r="R101" s="5" t="s">
        <v>842</v>
      </c>
      <c r="S101" s="6" t="s">
        <v>27</v>
      </c>
      <c r="T101" s="16" t="s">
        <v>678</v>
      </c>
      <c r="U101" s="7" t="s">
        <v>160</v>
      </c>
      <c r="V101" s="7" t="s">
        <v>161</v>
      </c>
      <c r="W101" s="7" t="s">
        <v>162</v>
      </c>
      <c r="X101" s="12" t="s">
        <v>163</v>
      </c>
      <c r="Y101" s="7" t="s">
        <v>24</v>
      </c>
    </row>
    <row r="102" spans="1:25" ht="112.5" customHeight="1" x14ac:dyDescent="0.2">
      <c r="A102" s="13" t="s">
        <v>679</v>
      </c>
      <c r="B102" s="16" t="s">
        <v>48</v>
      </c>
      <c r="C102" s="6" t="s">
        <v>601</v>
      </c>
      <c r="D102" s="6" t="s">
        <v>29</v>
      </c>
      <c r="E102" s="15" t="s">
        <v>600</v>
      </c>
      <c r="F102" s="3">
        <v>79500000</v>
      </c>
      <c r="G102" s="23"/>
      <c r="H102" s="23">
        <f>273309818+263470894+227451902</f>
        <v>764232614</v>
      </c>
      <c r="I102" s="3"/>
      <c r="J102" s="3">
        <v>79500000</v>
      </c>
      <c r="K102" s="3">
        <v>648690182</v>
      </c>
      <c r="L102" s="3">
        <f>920000000-263470894</f>
        <v>656529106</v>
      </c>
      <c r="M102" s="3">
        <f>945000000-227451902</f>
        <v>717548098</v>
      </c>
      <c r="N102" s="3">
        <v>552000000</v>
      </c>
      <c r="O102" s="2">
        <f t="shared" si="3"/>
        <v>2654267386</v>
      </c>
      <c r="P102" s="10">
        <v>43462</v>
      </c>
      <c r="Q102" s="11">
        <v>44773</v>
      </c>
      <c r="R102" s="5" t="s">
        <v>842</v>
      </c>
      <c r="S102" s="6" t="s">
        <v>27</v>
      </c>
      <c r="T102" s="16" t="s">
        <v>49</v>
      </c>
      <c r="U102" s="7" t="s">
        <v>50</v>
      </c>
      <c r="V102" s="7" t="s">
        <v>576</v>
      </c>
      <c r="W102" s="7" t="s">
        <v>577</v>
      </c>
      <c r="X102" s="12" t="s">
        <v>51</v>
      </c>
      <c r="Y102" s="7" t="s">
        <v>24</v>
      </c>
    </row>
    <row r="103" spans="1:25" ht="84.95" customHeight="1" x14ac:dyDescent="0.2">
      <c r="A103" s="8" t="s">
        <v>680</v>
      </c>
      <c r="B103" s="16" t="s">
        <v>681</v>
      </c>
      <c r="C103" s="6" t="s">
        <v>601</v>
      </c>
      <c r="D103" s="6" t="s">
        <v>29</v>
      </c>
      <c r="E103" s="15" t="s">
        <v>600</v>
      </c>
      <c r="F103" s="3">
        <v>500000</v>
      </c>
      <c r="G103" s="9"/>
      <c r="H103" s="23">
        <v>252322</v>
      </c>
      <c r="I103" s="3"/>
      <c r="J103" s="3">
        <v>500000</v>
      </c>
      <c r="K103" s="3">
        <v>8000000</v>
      </c>
      <c r="L103" s="3">
        <v>8000000</v>
      </c>
      <c r="M103" s="3">
        <f>8000000-252322</f>
        <v>7747678</v>
      </c>
      <c r="N103" s="3">
        <v>5000000</v>
      </c>
      <c r="O103" s="2">
        <f t="shared" si="3"/>
        <v>29247678</v>
      </c>
      <c r="P103" s="10">
        <v>43462</v>
      </c>
      <c r="Q103" s="11">
        <v>44773</v>
      </c>
      <c r="R103" s="5" t="s">
        <v>842</v>
      </c>
      <c r="S103" s="6" t="s">
        <v>27</v>
      </c>
      <c r="T103" s="16" t="s">
        <v>682</v>
      </c>
      <c r="U103" s="7" t="s">
        <v>683</v>
      </c>
      <c r="V103" s="7" t="s">
        <v>684</v>
      </c>
      <c r="W103" s="7" t="s">
        <v>685</v>
      </c>
      <c r="X103" s="12" t="s">
        <v>686</v>
      </c>
      <c r="Y103" s="7" t="s">
        <v>24</v>
      </c>
    </row>
    <row r="104" spans="1:25" ht="84.95" customHeight="1" x14ac:dyDescent="0.2">
      <c r="A104" s="8" t="s">
        <v>687</v>
      </c>
      <c r="B104" s="16" t="s">
        <v>688</v>
      </c>
      <c r="C104" s="6" t="s">
        <v>601</v>
      </c>
      <c r="D104" s="6" t="s">
        <v>29</v>
      </c>
      <c r="E104" s="15" t="s">
        <v>600</v>
      </c>
      <c r="F104" s="3">
        <v>9000000</v>
      </c>
      <c r="G104" s="9"/>
      <c r="H104" s="9"/>
      <c r="I104" s="3"/>
      <c r="J104" s="3">
        <v>9000000</v>
      </c>
      <c r="K104" s="3">
        <v>110000000</v>
      </c>
      <c r="L104" s="3">
        <v>110000000</v>
      </c>
      <c r="M104" s="3">
        <v>110000000</v>
      </c>
      <c r="N104" s="3">
        <v>65000000</v>
      </c>
      <c r="O104" s="2">
        <f t="shared" si="3"/>
        <v>404000000</v>
      </c>
      <c r="P104" s="10">
        <v>43462</v>
      </c>
      <c r="Q104" s="11">
        <v>44773</v>
      </c>
      <c r="R104" s="5" t="s">
        <v>842</v>
      </c>
      <c r="S104" s="6" t="s">
        <v>27</v>
      </c>
      <c r="T104" s="16" t="s">
        <v>689</v>
      </c>
      <c r="U104" s="7" t="s">
        <v>690</v>
      </c>
      <c r="V104" s="7" t="s">
        <v>691</v>
      </c>
      <c r="W104" s="7" t="s">
        <v>692</v>
      </c>
      <c r="X104" s="12" t="s">
        <v>693</v>
      </c>
      <c r="Y104" s="7" t="s">
        <v>24</v>
      </c>
    </row>
    <row r="105" spans="1:25" ht="84.95" customHeight="1" x14ac:dyDescent="0.2">
      <c r="A105" s="13" t="s">
        <v>694</v>
      </c>
      <c r="B105" s="16" t="s">
        <v>100</v>
      </c>
      <c r="C105" s="6" t="s">
        <v>601</v>
      </c>
      <c r="D105" s="6" t="s">
        <v>29</v>
      </c>
      <c r="E105" s="15" t="s">
        <v>600</v>
      </c>
      <c r="F105" s="3">
        <v>13700000</v>
      </c>
      <c r="G105" s="9">
        <v>4000000</v>
      </c>
      <c r="H105" s="9"/>
      <c r="I105" s="3"/>
      <c r="J105" s="3">
        <v>13700000</v>
      </c>
      <c r="K105" s="3">
        <v>158000000</v>
      </c>
      <c r="L105" s="3">
        <v>158000000</v>
      </c>
      <c r="M105" s="3">
        <v>158000000</v>
      </c>
      <c r="N105" s="3">
        <v>91300000</v>
      </c>
      <c r="O105" s="2">
        <f t="shared" si="3"/>
        <v>579000000</v>
      </c>
      <c r="P105" s="10">
        <v>43462</v>
      </c>
      <c r="Q105" s="11">
        <v>44773</v>
      </c>
      <c r="R105" s="5" t="s">
        <v>842</v>
      </c>
      <c r="S105" s="6" t="s">
        <v>27</v>
      </c>
      <c r="T105" s="16" t="s">
        <v>101</v>
      </c>
      <c r="U105" s="7" t="s">
        <v>102</v>
      </c>
      <c r="V105" s="7" t="s">
        <v>103</v>
      </c>
      <c r="W105" s="7" t="s">
        <v>104</v>
      </c>
      <c r="X105" s="12" t="s">
        <v>105</v>
      </c>
      <c r="Y105" s="7" t="s">
        <v>24</v>
      </c>
    </row>
    <row r="106" spans="1:25" ht="84.95" customHeight="1" x14ac:dyDescent="0.2">
      <c r="A106" s="8" t="s">
        <v>695</v>
      </c>
      <c r="B106" s="16" t="s">
        <v>696</v>
      </c>
      <c r="C106" s="6" t="s">
        <v>601</v>
      </c>
      <c r="D106" s="6" t="s">
        <v>29</v>
      </c>
      <c r="E106" s="15" t="s">
        <v>600</v>
      </c>
      <c r="F106" s="3">
        <v>17000000</v>
      </c>
      <c r="G106" s="9"/>
      <c r="H106" s="23">
        <v>44952971</v>
      </c>
      <c r="I106" s="3"/>
      <c r="J106" s="3">
        <v>17000000</v>
      </c>
      <c r="K106" s="3">
        <v>200000000</v>
      </c>
      <c r="L106" s="3">
        <f>200000000-44952971</f>
        <v>155047029</v>
      </c>
      <c r="M106" s="3">
        <v>200000000</v>
      </c>
      <c r="N106" s="3">
        <v>117000000</v>
      </c>
      <c r="O106" s="2">
        <f t="shared" si="3"/>
        <v>689047029</v>
      </c>
      <c r="P106" s="10">
        <v>43462</v>
      </c>
      <c r="Q106" s="11">
        <v>44773</v>
      </c>
      <c r="R106" s="5" t="s">
        <v>842</v>
      </c>
      <c r="S106" s="6" t="s">
        <v>27</v>
      </c>
      <c r="T106" s="16" t="s">
        <v>697</v>
      </c>
      <c r="U106" s="7" t="s">
        <v>698</v>
      </c>
      <c r="V106" s="7" t="s">
        <v>699</v>
      </c>
      <c r="W106" s="7" t="s">
        <v>700</v>
      </c>
      <c r="X106" s="12" t="s">
        <v>701</v>
      </c>
      <c r="Y106" s="7" t="s">
        <v>24</v>
      </c>
    </row>
    <row r="107" spans="1:25" ht="84.95" customHeight="1" x14ac:dyDescent="0.2">
      <c r="A107" s="8" t="s">
        <v>702</v>
      </c>
      <c r="B107" s="16" t="s">
        <v>703</v>
      </c>
      <c r="C107" s="6" t="s">
        <v>601</v>
      </c>
      <c r="D107" s="6" t="s">
        <v>29</v>
      </c>
      <c r="E107" s="15" t="s">
        <v>600</v>
      </c>
      <c r="F107" s="3">
        <v>24000000</v>
      </c>
      <c r="G107" s="9"/>
      <c r="H107" s="9"/>
      <c r="I107" s="3"/>
      <c r="J107" s="3">
        <v>24000000</v>
      </c>
      <c r="K107" s="3">
        <v>275000000</v>
      </c>
      <c r="L107" s="3">
        <v>275000000</v>
      </c>
      <c r="M107" s="3">
        <v>275000000</v>
      </c>
      <c r="N107" s="3">
        <v>173000000</v>
      </c>
      <c r="O107" s="2">
        <f t="shared" si="3"/>
        <v>1022000000</v>
      </c>
      <c r="P107" s="10">
        <v>43462</v>
      </c>
      <c r="Q107" s="11">
        <v>44773</v>
      </c>
      <c r="R107" s="5" t="s">
        <v>842</v>
      </c>
      <c r="S107" s="6" t="s">
        <v>27</v>
      </c>
      <c r="T107" s="16" t="s">
        <v>137</v>
      </c>
      <c r="U107" s="7" t="s">
        <v>704</v>
      </c>
      <c r="V107" s="7" t="s">
        <v>218</v>
      </c>
      <c r="W107" s="7" t="s">
        <v>138</v>
      </c>
      <c r="X107" s="12" t="s">
        <v>139</v>
      </c>
      <c r="Y107" s="7" t="s">
        <v>24</v>
      </c>
    </row>
    <row r="108" spans="1:25" ht="84.95" customHeight="1" x14ac:dyDescent="0.2">
      <c r="A108" s="8" t="s">
        <v>705</v>
      </c>
      <c r="B108" s="16" t="s">
        <v>214</v>
      </c>
      <c r="C108" s="6" t="s">
        <v>601</v>
      </c>
      <c r="D108" s="6" t="s">
        <v>29</v>
      </c>
      <c r="E108" s="15" t="s">
        <v>600</v>
      </c>
      <c r="F108" s="3">
        <v>50000000</v>
      </c>
      <c r="G108" s="9">
        <f>110000000+400000000</f>
        <v>510000000</v>
      </c>
      <c r="H108" s="9"/>
      <c r="I108" s="3"/>
      <c r="J108" s="3">
        <v>50000000</v>
      </c>
      <c r="K108" s="3">
        <v>600000000</v>
      </c>
      <c r="L108" s="3">
        <f>560000000+110000000</f>
        <v>670000000</v>
      </c>
      <c r="M108" s="3">
        <f>600000000+400000000</f>
        <v>1000000000</v>
      </c>
      <c r="N108" s="3">
        <v>450000000</v>
      </c>
      <c r="O108" s="2">
        <f t="shared" si="3"/>
        <v>2770000000</v>
      </c>
      <c r="P108" s="10">
        <v>43462</v>
      </c>
      <c r="Q108" s="11">
        <v>44773</v>
      </c>
      <c r="R108" s="5" t="s">
        <v>842</v>
      </c>
      <c r="S108" s="6" t="s">
        <v>27</v>
      </c>
      <c r="T108" s="16" t="s">
        <v>423</v>
      </c>
      <c r="U108" s="7" t="s">
        <v>215</v>
      </c>
      <c r="V108" s="7" t="s">
        <v>424</v>
      </c>
      <c r="W108" s="7" t="s">
        <v>216</v>
      </c>
      <c r="X108" s="12" t="s">
        <v>706</v>
      </c>
      <c r="Y108" s="7" t="s">
        <v>24</v>
      </c>
    </row>
    <row r="109" spans="1:25" ht="156" customHeight="1" x14ac:dyDescent="0.2">
      <c r="A109" s="8" t="s">
        <v>707</v>
      </c>
      <c r="B109" s="16" t="s">
        <v>413</v>
      </c>
      <c r="C109" s="6" t="s">
        <v>601</v>
      </c>
      <c r="D109" s="6" t="s">
        <v>29</v>
      </c>
      <c r="E109" s="15" t="s">
        <v>600</v>
      </c>
      <c r="F109" s="3">
        <v>100000000</v>
      </c>
      <c r="G109" s="23"/>
      <c r="H109" s="23">
        <f>200000000+400000000+550000000</f>
        <v>1150000000</v>
      </c>
      <c r="I109" s="3"/>
      <c r="J109" s="3">
        <v>100000000</v>
      </c>
      <c r="K109" s="3">
        <f>504207496+95792504</f>
        <v>600000000</v>
      </c>
      <c r="L109" s="3">
        <f>1200000000-400000000</f>
        <v>800000000</v>
      </c>
      <c r="M109" s="3">
        <f>1200000000-550000000</f>
        <v>650000000</v>
      </c>
      <c r="N109" s="3">
        <v>700000000</v>
      </c>
      <c r="O109" s="2">
        <f t="shared" si="3"/>
        <v>2850000000</v>
      </c>
      <c r="P109" s="10">
        <v>43462</v>
      </c>
      <c r="Q109" s="11">
        <v>44773</v>
      </c>
      <c r="R109" s="5" t="s">
        <v>842</v>
      </c>
      <c r="S109" s="6" t="s">
        <v>27</v>
      </c>
      <c r="T109" s="16" t="s">
        <v>219</v>
      </c>
      <c r="U109" s="7" t="s">
        <v>220</v>
      </c>
      <c r="V109" s="7" t="s">
        <v>708</v>
      </c>
      <c r="W109" s="7" t="s">
        <v>221</v>
      </c>
      <c r="X109" s="12" t="s">
        <v>222</v>
      </c>
      <c r="Y109" s="7" t="s">
        <v>35</v>
      </c>
    </row>
    <row r="110" spans="1:25" ht="84.95" customHeight="1" x14ac:dyDescent="0.2">
      <c r="A110" s="13" t="s">
        <v>786</v>
      </c>
      <c r="B110" s="16" t="s">
        <v>210</v>
      </c>
      <c r="C110" s="6" t="s">
        <v>601</v>
      </c>
      <c r="D110" s="17" t="s">
        <v>29</v>
      </c>
      <c r="E110" s="15" t="s">
        <v>600</v>
      </c>
      <c r="F110" s="3">
        <v>2000000</v>
      </c>
      <c r="G110" s="9">
        <v>5861310</v>
      </c>
      <c r="H110" s="9"/>
      <c r="I110" s="3"/>
      <c r="J110" s="3">
        <v>2000000</v>
      </c>
      <c r="K110" s="3">
        <v>25000000</v>
      </c>
      <c r="L110" s="3">
        <v>25000000</v>
      </c>
      <c r="M110" s="3">
        <f>30000000+5861310</f>
        <v>35861310</v>
      </c>
      <c r="N110" s="3">
        <v>28000000</v>
      </c>
      <c r="O110" s="2">
        <f t="shared" si="3"/>
        <v>115861310</v>
      </c>
      <c r="P110" s="10">
        <v>43462</v>
      </c>
      <c r="Q110" s="11">
        <v>44773</v>
      </c>
      <c r="R110" s="5" t="s">
        <v>842</v>
      </c>
      <c r="S110" s="6" t="s">
        <v>27</v>
      </c>
      <c r="T110" s="16" t="s">
        <v>709</v>
      </c>
      <c r="U110" s="7" t="s">
        <v>710</v>
      </c>
      <c r="V110" s="7" t="s">
        <v>711</v>
      </c>
      <c r="W110" s="7" t="s">
        <v>712</v>
      </c>
      <c r="X110" s="12" t="s">
        <v>211</v>
      </c>
      <c r="Y110" s="7" t="s">
        <v>24</v>
      </c>
    </row>
    <row r="111" spans="1:25" ht="84.95" customHeight="1" x14ac:dyDescent="0.2">
      <c r="A111" s="8" t="s">
        <v>714</v>
      </c>
      <c r="B111" s="16" t="s">
        <v>203</v>
      </c>
      <c r="C111" s="6" t="s">
        <v>716</v>
      </c>
      <c r="D111" s="6" t="s">
        <v>29</v>
      </c>
      <c r="E111" s="15" t="s">
        <v>715</v>
      </c>
      <c r="F111" s="3">
        <v>55000000</v>
      </c>
      <c r="G111" s="9">
        <f>250000000+300000000</f>
        <v>550000000</v>
      </c>
      <c r="H111" s="9"/>
      <c r="I111" s="3"/>
      <c r="J111" s="3">
        <v>55000000</v>
      </c>
      <c r="K111" s="3">
        <v>574500000</v>
      </c>
      <c r="L111" s="3">
        <f>660000000+250000000</f>
        <v>910000000</v>
      </c>
      <c r="M111" s="3">
        <f>725000000+300000000</f>
        <v>1025000000</v>
      </c>
      <c r="N111" s="3">
        <v>375000000</v>
      </c>
      <c r="O111" s="2">
        <f t="shared" ref="O111:O119" si="4">SUM(J111:N111)</f>
        <v>2939500000</v>
      </c>
      <c r="P111" s="10">
        <v>43462</v>
      </c>
      <c r="Q111" s="11">
        <v>44773</v>
      </c>
      <c r="R111" s="5" t="s">
        <v>843</v>
      </c>
      <c r="S111" s="4" t="s">
        <v>25</v>
      </c>
      <c r="T111" s="16" t="s">
        <v>204</v>
      </c>
      <c r="U111" s="7" t="s">
        <v>717</v>
      </c>
      <c r="V111" s="7" t="s">
        <v>205</v>
      </c>
      <c r="W111" s="7" t="s">
        <v>305</v>
      </c>
      <c r="X111" s="12" t="s">
        <v>206</v>
      </c>
      <c r="Y111" s="7" t="s">
        <v>24</v>
      </c>
    </row>
    <row r="112" spans="1:25" ht="84.95" customHeight="1" x14ac:dyDescent="0.2">
      <c r="A112" s="8" t="s">
        <v>752</v>
      </c>
      <c r="B112" s="16" t="s">
        <v>593</v>
      </c>
      <c r="C112" s="6" t="s">
        <v>716</v>
      </c>
      <c r="D112" s="6" t="s">
        <v>29</v>
      </c>
      <c r="E112" s="15" t="s">
        <v>715</v>
      </c>
      <c r="F112" s="3">
        <v>12000000</v>
      </c>
      <c r="G112" s="9"/>
      <c r="H112" s="9"/>
      <c r="I112" s="3"/>
      <c r="J112" s="3">
        <v>12000000</v>
      </c>
      <c r="K112" s="3">
        <v>67000000</v>
      </c>
      <c r="L112" s="3">
        <v>69000000</v>
      </c>
      <c r="M112" s="3">
        <v>70000000</v>
      </c>
      <c r="N112" s="3">
        <v>61000000</v>
      </c>
      <c r="O112" s="2">
        <f t="shared" si="4"/>
        <v>279000000</v>
      </c>
      <c r="P112" s="10">
        <v>43462</v>
      </c>
      <c r="Q112" s="11">
        <v>44773</v>
      </c>
      <c r="R112" s="5" t="s">
        <v>843</v>
      </c>
      <c r="S112" s="21" t="s">
        <v>25</v>
      </c>
      <c r="T112" s="16" t="s">
        <v>594</v>
      </c>
      <c r="U112" s="7" t="s">
        <v>759</v>
      </c>
      <c r="V112" s="7" t="s">
        <v>753</v>
      </c>
      <c r="W112" s="7" t="s">
        <v>754</v>
      </c>
      <c r="X112" s="19" t="s">
        <v>598</v>
      </c>
      <c r="Y112" s="7" t="s">
        <v>24</v>
      </c>
    </row>
    <row r="113" spans="1:25" ht="84.95" customHeight="1" x14ac:dyDescent="0.2">
      <c r="A113" s="8" t="s">
        <v>718</v>
      </c>
      <c r="B113" s="16" t="s">
        <v>150</v>
      </c>
      <c r="C113" s="6" t="s">
        <v>716</v>
      </c>
      <c r="D113" s="6" t="s">
        <v>29</v>
      </c>
      <c r="E113" s="15" t="s">
        <v>715</v>
      </c>
      <c r="F113" s="3">
        <v>102700000</v>
      </c>
      <c r="G113" s="23"/>
      <c r="H113" s="23">
        <f>400000000+385000000</f>
        <v>785000000</v>
      </c>
      <c r="I113" s="3"/>
      <c r="J113" s="3">
        <v>102700000</v>
      </c>
      <c r="K113" s="3">
        <v>995500000</v>
      </c>
      <c r="L113" s="3">
        <f>1150000000-400000000</f>
        <v>750000000</v>
      </c>
      <c r="M113" s="3">
        <f>1180000000-385000000</f>
        <v>795000000</v>
      </c>
      <c r="N113" s="3">
        <v>608000000</v>
      </c>
      <c r="O113" s="2">
        <f t="shared" si="4"/>
        <v>3251200000</v>
      </c>
      <c r="P113" s="10">
        <v>43462</v>
      </c>
      <c r="Q113" s="11">
        <v>44773</v>
      </c>
      <c r="R113" s="5" t="s">
        <v>843</v>
      </c>
      <c r="S113" s="21" t="s">
        <v>25</v>
      </c>
      <c r="T113" s="16" t="s">
        <v>168</v>
      </c>
      <c r="U113" s="7" t="s">
        <v>151</v>
      </c>
      <c r="V113" s="7" t="s">
        <v>106</v>
      </c>
      <c r="W113" s="7" t="s">
        <v>152</v>
      </c>
      <c r="X113" s="12" t="s">
        <v>153</v>
      </c>
      <c r="Y113" s="7" t="s">
        <v>24</v>
      </c>
    </row>
    <row r="114" spans="1:25" ht="84.95" customHeight="1" x14ac:dyDescent="0.2">
      <c r="A114" s="13" t="s">
        <v>719</v>
      </c>
      <c r="B114" s="16" t="s">
        <v>583</v>
      </c>
      <c r="C114" s="6" t="s">
        <v>716</v>
      </c>
      <c r="D114" s="6" t="s">
        <v>29</v>
      </c>
      <c r="E114" s="15" t="s">
        <v>715</v>
      </c>
      <c r="F114" s="3">
        <v>22000000</v>
      </c>
      <c r="G114" s="9"/>
      <c r="H114" s="23">
        <v>70000000</v>
      </c>
      <c r="I114" s="3"/>
      <c r="J114" s="3">
        <v>22000000</v>
      </c>
      <c r="K114" s="3">
        <v>200000000</v>
      </c>
      <c r="L114" s="3">
        <f>240000000-70000000</f>
        <v>170000000</v>
      </c>
      <c r="M114" s="3">
        <v>250000000</v>
      </c>
      <c r="N114" s="3">
        <v>100000000</v>
      </c>
      <c r="O114" s="2">
        <f t="shared" si="4"/>
        <v>742000000</v>
      </c>
      <c r="P114" s="10">
        <v>43462</v>
      </c>
      <c r="Q114" s="11">
        <v>44773</v>
      </c>
      <c r="R114" s="5" t="s">
        <v>843</v>
      </c>
      <c r="S114" s="21" t="s">
        <v>25</v>
      </c>
      <c r="T114" s="16" t="s">
        <v>197</v>
      </c>
      <c r="U114" s="7" t="s">
        <v>198</v>
      </c>
      <c r="V114" s="7" t="s">
        <v>199</v>
      </c>
      <c r="W114" s="7" t="s">
        <v>200</v>
      </c>
      <c r="X114" s="12" t="s">
        <v>201</v>
      </c>
      <c r="Y114" s="7" t="s">
        <v>24</v>
      </c>
    </row>
    <row r="115" spans="1:25" ht="84.95" customHeight="1" x14ac:dyDescent="0.2">
      <c r="A115" s="8" t="s">
        <v>720</v>
      </c>
      <c r="B115" s="16" t="s">
        <v>435</v>
      </c>
      <c r="C115" s="6" t="s">
        <v>716</v>
      </c>
      <c r="D115" s="6" t="s">
        <v>29</v>
      </c>
      <c r="E115" s="15" t="s">
        <v>715</v>
      </c>
      <c r="F115" s="3">
        <v>2000000</v>
      </c>
      <c r="G115" s="9">
        <f>10000000+7000000</f>
        <v>17000000</v>
      </c>
      <c r="H115" s="9"/>
      <c r="I115" s="3"/>
      <c r="J115" s="3">
        <v>2000000</v>
      </c>
      <c r="K115" s="3">
        <v>10000000</v>
      </c>
      <c r="L115" s="3">
        <f>10000000+10000000</f>
        <v>20000000</v>
      </c>
      <c r="M115" s="3">
        <f>10000000+7000000</f>
        <v>17000000</v>
      </c>
      <c r="N115" s="3">
        <v>9000000</v>
      </c>
      <c r="O115" s="2">
        <f t="shared" si="4"/>
        <v>58000000</v>
      </c>
      <c r="P115" s="10">
        <v>43462</v>
      </c>
      <c r="Q115" s="11">
        <v>44773</v>
      </c>
      <c r="R115" s="5" t="s">
        <v>843</v>
      </c>
      <c r="S115" s="21" t="s">
        <v>25</v>
      </c>
      <c r="T115" s="16" t="s">
        <v>436</v>
      </c>
      <c r="U115" s="7" t="s">
        <v>437</v>
      </c>
      <c r="V115" s="16" t="s">
        <v>721</v>
      </c>
      <c r="W115" s="7" t="s">
        <v>722</v>
      </c>
      <c r="X115" s="12" t="s">
        <v>723</v>
      </c>
      <c r="Y115" s="7" t="s">
        <v>24</v>
      </c>
    </row>
    <row r="116" spans="1:25" ht="84.95" customHeight="1" x14ac:dyDescent="0.2">
      <c r="A116" s="13" t="s">
        <v>724</v>
      </c>
      <c r="B116" s="16" t="s">
        <v>190</v>
      </c>
      <c r="C116" s="6" t="s">
        <v>716</v>
      </c>
      <c r="D116" s="6" t="s">
        <v>29</v>
      </c>
      <c r="E116" s="15" t="s">
        <v>715</v>
      </c>
      <c r="F116" s="3">
        <v>24000000</v>
      </c>
      <c r="G116" s="9"/>
      <c r="H116" s="23">
        <v>260000000</v>
      </c>
      <c r="I116" s="3"/>
      <c r="J116" s="3">
        <v>24000000</v>
      </c>
      <c r="K116" s="3">
        <v>240000000</v>
      </c>
      <c r="L116" s="3">
        <v>260000000</v>
      </c>
      <c r="M116" s="3">
        <f>260000000-260000000</f>
        <v>0</v>
      </c>
      <c r="N116" s="3">
        <v>120000000</v>
      </c>
      <c r="O116" s="2">
        <f t="shared" si="4"/>
        <v>644000000</v>
      </c>
      <c r="P116" s="10">
        <v>43463</v>
      </c>
      <c r="Q116" s="11">
        <v>44773</v>
      </c>
      <c r="R116" s="5" t="s">
        <v>843</v>
      </c>
      <c r="S116" s="21" t="s">
        <v>25</v>
      </c>
      <c r="T116" s="16" t="s">
        <v>191</v>
      </c>
      <c r="U116" s="7" t="s">
        <v>192</v>
      </c>
      <c r="V116" s="7" t="s">
        <v>193</v>
      </c>
      <c r="W116" s="7" t="s">
        <v>725</v>
      </c>
      <c r="X116" s="12" t="s">
        <v>195</v>
      </c>
      <c r="Y116" s="7" t="s">
        <v>24</v>
      </c>
    </row>
    <row r="117" spans="1:25" ht="143.25" customHeight="1" x14ac:dyDescent="0.2">
      <c r="A117" s="8" t="s">
        <v>726</v>
      </c>
      <c r="B117" s="16" t="s">
        <v>727</v>
      </c>
      <c r="C117" s="6" t="s">
        <v>729</v>
      </c>
      <c r="D117" s="6" t="s">
        <v>29</v>
      </c>
      <c r="E117" s="15" t="s">
        <v>728</v>
      </c>
      <c r="F117" s="3">
        <v>20000000</v>
      </c>
      <c r="G117" s="9">
        <f>2640000000+2500000000+2000000000</f>
        <v>7140000000</v>
      </c>
      <c r="H117" s="9"/>
      <c r="I117" s="3"/>
      <c r="J117" s="3">
        <v>20000000</v>
      </c>
      <c r="K117" s="3">
        <v>9355031642</v>
      </c>
      <c r="L117" s="3">
        <v>6916482590</v>
      </c>
      <c r="M117" s="3">
        <f>7123977068+2500000000+2000000000</f>
        <v>11623977068</v>
      </c>
      <c r="N117" s="3">
        <v>4280322888</v>
      </c>
      <c r="O117" s="2">
        <f t="shared" si="4"/>
        <v>32195814188</v>
      </c>
      <c r="P117" s="10">
        <v>43465</v>
      </c>
      <c r="Q117" s="11">
        <v>44773</v>
      </c>
      <c r="R117" s="5" t="s">
        <v>820</v>
      </c>
      <c r="S117" s="21" t="s">
        <v>25</v>
      </c>
      <c r="T117" s="16" t="s">
        <v>730</v>
      </c>
      <c r="U117" s="7" t="s">
        <v>731</v>
      </c>
      <c r="V117" s="7" t="s">
        <v>732</v>
      </c>
      <c r="W117" s="7" t="s">
        <v>733</v>
      </c>
      <c r="X117" s="12" t="s">
        <v>734</v>
      </c>
      <c r="Y117" s="7" t="s">
        <v>24</v>
      </c>
    </row>
    <row r="118" spans="1:25" ht="84.95" customHeight="1" x14ac:dyDescent="0.2">
      <c r="A118" s="8" t="s">
        <v>735</v>
      </c>
      <c r="B118" s="16" t="s">
        <v>736</v>
      </c>
      <c r="C118" s="6" t="s">
        <v>729</v>
      </c>
      <c r="D118" s="6" t="s">
        <v>29</v>
      </c>
      <c r="E118" s="15" t="s">
        <v>728</v>
      </c>
      <c r="F118" s="3">
        <v>5000000</v>
      </c>
      <c r="G118" s="9">
        <f>160000000+50000000+50000000</f>
        <v>260000000</v>
      </c>
      <c r="H118" s="23">
        <v>265348566</v>
      </c>
      <c r="I118" s="3"/>
      <c r="J118" s="3">
        <v>5000000</v>
      </c>
      <c r="K118" s="3">
        <v>353422718</v>
      </c>
      <c r="L118" s="3">
        <f>364025400+50000000</f>
        <v>414025400</v>
      </c>
      <c r="M118" s="3">
        <f>374946162+50000000-265348566</f>
        <v>159597596</v>
      </c>
      <c r="N118" s="3">
        <v>225280152</v>
      </c>
      <c r="O118" s="2">
        <f t="shared" si="4"/>
        <v>1157325866</v>
      </c>
      <c r="P118" s="10">
        <v>43465</v>
      </c>
      <c r="Q118" s="11">
        <v>44773</v>
      </c>
      <c r="R118" s="5" t="s">
        <v>820</v>
      </c>
      <c r="S118" s="6" t="s">
        <v>27</v>
      </c>
      <c r="T118" s="16" t="s">
        <v>737</v>
      </c>
      <c r="U118" s="7" t="s">
        <v>738</v>
      </c>
      <c r="V118" s="7" t="s">
        <v>739</v>
      </c>
      <c r="W118" s="7" t="s">
        <v>740</v>
      </c>
      <c r="X118" s="12" t="s">
        <v>741</v>
      </c>
      <c r="Y118" s="7" t="s">
        <v>24</v>
      </c>
    </row>
    <row r="119" spans="1:25" ht="84.95" customHeight="1" x14ac:dyDescent="0.2">
      <c r="A119" s="8" t="s">
        <v>742</v>
      </c>
      <c r="B119" s="16" t="s">
        <v>743</v>
      </c>
      <c r="C119" s="6" t="s">
        <v>745</v>
      </c>
      <c r="D119" s="16" t="s">
        <v>96</v>
      </c>
      <c r="E119" s="15" t="s">
        <v>744</v>
      </c>
      <c r="F119" s="3">
        <v>34000000</v>
      </c>
      <c r="G119" s="9"/>
      <c r="H119" s="9"/>
      <c r="I119" s="3"/>
      <c r="J119" s="3">
        <v>34000000</v>
      </c>
      <c r="K119" s="3">
        <v>734112000</v>
      </c>
      <c r="L119" s="3">
        <v>756135360</v>
      </c>
      <c r="M119" s="3">
        <v>778819420</v>
      </c>
      <c r="N119" s="3">
        <v>467940669</v>
      </c>
      <c r="O119" s="2">
        <f t="shared" si="4"/>
        <v>2771007449</v>
      </c>
      <c r="P119" s="10">
        <v>43463</v>
      </c>
      <c r="Q119" s="11">
        <v>44773</v>
      </c>
      <c r="R119" s="5" t="s">
        <v>824</v>
      </c>
      <c r="S119" s="4" t="s">
        <v>25</v>
      </c>
      <c r="T119" s="16" t="s">
        <v>746</v>
      </c>
      <c r="U119" s="7" t="s">
        <v>747</v>
      </c>
      <c r="V119" s="7" t="s">
        <v>748</v>
      </c>
      <c r="W119" s="7" t="s">
        <v>749</v>
      </c>
      <c r="X119" s="12" t="s">
        <v>750</v>
      </c>
      <c r="Y119" s="7" t="s">
        <v>24</v>
      </c>
    </row>
  </sheetData>
  <autoFilter ref="A2:Y119"/>
  <mergeCells count="11">
    <mergeCell ref="T1:Y1"/>
    <mergeCell ref="R1:R2"/>
    <mergeCell ref="S1:S2"/>
    <mergeCell ref="P1:Q1"/>
    <mergeCell ref="A1:A2"/>
    <mergeCell ref="B1:B2"/>
    <mergeCell ref="E1:E2"/>
    <mergeCell ref="F1:I1"/>
    <mergeCell ref="J1:N1"/>
    <mergeCell ref="C1:C2"/>
    <mergeCell ref="D1:D2"/>
  </mergeCells>
  <hyperlinks>
    <hyperlink ref="X3" r:id="rId1"/>
    <hyperlink ref="X8" r:id="rId2"/>
    <hyperlink ref="X10" r:id="rId3"/>
    <hyperlink ref="X15" r:id="rId4"/>
    <hyperlink ref="X13" r:id="rId5"/>
    <hyperlink ref="X11" r:id="rId6"/>
    <hyperlink ref="X7" r:id="rId7"/>
    <hyperlink ref="X63" r:id="rId8"/>
    <hyperlink ref="X62" r:id="rId9"/>
    <hyperlink ref="X27" r:id="rId10"/>
    <hyperlink ref="X24" r:id="rId11"/>
    <hyperlink ref="X32" r:id="rId12"/>
    <hyperlink ref="X33" r:id="rId13"/>
    <hyperlink ref="X34" r:id="rId14"/>
    <hyperlink ref="X42" r:id="rId15"/>
    <hyperlink ref="X43" r:id="rId16"/>
    <hyperlink ref="X44" r:id="rId17"/>
    <hyperlink ref="X5" r:id="rId18"/>
    <hyperlink ref="X52" r:id="rId19"/>
    <hyperlink ref="X25" r:id="rId20"/>
    <hyperlink ref="X9" r:id="rId21"/>
    <hyperlink ref="X30" r:id="rId22"/>
    <hyperlink ref="X66" r:id="rId23"/>
    <hyperlink ref="X65" r:id="rId24"/>
    <hyperlink ref="X53" r:id="rId25"/>
    <hyperlink ref="X14" r:id="rId26"/>
    <hyperlink ref="X18" r:id="rId27"/>
    <hyperlink ref="X19" r:id="rId28"/>
    <hyperlink ref="X20" r:id="rId29"/>
    <hyperlink ref="X22" r:id="rId30"/>
    <hyperlink ref="X23" r:id="rId31"/>
    <hyperlink ref="X51" r:id="rId32"/>
    <hyperlink ref="X54" r:id="rId33"/>
    <hyperlink ref="X55" r:id="rId34"/>
    <hyperlink ref="X57" r:id="rId35"/>
    <hyperlink ref="X58" r:id="rId36"/>
    <hyperlink ref="X59" r:id="rId37"/>
    <hyperlink ref="X61" r:id="rId38"/>
    <hyperlink ref="X64" r:id="rId39"/>
    <hyperlink ref="X67" r:id="rId40"/>
    <hyperlink ref="X68" r:id="rId41"/>
    <hyperlink ref="X75" r:id="rId42"/>
    <hyperlink ref="X76" r:id="rId43"/>
    <hyperlink ref="X77" r:id="rId44"/>
    <hyperlink ref="X78" r:id="rId45"/>
    <hyperlink ref="X79" r:id="rId46"/>
    <hyperlink ref="X80" r:id="rId47"/>
    <hyperlink ref="X81" r:id="rId48"/>
    <hyperlink ref="X82" r:id="rId49"/>
    <hyperlink ref="X83" r:id="rId50"/>
    <hyperlink ref="X84" r:id="rId51"/>
    <hyperlink ref="X85" r:id="rId52"/>
    <hyperlink ref="X86" r:id="rId53"/>
    <hyperlink ref="X87" r:id="rId54"/>
    <hyperlink ref="X88" r:id="rId55"/>
    <hyperlink ref="X89" r:id="rId56"/>
    <hyperlink ref="X90" r:id="rId57"/>
    <hyperlink ref="X91" r:id="rId58"/>
    <hyperlink ref="X92" r:id="rId59"/>
    <hyperlink ref="X93" r:id="rId60"/>
    <hyperlink ref="X94" r:id="rId61"/>
    <hyperlink ref="X95" r:id="rId62"/>
    <hyperlink ref="X96" r:id="rId63"/>
    <hyperlink ref="X97" r:id="rId64"/>
    <hyperlink ref="X98" r:id="rId65"/>
    <hyperlink ref="X99" r:id="rId66"/>
    <hyperlink ref="X100" r:id="rId67"/>
    <hyperlink ref="X101" r:id="rId68"/>
    <hyperlink ref="X102" r:id="rId69"/>
    <hyperlink ref="X103" r:id="rId70"/>
    <hyperlink ref="X104" r:id="rId71"/>
    <hyperlink ref="X105" r:id="rId72"/>
    <hyperlink ref="X106" r:id="rId73"/>
    <hyperlink ref="X107" r:id="rId74"/>
    <hyperlink ref="X108" r:id="rId75"/>
    <hyperlink ref="X109" r:id="rId76"/>
    <hyperlink ref="X110" r:id="rId77"/>
    <hyperlink ref="X111" r:id="rId78"/>
    <hyperlink ref="X113" r:id="rId79"/>
    <hyperlink ref="X114" r:id="rId80"/>
    <hyperlink ref="X115" r:id="rId81"/>
    <hyperlink ref="X116" r:id="rId82"/>
    <hyperlink ref="X117" r:id="rId83"/>
    <hyperlink ref="X118" r:id="rId84"/>
    <hyperlink ref="X119" r:id="rId85"/>
    <hyperlink ref="X56" r:id="rId86"/>
    <hyperlink ref="X112" r:id="rId87"/>
    <hyperlink ref="X72" r:id="rId88"/>
    <hyperlink ref="X73" r:id="rId89"/>
    <hyperlink ref="X70" r:id="rId90"/>
    <hyperlink ref="X69" r:id="rId91"/>
    <hyperlink ref="X71" r:id="rId92"/>
    <hyperlink ref="X17" r:id="rId93"/>
    <hyperlink ref="X16" r:id="rId94"/>
    <hyperlink ref="X29" r:id="rId95"/>
    <hyperlink ref="X26" r:id="rId96"/>
    <hyperlink ref="X4" r:id="rId97"/>
    <hyperlink ref="X6" r:id="rId98"/>
    <hyperlink ref="X21" r:id="rId99"/>
    <hyperlink ref="X31" r:id="rId100"/>
    <hyperlink ref="X35" r:id="rId101"/>
    <hyperlink ref="X36" r:id="rId102"/>
    <hyperlink ref="X37" r:id="rId103"/>
    <hyperlink ref="X38" r:id="rId104"/>
    <hyperlink ref="X39" r:id="rId105"/>
    <hyperlink ref="X40" r:id="rId106"/>
    <hyperlink ref="X41" r:id="rId107"/>
    <hyperlink ref="X45" r:id="rId108"/>
    <hyperlink ref="X46" r:id="rId109"/>
    <hyperlink ref="X47" r:id="rId110"/>
    <hyperlink ref="X48" r:id="rId111"/>
    <hyperlink ref="X49" r:id="rId112"/>
    <hyperlink ref="X50" r:id="rId113"/>
    <hyperlink ref="X60" r:id="rId114"/>
    <hyperlink ref="X74" r:id="rId115"/>
    <hyperlink ref="X12" r:id="rId116"/>
  </hyperlinks>
  <pageMargins left="0.70866141732283472" right="0.70866141732283472" top="0.74803149606299213" bottom="0.74803149606299213" header="0.31496062992125984" footer="0.31496062992125984"/>
  <pageSetup scale="50" orientation="landscape" verticalDpi="1200" r:id="rId117"/>
  <legacyDrawing r:id="rId1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Miguel Obando</cp:lastModifiedBy>
  <cp:lastPrinted>2019-06-20T18:34:06Z</cp:lastPrinted>
  <dcterms:created xsi:type="dcterms:W3CDTF">2019-01-18T16:11:10Z</dcterms:created>
  <dcterms:modified xsi:type="dcterms:W3CDTF">2022-05-09T12:07:46Z</dcterms:modified>
</cp:coreProperties>
</file>