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ana.pardo\Desktop\EJECUCION Y LIQUIDACION\VIGENCIA 2018\"/>
    </mc:Choice>
  </mc:AlternateContent>
  <bookViews>
    <workbookView xWindow="0" yWindow="0" windowWidth="28800" windowHeight="11730"/>
  </bookViews>
  <sheets>
    <sheet name="Hoja1" sheetId="1" r:id="rId1"/>
  </sheets>
  <definedNames>
    <definedName name="_xlnm._FilterDatabase" localSheetId="0" hidden="1">Hoja1!$A$2:$W$527</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525" i="1" l="1"/>
  <c r="K525" i="1"/>
  <c r="K482" i="1"/>
  <c r="E482" i="1"/>
  <c r="K396" i="1"/>
  <c r="E396" i="1"/>
  <c r="K454" i="1" l="1"/>
  <c r="F454" i="1"/>
  <c r="K470" i="1" l="1"/>
  <c r="E470" i="1"/>
  <c r="M4" i="1" l="1"/>
  <c r="M5" i="1"/>
  <c r="M6" i="1"/>
  <c r="M7" i="1"/>
  <c r="M8" i="1"/>
  <c r="M9" i="1"/>
  <c r="M10" i="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M45" i="1"/>
  <c r="M46" i="1"/>
  <c r="M47" i="1"/>
  <c r="M48" i="1"/>
  <c r="M49" i="1"/>
  <c r="M50" i="1"/>
  <c r="M51" i="1"/>
  <c r="M52" i="1"/>
  <c r="M53" i="1"/>
  <c r="M54" i="1"/>
  <c r="M55" i="1"/>
  <c r="M56" i="1"/>
  <c r="M57" i="1"/>
  <c r="M58" i="1"/>
  <c r="M59" i="1"/>
  <c r="M60" i="1"/>
  <c r="M61" i="1"/>
  <c r="M62" i="1"/>
  <c r="M63" i="1"/>
  <c r="M64" i="1"/>
  <c r="M65" i="1"/>
  <c r="M66" i="1"/>
  <c r="M67" i="1"/>
  <c r="M68" i="1"/>
  <c r="M69" i="1"/>
  <c r="M70" i="1"/>
  <c r="M71" i="1"/>
  <c r="M72" i="1"/>
  <c r="M73" i="1"/>
  <c r="M74" i="1"/>
  <c r="M75" i="1"/>
  <c r="M76" i="1"/>
  <c r="M77" i="1"/>
  <c r="M78" i="1"/>
  <c r="M79" i="1"/>
  <c r="M80" i="1"/>
  <c r="M81" i="1"/>
  <c r="M82" i="1"/>
  <c r="M83" i="1"/>
  <c r="M84" i="1"/>
  <c r="M85" i="1"/>
  <c r="M86" i="1"/>
  <c r="M87" i="1"/>
  <c r="M88" i="1"/>
  <c r="M89" i="1"/>
  <c r="M90" i="1"/>
  <c r="M91" i="1"/>
  <c r="M92" i="1"/>
  <c r="M93" i="1"/>
  <c r="M94" i="1"/>
  <c r="M95" i="1"/>
  <c r="M96" i="1"/>
  <c r="M97" i="1"/>
  <c r="M98" i="1"/>
  <c r="M99" i="1"/>
  <c r="M100" i="1"/>
  <c r="M101" i="1"/>
  <c r="M102" i="1"/>
  <c r="M103" i="1"/>
  <c r="M104" i="1"/>
  <c r="M105" i="1"/>
  <c r="M106" i="1"/>
  <c r="M107" i="1"/>
  <c r="M108" i="1"/>
  <c r="M109" i="1"/>
  <c r="M110" i="1"/>
  <c r="M111" i="1"/>
  <c r="M113" i="1"/>
  <c r="M114" i="1"/>
  <c r="M115" i="1"/>
  <c r="M116" i="1"/>
  <c r="M117" i="1"/>
  <c r="M118" i="1"/>
  <c r="M119" i="1"/>
  <c r="M120" i="1"/>
  <c r="M121" i="1"/>
  <c r="M122" i="1"/>
  <c r="M123" i="1"/>
  <c r="M124" i="1"/>
  <c r="M125" i="1"/>
  <c r="M126" i="1"/>
  <c r="M127" i="1"/>
  <c r="M128" i="1"/>
  <c r="M129" i="1"/>
  <c r="M130" i="1"/>
  <c r="M131" i="1"/>
  <c r="M132" i="1"/>
  <c r="M133" i="1"/>
  <c r="M134" i="1"/>
  <c r="M135" i="1"/>
  <c r="M136" i="1"/>
  <c r="M137" i="1"/>
  <c r="M138" i="1"/>
  <c r="M139" i="1"/>
  <c r="M140" i="1"/>
  <c r="M141" i="1"/>
  <c r="M142" i="1"/>
  <c r="M143" i="1"/>
  <c r="M144" i="1"/>
  <c r="M145" i="1"/>
  <c r="M146" i="1"/>
  <c r="M147" i="1"/>
  <c r="M148" i="1"/>
  <c r="M149" i="1"/>
  <c r="M150" i="1"/>
  <c r="M151" i="1"/>
  <c r="M152" i="1"/>
  <c r="M153" i="1"/>
  <c r="M154" i="1"/>
  <c r="M155" i="1"/>
  <c r="M156" i="1"/>
  <c r="M157" i="1"/>
  <c r="M158" i="1"/>
  <c r="M159" i="1"/>
  <c r="M160" i="1"/>
  <c r="M161" i="1"/>
  <c r="M162" i="1"/>
  <c r="M163" i="1"/>
  <c r="M164" i="1"/>
  <c r="M165" i="1"/>
  <c r="M166" i="1"/>
  <c r="M167" i="1"/>
  <c r="M168" i="1"/>
  <c r="M169" i="1"/>
  <c r="M170" i="1"/>
  <c r="M171" i="1"/>
  <c r="M172" i="1"/>
  <c r="M173" i="1"/>
  <c r="M174" i="1"/>
  <c r="M175" i="1"/>
  <c r="M176" i="1"/>
  <c r="M177" i="1"/>
  <c r="M178" i="1"/>
  <c r="M179" i="1"/>
  <c r="M180" i="1"/>
  <c r="M181" i="1"/>
  <c r="M182" i="1"/>
  <c r="M183" i="1"/>
  <c r="M184" i="1"/>
  <c r="M185" i="1"/>
  <c r="M186" i="1"/>
  <c r="M187" i="1"/>
  <c r="M188" i="1"/>
  <c r="M189" i="1"/>
  <c r="M190" i="1"/>
  <c r="M191" i="1"/>
  <c r="M192" i="1"/>
  <c r="M193" i="1"/>
  <c r="M194" i="1"/>
  <c r="M195" i="1"/>
  <c r="M196" i="1"/>
  <c r="M197" i="1"/>
  <c r="M198" i="1"/>
  <c r="M199" i="1"/>
  <c r="M200" i="1"/>
  <c r="M201" i="1"/>
  <c r="M202" i="1"/>
  <c r="M203" i="1"/>
  <c r="M204" i="1"/>
  <c r="M205" i="1"/>
  <c r="M206" i="1"/>
  <c r="M207" i="1"/>
  <c r="M208" i="1"/>
  <c r="M209" i="1"/>
  <c r="M210" i="1"/>
  <c r="M211" i="1"/>
  <c r="M212" i="1"/>
  <c r="M213" i="1"/>
  <c r="M214" i="1"/>
  <c r="M215" i="1"/>
  <c r="M216" i="1"/>
  <c r="M217" i="1"/>
  <c r="M218" i="1"/>
  <c r="M219" i="1"/>
  <c r="M220" i="1"/>
  <c r="M221" i="1"/>
  <c r="M222" i="1"/>
  <c r="M223" i="1"/>
  <c r="M224" i="1"/>
  <c r="M225" i="1"/>
  <c r="M226" i="1"/>
  <c r="M227" i="1"/>
  <c r="M228" i="1"/>
  <c r="M229" i="1"/>
  <c r="M230" i="1"/>
  <c r="M231" i="1"/>
  <c r="M232" i="1"/>
  <c r="M233" i="1"/>
  <c r="M234" i="1"/>
  <c r="M235" i="1"/>
  <c r="M236" i="1"/>
  <c r="M237" i="1"/>
  <c r="M238" i="1"/>
  <c r="M239" i="1"/>
  <c r="M240" i="1"/>
  <c r="M241" i="1"/>
  <c r="M242" i="1"/>
  <c r="M243" i="1"/>
  <c r="M244" i="1"/>
  <c r="M245" i="1"/>
  <c r="M246" i="1"/>
  <c r="M247" i="1"/>
  <c r="M248" i="1"/>
  <c r="M249" i="1"/>
  <c r="M250" i="1"/>
  <c r="M251" i="1"/>
  <c r="M252" i="1"/>
  <c r="M253" i="1"/>
  <c r="M254" i="1"/>
  <c r="M255" i="1"/>
  <c r="M256" i="1"/>
  <c r="M257" i="1"/>
  <c r="M258" i="1"/>
  <c r="M259" i="1"/>
  <c r="M260" i="1"/>
  <c r="M261" i="1"/>
  <c r="M262" i="1"/>
  <c r="M263" i="1"/>
  <c r="M264" i="1"/>
  <c r="M265" i="1"/>
  <c r="M266" i="1"/>
  <c r="M267" i="1"/>
  <c r="M268" i="1"/>
  <c r="M269" i="1"/>
  <c r="M270" i="1"/>
  <c r="M271" i="1"/>
  <c r="M272" i="1"/>
  <c r="M273" i="1"/>
  <c r="M274" i="1"/>
  <c r="M275" i="1"/>
  <c r="M276" i="1"/>
  <c r="M277" i="1"/>
  <c r="M278" i="1"/>
  <c r="M279" i="1"/>
  <c r="M280" i="1"/>
  <c r="M281" i="1"/>
  <c r="M282" i="1"/>
  <c r="M283" i="1"/>
  <c r="M284" i="1"/>
  <c r="M285" i="1"/>
  <c r="M286" i="1"/>
  <c r="M287" i="1"/>
  <c r="M288" i="1"/>
  <c r="M289" i="1"/>
  <c r="M290" i="1"/>
  <c r="M291" i="1"/>
  <c r="M292" i="1"/>
  <c r="M293" i="1"/>
  <c r="M294" i="1"/>
  <c r="M295" i="1"/>
  <c r="M296" i="1"/>
  <c r="M297" i="1"/>
  <c r="M298" i="1"/>
  <c r="M299" i="1"/>
  <c r="M300" i="1"/>
  <c r="M301" i="1"/>
  <c r="M302" i="1"/>
  <c r="M303" i="1"/>
  <c r="M304" i="1"/>
  <c r="M305" i="1"/>
  <c r="M306" i="1"/>
  <c r="M307" i="1"/>
  <c r="M308" i="1"/>
  <c r="M309" i="1"/>
  <c r="M310" i="1"/>
  <c r="M311" i="1"/>
  <c r="M312" i="1"/>
  <c r="M313" i="1"/>
  <c r="M314" i="1"/>
  <c r="M315" i="1"/>
  <c r="M316" i="1"/>
  <c r="M317" i="1"/>
  <c r="M318" i="1"/>
  <c r="M319" i="1"/>
  <c r="M320" i="1"/>
  <c r="M321" i="1"/>
  <c r="M322" i="1"/>
  <c r="M323" i="1"/>
  <c r="M324" i="1"/>
  <c r="M325" i="1"/>
  <c r="M326" i="1"/>
  <c r="M327" i="1"/>
  <c r="M328" i="1"/>
  <c r="M329" i="1"/>
  <c r="M330" i="1"/>
  <c r="M331" i="1"/>
  <c r="M332" i="1"/>
  <c r="M333" i="1"/>
  <c r="M334" i="1"/>
  <c r="M335" i="1"/>
  <c r="M336" i="1"/>
  <c r="M337" i="1"/>
  <c r="M338" i="1"/>
  <c r="M339" i="1"/>
  <c r="M340" i="1"/>
  <c r="M341" i="1"/>
  <c r="M342" i="1"/>
  <c r="M343" i="1"/>
  <c r="M344" i="1"/>
  <c r="M345" i="1"/>
  <c r="M346" i="1"/>
  <c r="M347" i="1"/>
  <c r="M348" i="1"/>
  <c r="M349" i="1"/>
  <c r="M350" i="1"/>
  <c r="M351" i="1"/>
  <c r="M352" i="1"/>
  <c r="M353" i="1"/>
  <c r="M354" i="1"/>
  <c r="M355" i="1"/>
  <c r="M356" i="1"/>
  <c r="M357" i="1"/>
  <c r="M358" i="1"/>
  <c r="M359" i="1"/>
  <c r="M360" i="1"/>
  <c r="M361" i="1"/>
  <c r="M362" i="1"/>
  <c r="M363" i="1"/>
  <c r="M364" i="1"/>
  <c r="M365" i="1"/>
  <c r="M366" i="1"/>
  <c r="M367" i="1"/>
  <c r="M369" i="1"/>
  <c r="M370" i="1"/>
  <c r="M371" i="1"/>
  <c r="M372" i="1"/>
  <c r="M373" i="1"/>
  <c r="M375" i="1"/>
  <c r="M377" i="1"/>
  <c r="M378" i="1"/>
  <c r="M379" i="1"/>
  <c r="M380" i="1"/>
  <c r="M381" i="1"/>
  <c r="M382" i="1"/>
  <c r="M383" i="1"/>
  <c r="M384" i="1"/>
  <c r="M386" i="1"/>
  <c r="M387" i="1"/>
  <c r="M388" i="1"/>
  <c r="M389" i="1"/>
  <c r="M390" i="1"/>
  <c r="M391" i="1"/>
  <c r="M392" i="1"/>
  <c r="M393" i="1"/>
  <c r="M394" i="1"/>
  <c r="M398" i="1"/>
  <c r="M400" i="1"/>
  <c r="M401" i="1"/>
  <c r="M402" i="1"/>
  <c r="M403" i="1"/>
  <c r="M404" i="1"/>
  <c r="M407" i="1"/>
  <c r="M409" i="1"/>
  <c r="M410" i="1"/>
  <c r="M411" i="1"/>
  <c r="M414" i="1"/>
  <c r="M415" i="1"/>
  <c r="M419" i="1"/>
  <c r="M420" i="1"/>
  <c r="M422" i="1"/>
  <c r="M423" i="1"/>
  <c r="M428" i="1"/>
  <c r="M429" i="1"/>
  <c r="M430" i="1"/>
  <c r="M431" i="1"/>
  <c r="M433" i="1"/>
  <c r="M434" i="1"/>
  <c r="M435" i="1"/>
  <c r="M436" i="1"/>
  <c r="M437" i="1"/>
  <c r="M438" i="1"/>
  <c r="M441" i="1"/>
  <c r="M446" i="1"/>
  <c r="M447" i="1"/>
  <c r="M448" i="1"/>
  <c r="M450" i="1"/>
  <c r="M451" i="1"/>
  <c r="M453" i="1"/>
  <c r="M461" i="1"/>
  <c r="M462" i="1"/>
  <c r="M463" i="1"/>
  <c r="M464" i="1"/>
  <c r="M466" i="1"/>
  <c r="M471" i="1"/>
  <c r="M473" i="1"/>
  <c r="M476" i="1"/>
  <c r="M478" i="1"/>
  <c r="M479" i="1"/>
  <c r="M481" i="1"/>
  <c r="M483" i="1"/>
  <c r="M484" i="1"/>
  <c r="M486" i="1"/>
  <c r="M487" i="1"/>
  <c r="M495" i="1"/>
  <c r="M498" i="1"/>
  <c r="M502" i="1"/>
  <c r="M504" i="1"/>
  <c r="M505" i="1"/>
  <c r="M506" i="1"/>
  <c r="M508" i="1"/>
  <c r="M511" i="1"/>
  <c r="M512" i="1"/>
  <c r="M514" i="1"/>
  <c r="M515" i="1"/>
  <c r="M519" i="1"/>
  <c r="M523" i="1"/>
  <c r="M524" i="1"/>
  <c r="M527" i="1"/>
  <c r="M3" i="1"/>
  <c r="J526" i="1" l="1"/>
  <c r="M526" i="1" s="1"/>
  <c r="J418" i="1"/>
  <c r="M418" i="1" s="1"/>
  <c r="J513" i="1" l="1"/>
  <c r="M513" i="1" s="1"/>
  <c r="F513" i="1"/>
  <c r="K442" i="1" l="1"/>
  <c r="M442" i="1" s="1"/>
  <c r="E304" i="1" l="1"/>
  <c r="J457" i="1" l="1"/>
  <c r="M457" i="1" s="1"/>
  <c r="J425" i="1" l="1"/>
  <c r="M425" i="1" s="1"/>
  <c r="E425" i="1"/>
  <c r="J424" i="1" l="1"/>
  <c r="M424" i="1" s="1"/>
  <c r="J485" i="1" l="1"/>
  <c r="M485" i="1" s="1"/>
  <c r="F485" i="1"/>
  <c r="J405" i="1" l="1"/>
  <c r="M405" i="1" s="1"/>
  <c r="J413" i="1" l="1"/>
  <c r="M413" i="1" s="1"/>
  <c r="J399" i="1" l="1"/>
  <c r="M399" i="1" s="1"/>
  <c r="J503" i="1" l="1"/>
  <c r="M503" i="1" s="1"/>
  <c r="F503" i="1"/>
  <c r="J395" i="1"/>
  <c r="M395" i="1" s="1"/>
  <c r="F395" i="1"/>
  <c r="J507" i="1"/>
  <c r="M507" i="1" s="1"/>
  <c r="J488" i="1"/>
  <c r="M488" i="1" s="1"/>
  <c r="J496" i="1" l="1"/>
  <c r="M496" i="1" s="1"/>
  <c r="F496" i="1"/>
  <c r="J376" i="1"/>
  <c r="M376" i="1" s="1"/>
  <c r="J432" i="1" l="1"/>
  <c r="M432" i="1" s="1"/>
  <c r="E432" i="1"/>
  <c r="J408" i="1" l="1"/>
  <c r="M408" i="1" s="1"/>
  <c r="F408" i="1"/>
  <c r="J492" i="1"/>
  <c r="M492" i="1" s="1"/>
  <c r="F492" i="1"/>
  <c r="J456" i="1" l="1"/>
  <c r="M456" i="1" s="1"/>
  <c r="F456" i="1"/>
  <c r="J443" i="1"/>
  <c r="M443" i="1" s="1"/>
  <c r="F443" i="1"/>
  <c r="F427" i="1" l="1"/>
  <c r="J416" i="1" l="1"/>
  <c r="M416" i="1" s="1"/>
  <c r="J427" i="1"/>
  <c r="M427" i="1" s="1"/>
  <c r="J417" i="1"/>
  <c r="M417" i="1" s="1"/>
  <c r="J426" i="1" l="1"/>
  <c r="M426" i="1" s="1"/>
  <c r="J458" i="1" l="1"/>
  <c r="M458" i="1" s="1"/>
  <c r="F458" i="1"/>
  <c r="J374" i="1" l="1"/>
  <c r="M374" i="1" s="1"/>
  <c r="J397" i="1" l="1"/>
  <c r="M397" i="1" s="1"/>
  <c r="F397" i="1"/>
  <c r="J500" i="1" l="1"/>
  <c r="M500" i="1" s="1"/>
  <c r="F500" i="1"/>
  <c r="J525" i="1"/>
  <c r="M525" i="1" s="1"/>
  <c r="J421" i="1" l="1"/>
  <c r="M421" i="1" s="1"/>
  <c r="J474" i="1"/>
  <c r="M474" i="1" s="1"/>
  <c r="J521" i="1"/>
  <c r="M521" i="1" s="1"/>
  <c r="J490" i="1"/>
  <c r="M490" i="1" s="1"/>
  <c r="J491" i="1"/>
  <c r="M491" i="1" s="1"/>
  <c r="J518" i="1" l="1"/>
  <c r="M518" i="1" s="1"/>
  <c r="J497" i="1" l="1"/>
  <c r="M497" i="1" s="1"/>
  <c r="J516" i="1" l="1"/>
  <c r="E516" i="1"/>
  <c r="J509" i="1"/>
  <c r="M509" i="1" s="1"/>
  <c r="J455" i="1" l="1"/>
  <c r="M455" i="1" s="1"/>
  <c r="E455" i="1"/>
  <c r="J460" i="1" l="1"/>
  <c r="M460" i="1" s="1"/>
  <c r="E460" i="1"/>
  <c r="J477" i="1"/>
  <c r="M477" i="1" s="1"/>
  <c r="J444" i="1" l="1"/>
  <c r="M444" i="1" s="1"/>
  <c r="J459" i="1" l="1"/>
  <c r="M459" i="1" s="1"/>
  <c r="F459" i="1"/>
  <c r="F510" i="1" l="1"/>
  <c r="F499" i="1"/>
  <c r="F465" i="1"/>
  <c r="F452" i="1"/>
  <c r="J452" i="1"/>
  <c r="M452" i="1" s="1"/>
  <c r="F440" i="1"/>
  <c r="F439" i="1"/>
  <c r="J385" i="1" l="1"/>
  <c r="M385" i="1" s="1"/>
  <c r="J454" i="1"/>
  <c r="M454" i="1" s="1"/>
  <c r="J412" i="1" l="1"/>
  <c r="M412" i="1" s="1"/>
  <c r="J470" i="1"/>
  <c r="M470" i="1" s="1"/>
  <c r="J368" i="1"/>
  <c r="M368" i="1" s="1"/>
  <c r="J475" i="1"/>
  <c r="M475" i="1" s="1"/>
  <c r="J520" i="1" l="1"/>
  <c r="M520" i="1" s="1"/>
  <c r="J440" i="1" l="1"/>
  <c r="M440" i="1" s="1"/>
  <c r="J480" i="1"/>
  <c r="M480" i="1" s="1"/>
  <c r="J467" i="1" l="1"/>
  <c r="M467" i="1" s="1"/>
  <c r="J469" i="1"/>
  <c r="M469" i="1" s="1"/>
  <c r="J468" i="1" l="1"/>
  <c r="M468" i="1" s="1"/>
  <c r="J489" i="1" l="1"/>
  <c r="M489" i="1" s="1"/>
  <c r="J501" i="1"/>
  <c r="M501" i="1" s="1"/>
  <c r="J439" i="1" l="1"/>
  <c r="M439" i="1" s="1"/>
  <c r="J406" i="1"/>
  <c r="M406" i="1" s="1"/>
  <c r="J449" i="1" l="1"/>
  <c r="M449" i="1" s="1"/>
  <c r="E449" i="1"/>
  <c r="J494" i="1" l="1"/>
  <c r="M494" i="1" s="1"/>
  <c r="J482" i="1" l="1"/>
  <c r="M482" i="1" s="1"/>
  <c r="J510" i="1" l="1"/>
  <c r="J499" i="1"/>
  <c r="M499" i="1" s="1"/>
  <c r="J465" i="1"/>
  <c r="M465" i="1" s="1"/>
  <c r="I510" i="1"/>
  <c r="M510" i="1" l="1"/>
  <c r="J445" i="1"/>
  <c r="M445" i="1" s="1"/>
  <c r="E445" i="1"/>
  <c r="J517" i="1" l="1"/>
  <c r="M517" i="1" s="1"/>
  <c r="E517" i="1"/>
  <c r="J472" i="1" l="1"/>
  <c r="M472" i="1" s="1"/>
  <c r="E472" i="1"/>
  <c r="J493" i="1" l="1"/>
  <c r="M493" i="1" s="1"/>
  <c r="J522" i="1" l="1"/>
  <c r="M522" i="1" s="1"/>
  <c r="I396" i="1" l="1"/>
  <c r="M396" i="1" s="1"/>
  <c r="G304" i="1" l="1"/>
  <c r="I516" i="1" l="1"/>
  <c r="M516" i="1" s="1"/>
  <c r="H112" i="1" l="1"/>
  <c r="M112" i="1" s="1"/>
</calcChain>
</file>

<file path=xl/sharedStrings.xml><?xml version="1.0" encoding="utf-8"?>
<sst xmlns="http://schemas.openxmlformats.org/spreadsheetml/2006/main" count="5804" uniqueCount="3396">
  <si>
    <t>CONTRATISTA</t>
  </si>
  <si>
    <t>OBJETO</t>
  </si>
  <si>
    <t>VALOR  TOTAL DEL CONTRATO</t>
  </si>
  <si>
    <t>PLAZO DE EJECUCION</t>
  </si>
  <si>
    <t>SUPERVISOR</t>
  </si>
  <si>
    <t xml:space="preserve">SUBDIRECCION </t>
  </si>
  <si>
    <t>DATOS DEL CONTRATISTA</t>
  </si>
  <si>
    <t>VALOR FINAL</t>
  </si>
  <si>
    <t>VALOR VIGENCIA 2018</t>
  </si>
  <si>
    <t>VALOR VIGENCIA 2019</t>
  </si>
  <si>
    <t>VALOR VIGENCIA 2020</t>
  </si>
  <si>
    <t>VALOR VIGENCIA 2021</t>
  </si>
  <si>
    <t>VALOR VIGENCIA 2022</t>
  </si>
  <si>
    <t>FECHA DE FIRMA  CONTRATO INICIAL</t>
  </si>
  <si>
    <t>PLAZO DE EJECUCION
FINAL</t>
  </si>
  <si>
    <t xml:space="preserve">NOMBRE DEL REPRESENTANTE LEGAL </t>
  </si>
  <si>
    <t>NIT</t>
  </si>
  <si>
    <t>DIRECCIÓN</t>
  </si>
  <si>
    <t>TELEFONO</t>
  </si>
  <si>
    <t>CORREO ELECTRONICO</t>
  </si>
  <si>
    <t>CIUDAD</t>
  </si>
  <si>
    <t>001-2018</t>
  </si>
  <si>
    <t>CLAUDIA MARIA ARROYAVE LOPEZ</t>
  </si>
  <si>
    <t>DIRECCION</t>
  </si>
  <si>
    <t>21,788,075</t>
  </si>
  <si>
    <t>CALLE 106 # 7-60 APTO 402</t>
  </si>
  <si>
    <t>3133498157</t>
  </si>
  <si>
    <t>carroyave69@gmail.com</t>
  </si>
  <si>
    <t>BOGOTA</t>
  </si>
  <si>
    <t>002-2018</t>
  </si>
  <si>
    <t>MARIA JANETH VARGAS MANRIQUE</t>
  </si>
  <si>
    <t>YADIRA ASTRID VASQUEZ VIZCAINO</t>
  </si>
  <si>
    <t>SUBDIRECCION DE APOYO</t>
  </si>
  <si>
    <t>41,941,943</t>
  </si>
  <si>
    <t>CALLE 39 # 25-25 APTO 207</t>
  </si>
  <si>
    <t>3002219778</t>
  </si>
  <si>
    <t>mjvm943@hotmail.cpm</t>
  </si>
  <si>
    <t>003-2018</t>
  </si>
  <si>
    <t>PEDRO HERRERA ABOGADOS S.A,S.</t>
  </si>
  <si>
    <t>PRESTACION DE SERVICIOS PROFESIONALES DE UN ABOGADO EXTERNO CON EXPERIENCIA N MATERIA DE RESPONSABILIDAD EN FALLA MEDICA,, PARA LA OFICINA ASESORA JURIDICA DEL HOSPITAL MILITAR CENTRAL</t>
  </si>
  <si>
    <t>N/A</t>
  </si>
  <si>
    <t>DENNYS ADIELA ORTIZ ALVARADO</t>
  </si>
  <si>
    <t>901,039,882-7</t>
  </si>
  <si>
    <t>CALLE 33 # 7-27 OFICINA 901</t>
  </si>
  <si>
    <t>2885640</t>
  </si>
  <si>
    <t>phhmlegal@gmail.com</t>
  </si>
  <si>
    <t>004-2018</t>
  </si>
  <si>
    <t>RICARDO ESCUDERO TORRES</t>
  </si>
  <si>
    <t>79,489,195</t>
  </si>
  <si>
    <t>CARRERA 7 # 32-33 OFICINA 2903</t>
  </si>
  <si>
    <t>3384904</t>
  </si>
  <si>
    <t>ricardoescuderot@hotmail.com</t>
  </si>
  <si>
    <t>005-2018</t>
  </si>
  <si>
    <t>JAIME FERNANDO GUZMAN MORA</t>
  </si>
  <si>
    <t>CONTRATACION DE UN MEDICO ABOGADO ESPECIALISTA EN GERENCIA EN SALUD Y DERECHO MEDICO PARA EL APOYO DE LA SUBDIRECCION MEDICA DR. GUZMAN MORA</t>
  </si>
  <si>
    <t>ELIANA RAMIREZ CANO</t>
  </si>
  <si>
    <t>SUBDIRECCION MEDICA</t>
  </si>
  <si>
    <t>19,136,004</t>
  </si>
  <si>
    <t>CARREA 11 # 119-20</t>
  </si>
  <si>
    <t>6122256</t>
  </si>
  <si>
    <t>cataguzmancirugiaplastica@yahoo.com</t>
  </si>
  <si>
    <t>006-2018</t>
  </si>
  <si>
    <t xml:space="preserve">HECTOR JAIME POSSO VALENCIA </t>
  </si>
  <si>
    <t>CONTRATACION DE UN MEDICO EPIDEMIOLOGO ASESOR PARA LA DIRECCION GENERAL DR. HECTOR JAIME POSSO VALENCIA</t>
  </si>
  <si>
    <t>ALEJANDRA MILENA BURGOS</t>
  </si>
  <si>
    <t>16,265,583</t>
  </si>
  <si>
    <t>CALLE 25 A N° 10-35</t>
  </si>
  <si>
    <t>3002043493</t>
  </si>
  <si>
    <t>hposso@gail.com</t>
  </si>
  <si>
    <t>007-2018</t>
  </si>
  <si>
    <t>SISTEMAS Y ASESORIAS DE COLOMBIA-SYAC</t>
  </si>
  <si>
    <t>ACOMPAÑAMIEMTO A LOS PROCESOS FINANCIEROS Y PRESUPUESTALES EN EL SISTEMA DE INFORMACION DINAMICA GERENCIAL PARA LA VIGENCIA 2018</t>
  </si>
  <si>
    <t>GUILLERMO CHACON</t>
  </si>
  <si>
    <t>SUBDIRECCION ADMINISTRATIVA</t>
  </si>
  <si>
    <t>ALVARO AUGUSTO CANO</t>
  </si>
  <si>
    <t>800,149,562-0</t>
  </si>
  <si>
    <t>AVENIDA CARRERA 45 # 108-27 TORRE 2 OFICINA 1405</t>
  </si>
  <si>
    <t>7560520-7560540</t>
  </si>
  <si>
    <t>comercial@syac.net.co</t>
  </si>
  <si>
    <t>008-2018</t>
  </si>
  <si>
    <t>LEGIS EDITORES S.A.</t>
  </si>
  <si>
    <t xml:space="preserve">CONTRATACION PARA ADQUIRIR LOS DIFERENTES TEXTOS NORMATIVOS DEBIDAMENTE ACTUALIZADOS, EN ARAS DE DESARROLLAR LAS DIFERENTES ACTIVIDADES ENCOMENDADAS QUE SURGEN DIA A DIA EN LA COORDINACION Y LA ESTRUCTURACION DE PROCESOS DE CONTRATACION ESTATAL </t>
  </si>
  <si>
    <t>MIGUEL ANGEL OBANDO CASTILLO</t>
  </si>
  <si>
    <t>CARLOS ALBERTO NIÑO FORERO</t>
  </si>
  <si>
    <t>860,042,209-2</t>
  </si>
  <si>
    <t>AVENIDA CALLE 26 # 82-70</t>
  </si>
  <si>
    <t>4255200</t>
  </si>
  <si>
    <t>notificaciones@legis.com.co</t>
  </si>
  <si>
    <t>009-2018</t>
  </si>
  <si>
    <t>010-2018</t>
  </si>
  <si>
    <t>PENSEMOS S.A.</t>
  </si>
  <si>
    <t>LUISA JOHANA PALACIOS</t>
  </si>
  <si>
    <t>GAMALIEL VESGA FLOREZ</t>
  </si>
  <si>
    <t>804,002,893-6</t>
  </si>
  <si>
    <t>CALLE 50 # 28-25 OF 302 ED. CENTRO COMERCIAL</t>
  </si>
  <si>
    <t xml:space="preserve">6521020 </t>
  </si>
  <si>
    <t>finanaciera@pensemos.com</t>
  </si>
  <si>
    <t>BUCARAMANGA</t>
  </si>
  <si>
    <t>011-2018</t>
  </si>
  <si>
    <t>LEVERIT COLOMBIA S.A.</t>
  </si>
  <si>
    <t>DAVID SALAZAR CUERVO</t>
  </si>
  <si>
    <t>900,039,083-5</t>
  </si>
  <si>
    <t>AVENIDA EL DORADO # 68 C - 61 OFICINA 826</t>
  </si>
  <si>
    <t>4276047</t>
  </si>
  <si>
    <t>administrativo.co@leverit.com</t>
  </si>
  <si>
    <t>012-2018</t>
  </si>
  <si>
    <t>GAMMA INGENIEROS S.A.S.</t>
  </si>
  <si>
    <t>ARIEL VALENCIA</t>
  </si>
  <si>
    <t>GABRIEL DE JESUS MAZO MAYORQUIN</t>
  </si>
  <si>
    <t>891,501,783-1</t>
  </si>
  <si>
    <t>CALLE 166# 20-45</t>
  </si>
  <si>
    <t>3167439106</t>
  </si>
  <si>
    <t>comercial@gammaingenieros.com</t>
  </si>
  <si>
    <t>013-2018</t>
  </si>
  <si>
    <t xml:space="preserve">IDENTIFICACION PLASTICA S.A.S. </t>
  </si>
  <si>
    <t>JEIMY LIZETH MUÑOZ COMETA</t>
  </si>
  <si>
    <t>JAIME CONCHA SAMPER</t>
  </si>
  <si>
    <t>830,032,436-6</t>
  </si>
  <si>
    <t>CALLE 75 # 11-74</t>
  </si>
  <si>
    <t>3462001-3228878</t>
  </si>
  <si>
    <t>mguerra@idenpla.com.co</t>
  </si>
  <si>
    <t>014-2018</t>
  </si>
  <si>
    <t xml:space="preserve">ADQUISICION DE LLANTAS NUEVAS PARA EL PARQUE AUTOMOTOR DE PROPIEDAD DEL ESTABLECIMIENTO PUBLICO DEL HOSPITAL MILITAR CENTRAL </t>
  </si>
  <si>
    <t>CARLOS BEDOYA GUERRA</t>
  </si>
  <si>
    <t>JENNY MARCELA UBAQUE RUIZ</t>
  </si>
  <si>
    <t>900,156,622-6</t>
  </si>
  <si>
    <t>CALLE 17 #  96 C -38 PISO 2</t>
  </si>
  <si>
    <t>4669069</t>
  </si>
  <si>
    <t>juan.paez@comercialrino.com</t>
  </si>
  <si>
    <t>015-2018</t>
  </si>
  <si>
    <t>GRUPO SABERES</t>
  </si>
  <si>
    <t>PILAR VALERO</t>
  </si>
  <si>
    <t>LADY YURANY MORA MORENO</t>
  </si>
  <si>
    <t>900,105,250-1</t>
  </si>
  <si>
    <t>CALLE 12 # 5-35TORRE 3 APTO 404</t>
  </si>
  <si>
    <t>3152402261</t>
  </si>
  <si>
    <t>info@sabeberes.com</t>
  </si>
  <si>
    <t>016-2018</t>
  </si>
  <si>
    <t>CONTROL ONLINE S.A.S.</t>
  </si>
  <si>
    <t>FELIX ANTONIO PALACIOS</t>
  </si>
  <si>
    <t>MARIA PAOLA NIETO LADINO</t>
  </si>
  <si>
    <t>830,041,538-7</t>
  </si>
  <si>
    <t>AC 26 # 69-63 OFICINA 209</t>
  </si>
  <si>
    <t>4271067</t>
  </si>
  <si>
    <t>lenicordero@controdoc.com.co</t>
  </si>
  <si>
    <t>017-2018</t>
  </si>
  <si>
    <t>SUPLIDORES AERONAUTICOS SUPLIAEREOS S.A.S</t>
  </si>
  <si>
    <t xml:space="preserve">ADQUISICION DE DETERGENTE LIQUIDO CONCENTRADO BIODEGRADABLE PARA SUPERFICIES Y ELEMENTOS DE USO HOSPITALARIO </t>
  </si>
  <si>
    <t>JOSE RICARDO BORDA PARRA</t>
  </si>
  <si>
    <t>MANOLO IZQUIERDO JARAMILLO</t>
  </si>
  <si>
    <t>830,036,769-1</t>
  </si>
  <si>
    <t>CALLE 51 # 71 A - 19</t>
  </si>
  <si>
    <t>2631384</t>
  </si>
  <si>
    <t>ventas1@supliaereos.com</t>
  </si>
  <si>
    <t>018-2018</t>
  </si>
  <si>
    <t xml:space="preserve">EDGAR IVAN GONZALEZ RODRIGUEZ </t>
  </si>
  <si>
    <t>CONTRATACION DE UN MEDICO RADIOLOGO PARA LA REALIZACION DE ECOGRAFIA DE MAMA, BIOPSIA DE SENO, DOPPLER, BACAF DE SENO ETC. DR. GONZALEZ RODRIGUEZ</t>
  </si>
  <si>
    <t>88,261,474</t>
  </si>
  <si>
    <t>CRA 57 # 114 A - 60 TORRE 5 APTO 719</t>
  </si>
  <si>
    <t>3106440244</t>
  </si>
  <si>
    <t>eigonzalezr@unal.edu.co</t>
  </si>
  <si>
    <t>019-2018</t>
  </si>
  <si>
    <t>CHICAMOCHA TURISMO EVENTOS Y SERVICIOS S.A.S.</t>
  </si>
  <si>
    <t>RICARDO SANCHEZ GUARIN</t>
  </si>
  <si>
    <t>900,557,865-1</t>
  </si>
  <si>
    <t>CARRERA 15 # 28 A - 35</t>
  </si>
  <si>
    <t>3106286335</t>
  </si>
  <si>
    <t>chicamochaeventos@hotmail.com</t>
  </si>
  <si>
    <t>020-2018</t>
  </si>
  <si>
    <t>ITS MEDICAL SAS</t>
  </si>
  <si>
    <t>MANTENIMIENTO PREVENTIVO CORRECTIVO Y SOPORTE REMOTO DE LA IMPRESORA DEL SERVICIO MEDICINA NUCLEAR</t>
  </si>
  <si>
    <t>LILIANA GOMEZ SANTOFIMIO</t>
  </si>
  <si>
    <t>SANDRA MILENA QUINCHE</t>
  </si>
  <si>
    <t>900,540,089-6</t>
  </si>
  <si>
    <t>CALLE 126 # 70 G -62</t>
  </si>
  <si>
    <t>7021355</t>
  </si>
  <si>
    <t>ventas@its-medical.com</t>
  </si>
  <si>
    <t>021-2018</t>
  </si>
  <si>
    <t>MEDICINA NUCLEAR DE BOGOTA S.A.S</t>
  </si>
  <si>
    <t xml:space="preserve">PRESTACION DE SERVICIOS DE SALUD PARA LA REALIZACION DE EXAMENTES EXTRAHOSPITALARIOS DIAGNOSTICOS Y TERAPEUTICOS DEL SERVICIO DE MEDICINA NUCLEAR DEL HOSPITAL MILITAR CENTRAL </t>
  </si>
  <si>
    <t xml:space="preserve">DORA ROMERO CALDERON </t>
  </si>
  <si>
    <t>CLAUDIA MARCELA PRIETO</t>
  </si>
  <si>
    <t>900,589,109-7</t>
  </si>
  <si>
    <t>CARRERA 20 # 62-09</t>
  </si>
  <si>
    <t>7034991</t>
  </si>
  <si>
    <t>mednucbogota@gmail.com</t>
  </si>
  <si>
    <t>022-2018</t>
  </si>
  <si>
    <t xml:space="preserve">AURA MARIA DOMINGUEZ PERILLA </t>
  </si>
  <si>
    <t xml:space="preserve">CONTRATACION DE UN MEDICO INTERNISTA ESPECIALISTA EN REUMATOLOGIA CON ESPECIALIZACION EN EPIDEMIOLOGIA CLINICA PARA LA SUBDIRECCION MEDICA DEL HOSPITAL MILITAR CENTRAL  DRA. AURA MARIA DOMINGUEZ PERILLA </t>
  </si>
  <si>
    <t>52,618,090</t>
  </si>
  <si>
    <t>VARIANTE CAJICA - ZIPA KM 1,5 CANAINOS CHUNUGUA CASA 32</t>
  </si>
  <si>
    <t>3102372279-8798560</t>
  </si>
  <si>
    <t>auradom@yahoo.com</t>
  </si>
  <si>
    <t>023-2018</t>
  </si>
  <si>
    <t>GASTRICARE S.A.S.</t>
  </si>
  <si>
    <t xml:space="preserve">CONTRATACION DE LA PRESTACION DE SERVICIOS PARA LA REALIZACION DE IMPEDANCIOMETRIA+PHMETRIA Y MANOMETRIA ESOFAGICA EN PACIENTE PEDIATRICOS ETC. </t>
  </si>
  <si>
    <t>CLAUDIA ALARCON</t>
  </si>
  <si>
    <t>CLAUDIA PATRICIA SANCHEZ FRANCO</t>
  </si>
  <si>
    <t>900,945,726-9</t>
  </si>
  <si>
    <t>024-2018</t>
  </si>
  <si>
    <t xml:space="preserve">INCOLMEDICA S.A. </t>
  </si>
  <si>
    <t xml:space="preserve">SUMINISTRO DE INSUMOS MEDICO QUIRURGICOS ESPECIFICOS PARA EL SERVICIO DE UROLOGIA, SALAS DE CIRUGIA Y OTRAS DEPENDENCIAS QUE COMPONEN LA UNIDAD CLINICO QUIRURGICA ETC. </t>
  </si>
  <si>
    <t xml:space="preserve"> </t>
  </si>
  <si>
    <t>HANS GARCIA ARAQUE</t>
  </si>
  <si>
    <t>ALBERTO ÑUSTES</t>
  </si>
  <si>
    <t>860,070,078-3</t>
  </si>
  <si>
    <t>CALLE 36 # 15-42</t>
  </si>
  <si>
    <t>2889858</t>
  </si>
  <si>
    <t>samitoca@hotmail.com</t>
  </si>
  <si>
    <t>025-2018</t>
  </si>
  <si>
    <t>RP MEDICAS S.A.</t>
  </si>
  <si>
    <t>WILLIAM QUIROGA MATAMOROS</t>
  </si>
  <si>
    <t>CARMENZA CUATAS GUZMAN</t>
  </si>
  <si>
    <t>811,019,499-7</t>
  </si>
  <si>
    <t>TRANSVERSAL 6 # 45-135</t>
  </si>
  <si>
    <t>2684904</t>
  </si>
  <si>
    <t>servicioalcliente@rpmedicas.co</t>
  </si>
  <si>
    <t>026-2018</t>
  </si>
  <si>
    <t xml:space="preserve">SUMINISTRO DE INSUMO Y/O DISPOSITIVOS MEDICO-QUIRURGICO PARA LOS SERVICIOS QUIRURGICOS DE LA CLINICA DEL DOLOR, CIRUGIA PEDIATRICA, CIRUGIA GENERAL, QUE COMPONEN LA UNIDAD CLINICO QUIRURGICA ETC. </t>
  </si>
  <si>
    <t>PAULA GAITAN Y HANS GARCIA ARAQUE</t>
  </si>
  <si>
    <t>CARMENZA CUARTAS GUZMAN</t>
  </si>
  <si>
    <t>027-2018</t>
  </si>
  <si>
    <t>PRONUCLEAR</t>
  </si>
  <si>
    <t>COMPRA DE OCTREOTIDE-TC99M PARA EL SERVICIO DE MEDICINA NUCLEAR</t>
  </si>
  <si>
    <t>LILIANA MARIA ARDILA</t>
  </si>
  <si>
    <t>830,089,496-3</t>
  </si>
  <si>
    <t>CARRERA 17 # 161 A -18</t>
  </si>
  <si>
    <t>7499093</t>
  </si>
  <si>
    <t>gerencia@pronuclear.com.co</t>
  </si>
  <si>
    <t>028-2018</t>
  </si>
  <si>
    <t>MEDTRONIC COLOMBIA S.A</t>
  </si>
  <si>
    <t xml:space="preserve">SUMINISTRO DE BOMBAS DE INFUSION CONTINUA DE INSULINA MINI MED640G CON SISTEMA DE MONITOREO CONTINUO DE GLUCOSA INTEGRADO Y APAGADO AUTOMATICO ETC. </t>
  </si>
  <si>
    <t>OSWALDO RINCON SIERRA</t>
  </si>
  <si>
    <t>NATALIA VALBUENA TOVAR</t>
  </si>
  <si>
    <t>830,047,312-7</t>
  </si>
  <si>
    <t>AV CALLE 116 # 7-15 OFICINA 1101 PISO 11</t>
  </si>
  <si>
    <t>6683777</t>
  </si>
  <si>
    <t>cuentas.gobierno@covidien.com</t>
  </si>
  <si>
    <t>029-2018</t>
  </si>
  <si>
    <t>COMPUSERTEC INGENIERIA SAS</t>
  </si>
  <si>
    <t>MANTENIMIENTO PREVENTIVO Y CORRECTIVO DE LOS EQUIPOS DE IMPRESORAS CON QUE CUENTA EL AREA DE SEGURIDAD DEL HOSPITAL MILITAR CENTRAL (DATACARD CD 800 Y CP 60)</t>
  </si>
  <si>
    <t>MIGUEL ANTONIO CASTIBLANCO</t>
  </si>
  <si>
    <t>830,044,504-0</t>
  </si>
  <si>
    <t>CALLE 75 # 111 C -27</t>
  </si>
  <si>
    <t>4921185</t>
  </si>
  <si>
    <t>miguelc@compusertec.com</t>
  </si>
  <si>
    <t>030-2018</t>
  </si>
  <si>
    <t>KIOSCO DEL SOLDADO</t>
  </si>
  <si>
    <t>ENTREGAR A TITULO DE ARRENDAMIENTO  UN ESPACIO DE 16 METROS CUADRADOS UBICADOS EN LA ZONA VERDE DEL PARQUEADERO ORIENTAL, CERCA AL EDIFICIO PARA EL ALOJAMIENTO  DE INFANTERIA DE MARINA,  PARA SER DESTINADO COO ESTALECIMIENTO DE COMERCIO DEDICADO A LA PRESTACION DE SERVICIO DE BEBIDAS CALIENTES, REFRESCOS, LAMADAS TELEFONICAS, PRODUCTOS DE PAQUETERIA Y CONFITERIA, PRODUCTOS DE ASEO DE USO PERSONAL COMO APOYO AL PERSONAL DE INFANTERIA DE MARINA QUE PRESTA SEGURIDAD AL HOSPITAL MILITAR CENTRAL</t>
  </si>
  <si>
    <t>RICARDO BORDA PARRA</t>
  </si>
  <si>
    <t>EDINSON JAVIER REYES HURTADO</t>
  </si>
  <si>
    <t>600,035,768-7</t>
  </si>
  <si>
    <t>CALLE 49 # 20-35</t>
  </si>
  <si>
    <t>3003592161</t>
  </si>
  <si>
    <t>kioskodelsoldado@gmail.com</t>
  </si>
  <si>
    <t>031-2018</t>
  </si>
  <si>
    <t>GLOBAL NETWORKS SOLUTIONS</t>
  </si>
  <si>
    <t>RENOVACION DEL SERVICIO DE SOPORTE DE FABRICA CISCO PARA LOS EQUIPOS DATACENTER DEL HOSPITAL MILITAR CENTRAL</t>
  </si>
  <si>
    <t>IVAN GOMEZ MALDONADO</t>
  </si>
  <si>
    <t>JHON JAIRO AVILA RAMIREZ</t>
  </si>
  <si>
    <t>900,054,055-1</t>
  </si>
  <si>
    <t>CALLE 6 # 39-25 OFICINA 703</t>
  </si>
  <si>
    <t>4862525</t>
  </si>
  <si>
    <t>jdavila@gns.com.co</t>
  </si>
  <si>
    <t>CALI</t>
  </si>
  <si>
    <t>032-2018</t>
  </si>
  <si>
    <t>NESTOR FIDEL RODRIGUEZ RODRIGUEZ</t>
  </si>
  <si>
    <t>MANTENIMIENTO PREVENTIVO Y CORRECTIVO DEL EQUIPO DE IMPRESION DEL HOSPITAL MILITAR CENTRAL</t>
  </si>
  <si>
    <t>VICTOR BEJARANO</t>
  </si>
  <si>
    <t>3,054,873</t>
  </si>
  <si>
    <t>AV 1 DE MAYO # 68 H -51</t>
  </si>
  <si>
    <t>31125583884</t>
  </si>
  <si>
    <t>nestorfro@hotmail.com</t>
  </si>
  <si>
    <t>033-2018</t>
  </si>
  <si>
    <t>LENTECH S.A.</t>
  </si>
  <si>
    <t>SUMINISTRO DE ELEMENTOS, INSUMOS Y DISPOSITIVOS MEDICOS PARA PROCEDIMIENTOS QUIRURGICOS DE LOS SERVICIOS DE OFTALMOLOGIA (LENTE INTRAOCULAR DE AFAQUIA DE FIJACION / ENCLAVAMIENTO IRIDIANO)</t>
  </si>
  <si>
    <t>JUAN CAROS VIDAL HENAO</t>
  </si>
  <si>
    <t>802,017,441-9</t>
  </si>
  <si>
    <t>CALLE 77 B # 57-141 OFICINA 1008</t>
  </si>
  <si>
    <t>3168340577</t>
  </si>
  <si>
    <t>RINCON_ANGELA@LENTECH.COM.CO</t>
  </si>
  <si>
    <t>BARRANQUILLA</t>
  </si>
  <si>
    <t>034-2018</t>
  </si>
  <si>
    <t>DIGITAL WORLD S.A.S</t>
  </si>
  <si>
    <t xml:space="preserve">ADQUISICION DE UNA IMPRESORA LASER A COLOR PARA EL AREA DE IMPRENTA DEL HOSPITAL MILITAR CENTRAL </t>
  </si>
  <si>
    <t>YESICA ANDREA BOHADA DIAZ</t>
  </si>
  <si>
    <t>900,758,864-0</t>
  </si>
  <si>
    <t>CARRERA 15 # 79-05</t>
  </si>
  <si>
    <t>3162764112</t>
  </si>
  <si>
    <t>digitalworlds.a.s@hotmail.com</t>
  </si>
  <si>
    <t>035-2018</t>
  </si>
  <si>
    <t>GRUPO VECTOR S.A.S.</t>
  </si>
  <si>
    <t>CONTRATACION DEL SERVICIO DE PRODUCCION AUDIOVISUAL PARA EL VIDEO INSTITUCIONAL DEL PORTAFOLIO DE SERVICIOS</t>
  </si>
  <si>
    <t>RICARDO SALAZAR DELGADO</t>
  </si>
  <si>
    <t>900,020,684-8</t>
  </si>
  <si>
    <t>CALLE 46 # 13-56</t>
  </si>
  <si>
    <t>3862631</t>
  </si>
  <si>
    <t>mercadeo@grupovector.com</t>
  </si>
  <si>
    <t>036-2018</t>
  </si>
  <si>
    <t>ACONPIEXPRESS S.A.S.</t>
  </si>
  <si>
    <t xml:space="preserve">CALIBRACION EQUIPO FLUKE (PUNTOS DE RED) </t>
  </si>
  <si>
    <t>OMAR RIVERA PINILLA</t>
  </si>
  <si>
    <t>830,113,886-5</t>
  </si>
  <si>
    <t>CALLE 152 # 22 A -21</t>
  </si>
  <si>
    <t>2587669</t>
  </si>
  <si>
    <t>omar.rivera@aconpiexpress.com.co</t>
  </si>
  <si>
    <t>037-2018</t>
  </si>
  <si>
    <t>DCV CONSULTORES COLOMBIA S.A.S</t>
  </si>
  <si>
    <t>CRISTIAN CAMILO RAMIREZ ECHEVERRY</t>
  </si>
  <si>
    <t>900,987,336-1</t>
  </si>
  <si>
    <t>CARRERA 14 # 83-26/32 OFICINA 409</t>
  </si>
  <si>
    <t>7498181</t>
  </si>
  <si>
    <t>informes@dcvconsultores.com</t>
  </si>
  <si>
    <t>038-2018</t>
  </si>
  <si>
    <t>ORGANIZACIÓN AXON 360</t>
  </si>
  <si>
    <t xml:space="preserve">CONTRATACION DEL SERVICIO DE STREAMING PARA LA AUDIENCIA PUBLICA DE RENDICION DE CUENTAS </t>
  </si>
  <si>
    <t>DIANA ALEJANDRA CORTES</t>
  </si>
  <si>
    <t>GILBERTO GARCIA BUITRAGO</t>
  </si>
  <si>
    <t>800,212,052-5</t>
  </si>
  <si>
    <t>CALLE 74 A # 60-56</t>
  </si>
  <si>
    <t>7450360</t>
  </si>
  <si>
    <t>gilbertogarciab@axon360.co</t>
  </si>
  <si>
    <t>039-2018</t>
  </si>
  <si>
    <t>B BRAUN MEDICAL S.A.</t>
  </si>
  <si>
    <t>SUMINISTRO DE INSUMOS MEDICO QUIRURGICOS (CATETER QUIMIOTERAPIA ADULTOS) ESPECIFICOS PARA EL SERVICIO DE CIRUGIA VASCULAR, PARA GARANTIZAR UNA ATENCION OPORTUNA DE CALIDAD Y CON CONTINUIDAD A CADA UNO DE LOS PACIENTES QUE ASISTEN AL HOSPITAL MILITAR CENTRAL</t>
  </si>
  <si>
    <t>DOUGLAS CACERES</t>
  </si>
  <si>
    <t>MANUEL NICOLAS HERNANDEZ</t>
  </si>
  <si>
    <t>860,026,442-5</t>
  </si>
  <si>
    <t>CALLE 44 # 8-31</t>
  </si>
  <si>
    <t>3403001</t>
  </si>
  <si>
    <t>inrid.rangel@bbraun.com</t>
  </si>
  <si>
    <t>040-2018</t>
  </si>
  <si>
    <t>REDEX S.A.S.</t>
  </si>
  <si>
    <t xml:space="preserve">PRESTACION DE SERVICIOS DE MENSAJERIA DE CORREO CERTIFICADO A NIVEL LOCAL, PERIFERICO, NACIONAL, TRAYECTO ESPECIAL E INTERNACIONAL </t>
  </si>
  <si>
    <t>EINER TAPASCO FLOREZ</t>
  </si>
  <si>
    <t>JORGE ENRIQUE MUÑOZ ARISTIZABAL</t>
  </si>
  <si>
    <t>811,034,171-1</t>
  </si>
  <si>
    <t>CALLE 43 # 67 A -37</t>
  </si>
  <si>
    <t>2302800</t>
  </si>
  <si>
    <t>gerencia.redexpei@etp.net.co</t>
  </si>
  <si>
    <t>041-2018</t>
  </si>
  <si>
    <t>RESTREPO COMERCIAL  S.A.S</t>
  </si>
  <si>
    <t>SUMINISTRO DE INSUMOS PARA LA EVALUACION Y DIAGNOSTICOS OFTALMOLOGICO DE PACIENTES DEL AREA DE CONSULTA EXTERNA DEL HOSPITAL MILITAR CENTRAL</t>
  </si>
  <si>
    <t>LUIS ALBERTO RUIZ ROBLES</t>
  </si>
  <si>
    <t>MARTHA LUCIA PINEDA</t>
  </si>
  <si>
    <t>830,124,781-8</t>
  </si>
  <si>
    <t>AV CALLE 80 # 69-70 BODEGA 31</t>
  </si>
  <si>
    <t>7490490</t>
  </si>
  <si>
    <t>cfigueroa@restrepo comercial.com</t>
  </si>
  <si>
    <t>042-2018</t>
  </si>
  <si>
    <t xml:space="preserve">BIOMOLECULAR DIAGNOSTICA </t>
  </si>
  <si>
    <t>ZULMA LILIANA MENDEZ</t>
  </si>
  <si>
    <t>900,110,259-7</t>
  </si>
  <si>
    <t>calle 102  # 45-46</t>
  </si>
  <si>
    <t>2564281</t>
  </si>
  <si>
    <t>gerencia@bio-molecular.com</t>
  </si>
  <si>
    <t>043-2018</t>
  </si>
  <si>
    <t>GRUPO LOS LAGOS S.A.S.</t>
  </si>
  <si>
    <t xml:space="preserve">SUMINISTRO DE ELEMENTOS E INSUMOS PARA LA EJECUCION DE PROCESOS DE LIMPIEZA Y DESINFECCION EN EL HOSPITAL MILITAR CENTRAL (LAVANDERIA)      Y SUMINISTRO DE ELEMENTOS E INSUMOS PARA LA EJECUCION DE PROCESOS DE LIMPIEZA Y DESINFECCION DE AREAS DEL HOSPITAL MILITAR CENTRAL (ELEMENTOS DE ASEO HOTELERIA Y ELEMENTOS DE LIMPIEZA PARQUE AUTOMOTOR) </t>
  </si>
  <si>
    <t>RICHARD OSWALDO CELIS</t>
  </si>
  <si>
    <t>GLADYS ELENA CORREA GIRALDO</t>
  </si>
  <si>
    <t>860,053,274-9</t>
  </si>
  <si>
    <t>CARRERA 28 # 78-27</t>
  </si>
  <si>
    <t>7470153</t>
  </si>
  <si>
    <t>HCG.LAGOS@GMAIL.COM</t>
  </si>
  <si>
    <t>044-2018</t>
  </si>
  <si>
    <t>CIACOMEQ S.A.S.</t>
  </si>
  <si>
    <t>GLORIA AMPARO ALMECIGA GARCIA</t>
  </si>
  <si>
    <t>860,451,304-9</t>
  </si>
  <si>
    <t>CARRERA 63 # 5A-85</t>
  </si>
  <si>
    <t>2900093</t>
  </si>
  <si>
    <t>galmeciga@ciacomeq.com</t>
  </si>
  <si>
    <t>045-2018</t>
  </si>
  <si>
    <t>GERMAN LEONARDO RODRIGUEZ VARGAS</t>
  </si>
  <si>
    <t>830,048,811-5</t>
  </si>
  <si>
    <t>046-2018</t>
  </si>
  <si>
    <t>COMERCIALIZADORA SEMCAR SAS</t>
  </si>
  <si>
    <t>ADQUISICION DE LECTORES DE RECONOCIMIENTO DE HUELLA PARA ACCESO A OPCIONES DE HISTORIA CLINICA DEL SISTEMA DE INFORMACION PARA EL HOSPITAL MILITAR CENTRAL</t>
  </si>
  <si>
    <t>JULIANA MARIA ZULETA SANDOVAL</t>
  </si>
  <si>
    <t>900,502,917-8</t>
  </si>
  <si>
    <t>CARRERA 16 # 76-42 OFICINA 504</t>
  </si>
  <si>
    <t>6212540</t>
  </si>
  <si>
    <t>cmercial@semcar.com</t>
  </si>
  <si>
    <t>047-2018</t>
  </si>
  <si>
    <t>GRUPO TECNOTRONIX SAS</t>
  </si>
  <si>
    <t xml:space="preserve">ADQUISICION DE LOS EQUIPOS TECNICOS AUDIOVISUALES PARA LA REALIZACION DE PIEZAS GRAFICAS, VIDEOS Y AUDIOS, LOS CUALES FACILITEN LA EMISION Y DIFUSION DE INFORMACION DEL HOSPITAL </t>
  </si>
  <si>
    <t>NESTOR JAVIER FLOREZ MARIÑO</t>
  </si>
  <si>
    <t>900,079,139-1</t>
  </si>
  <si>
    <t>AV PRADILLA # 900 ESTE OFICINA 324 A</t>
  </si>
  <si>
    <t>8855993</t>
  </si>
  <si>
    <t>gerencia@tecnotronix.com.co</t>
  </si>
  <si>
    <t>048-2018</t>
  </si>
  <si>
    <t>RIESGO DE FRACTURA S.A.</t>
  </si>
  <si>
    <t xml:space="preserve">PRESTACION DE SERVICIOS PARA LA REALIZACION DE ESTUDIOS DE ALERGIA MEDIANTE EL EMPLEO DE PRUEBAS CUTANEAS DE PUNCION PRICK TEST, PRUEBAS DE PARCHE O EPICUTANEA Y REALIZACION DE INMUNTERAPIA ESPECIFICA EN ALERGENOS REQUERIDOS, ETC. </t>
  </si>
  <si>
    <t xml:space="preserve">MARYI ADRIANA CASTRO URBINA </t>
  </si>
  <si>
    <t>830,027,158-3</t>
  </si>
  <si>
    <t>CARRERA 12 # 98-38</t>
  </si>
  <si>
    <t>7466440</t>
  </si>
  <si>
    <t>subdireccincomercial@cayre.co</t>
  </si>
  <si>
    <t>049-2018</t>
  </si>
  <si>
    <t>BIOPLAST S.A.</t>
  </si>
  <si>
    <t xml:space="preserve">SUMINISTRO DE PAPEL PARA ECOGRAFIA DE ALTA DENSIDAD, GEL ELECTROCONDUCCION Y PROTECTORES AUDITIVOS DESECHABLES PARA RESONANCIA MAGNETICA PARA EL SERVICIO DE IMAGENES DIAGNOSTICAS, GINECOLOGIA Y OBSTETRICIA DEL HOSPITAL MILITAR CENTRAL </t>
  </si>
  <si>
    <t>ALFONSO MARTINEZ FLECHAS</t>
  </si>
  <si>
    <t>GUSTAVO PINZON DIAZ</t>
  </si>
  <si>
    <t>830,040,574-8</t>
  </si>
  <si>
    <t>CARRERA 92 # 64 C -24</t>
  </si>
  <si>
    <t>4382224</t>
  </si>
  <si>
    <t>patricia@bioplastsa.com</t>
  </si>
  <si>
    <t>050-2018</t>
  </si>
  <si>
    <t>IMPULSORES INTERNACIONALES S.A.S.</t>
  </si>
  <si>
    <t>WILSON MIGUEL PINILLA</t>
  </si>
  <si>
    <t>860,066,633-6</t>
  </si>
  <si>
    <t>AV CARRERA 45 # 147-66</t>
  </si>
  <si>
    <t>6488080</t>
  </si>
  <si>
    <t>ventasmedicos@impulmedicos.com</t>
  </si>
  <si>
    <t>051-2018</t>
  </si>
  <si>
    <t xml:space="preserve">FUNDACION NIÑEZ Y DESARROLLO </t>
  </si>
  <si>
    <t xml:space="preserve">CONTRATACION DE TERAPIAS INTEGRADAS E INTERDISCIPLINARIAS PARA ATENCION DE NIÑOS Y NIÑAS  Y ADOLESCENTES CON DISCAPACIDAD MOTORA ETC. PACIENTE JOSE ALEJANDRO GONZALEZ PULIDO HC N°1.193.066.370 ETC. </t>
  </si>
  <si>
    <t>GRACIELA DEL PILAR GUERRERO</t>
  </si>
  <si>
    <t>DORALISSE VALLEJO MACIAS</t>
  </si>
  <si>
    <t>860,034,503-1</t>
  </si>
  <si>
    <t>AVENIDA CARRERA 60 # 63-63</t>
  </si>
  <si>
    <t>3108259</t>
  </si>
  <si>
    <t>informacion@fndcolombia.org</t>
  </si>
  <si>
    <t>052-2018</t>
  </si>
  <si>
    <t>SUR COMPANY LTDA</t>
  </si>
  <si>
    <t>DIANA MARCELA RODRIGUEZ</t>
  </si>
  <si>
    <t>JAVIER UREÑA GALINDO</t>
  </si>
  <si>
    <t>900,202,174-5</t>
  </si>
  <si>
    <t>CALLE 79  # 68 G -40</t>
  </si>
  <si>
    <t>2401322</t>
  </si>
  <si>
    <t>ASESOR01@SURCOMPANY.CO</t>
  </si>
  <si>
    <t>053-2018</t>
  </si>
  <si>
    <t>VYGON COLOMBIA S.A.</t>
  </si>
  <si>
    <t>JAIME ANTONIO ADDIE</t>
  </si>
  <si>
    <t>802,000,335-1</t>
  </si>
  <si>
    <t>CALLE 79 # 74-29</t>
  </si>
  <si>
    <t>3730963</t>
  </si>
  <si>
    <t>mangel@vygon.com.co</t>
  </si>
  <si>
    <t>BARRANQUILA</t>
  </si>
  <si>
    <t>054-2018</t>
  </si>
  <si>
    <t>MEDICAL ZONE S.A.S.</t>
  </si>
  <si>
    <t>JORGE ENRIQUE PAREDES</t>
  </si>
  <si>
    <t>830,071,846-9</t>
  </si>
  <si>
    <t>CARRERA 4 A # 66-10 OFICINA 604</t>
  </si>
  <si>
    <t>3102053114</t>
  </si>
  <si>
    <t>medzoneventas@gmail.com</t>
  </si>
  <si>
    <t>055-2018</t>
  </si>
  <si>
    <t>TECNO INDUSTRIAL DE EXTINTORES</t>
  </si>
  <si>
    <t>SERVICIO DE REVISIÓN, MANTENIMIENTO TÉCNICO, PREVENTIVO - CORRECTIVO Y RECARGA A LOS EXTINTORES DE LAS DIFERENTES ÁREAS DEL HOSPITAL MILITAR CENTRAL”.</t>
  </si>
  <si>
    <t>MARIA TORIFIO SANCHEZ</t>
  </si>
  <si>
    <t>EDER GIOVANNY CASTIBLANCO ORJUELA</t>
  </si>
  <si>
    <t>80,807,003-8</t>
  </si>
  <si>
    <t xml:space="preserve">AV PRIMERA DE MAYO # 6-74 SUR </t>
  </si>
  <si>
    <t>5602572</t>
  </si>
  <si>
    <t>TECNOINDUSTRUAL_DEEXTINTORES@YAHOO.COM</t>
  </si>
  <si>
    <t>056-2018</t>
  </si>
  <si>
    <t>GRANADOS Y CONDECORACIONES</t>
  </si>
  <si>
    <t>ADQUSICION DE MEDALLAS E INCENTIVOS PARA PERSONAL DEL HOSPITAL MILITAR CENTRAL</t>
  </si>
  <si>
    <t>GERMAN BUITRAGO MEJIA</t>
  </si>
  <si>
    <t>830,055,827-1</t>
  </si>
  <si>
    <t>CALE 44 # 50-96</t>
  </si>
  <si>
    <t>3244900</t>
  </si>
  <si>
    <t>comercial@ganadosycondecoraciones.com</t>
  </si>
  <si>
    <t>057-2018</t>
  </si>
  <si>
    <t>RADPROCT LTDA</t>
  </si>
  <si>
    <t>LINA ADRIANA RODRIGUEZ PULIDO</t>
  </si>
  <si>
    <t>800,162,425-3</t>
  </si>
  <si>
    <t>CARRERA 14  # 87-60</t>
  </si>
  <si>
    <t>2368554</t>
  </si>
  <si>
    <t>soporte@radproct.com</t>
  </si>
  <si>
    <t>058-2018</t>
  </si>
  <si>
    <t>QUIRURGICOS LTDA</t>
  </si>
  <si>
    <t>SUMINISTRO DE YODO PARA EL TRATAMIENTO DE PATOLOGISAS TIROIDEAS BENIGNAS  PARA LOS PACIENTES DEL HOSPITAL MILITAR CENTRAL</t>
  </si>
  <si>
    <t>JAIRO DIAZ JARAMILLO</t>
  </si>
  <si>
    <t>860,024,862-6</t>
  </si>
  <si>
    <t>CALLE 266 # 69 D 91 OFICINA 606 ED. ARRECIFE</t>
  </si>
  <si>
    <t>7441740</t>
  </si>
  <si>
    <t>cverdiguer@quirurgicosltda.com</t>
  </si>
  <si>
    <t>059-2018</t>
  </si>
  <si>
    <t>ECOMIL</t>
  </si>
  <si>
    <t>SERVICIO DE MANTENIMIENTO, ACTUALIZACION DE LICENCIAMIENTO Y SOPORTE DE LA SOLUCION DE FORTINET DEL HOSPITAL MILITAR CENTRAL</t>
  </si>
  <si>
    <t>ALEXANDER SANCHEZ HERNANDEZ</t>
  </si>
  <si>
    <t>830,133,271-1</t>
  </si>
  <si>
    <t>CALLE 102 A # 47 A - 25</t>
  </si>
  <si>
    <t>7449900</t>
  </si>
  <si>
    <t>licitacion@solucionesecomil.com</t>
  </si>
  <si>
    <t>060-2018</t>
  </si>
  <si>
    <t>SEGURITY VIDEO EQUIPMET SAS</t>
  </si>
  <si>
    <t>MANTENIMIENTO PREVENTIVO Y CORRECTIVO INCLUYENDO REPUESTOS NUEVOS PARA EL SISTEMA CIRCUITO CERRADO DE TELEVISION DEL HOSPITAL MILITAR CENTRAL</t>
  </si>
  <si>
    <t>RAMIRO GONZALEZ CLAVIJO</t>
  </si>
  <si>
    <t>830,005,066-1</t>
  </si>
  <si>
    <t>CALLE 57 A # 35-78</t>
  </si>
  <si>
    <t>2228900</t>
  </si>
  <si>
    <t>martha.jimenez@secvideo.com.co</t>
  </si>
  <si>
    <t>061-2018</t>
  </si>
  <si>
    <t>EVALUA SALUD IPS</t>
  </si>
  <si>
    <t>PRESTACION DE SERVICIOS DE SALUD PARA REALIZACION DE LOS EXAMENES MEDICOS OCUPACIONALES Y ELABORACION DE CONCEPTOS DE APTITUD PARA TRABAJOS DE ALTO RIESGO</t>
  </si>
  <si>
    <t>WILLIAM JAVIER MORALES</t>
  </si>
  <si>
    <t>900,380,150-0</t>
  </si>
  <si>
    <t>CARRERA 45 a # 93-15</t>
  </si>
  <si>
    <t>8012047</t>
  </si>
  <si>
    <t>comercial.bogota@evaluasalud.com</t>
  </si>
  <si>
    <t>062-2018</t>
  </si>
  <si>
    <t>RIVEROS BOTERO COMPAÑÍA</t>
  </si>
  <si>
    <t>OSWALD MEZA</t>
  </si>
  <si>
    <t>LUZ MIRYAM BOTERO OSPINA</t>
  </si>
  <si>
    <t>800,184,048-4</t>
  </si>
  <si>
    <t>AV BOYACA  # 64 F -50</t>
  </si>
  <si>
    <t>7447551</t>
  </si>
  <si>
    <t>gerencia@productosplasticos.co</t>
  </si>
  <si>
    <t>063-2018</t>
  </si>
  <si>
    <t>SUMINISTRO DE INSUMOS MEDICOS QUIRURGICOS PARA LA REALIZACION DEL PROGRAMA QUIRURGICO EN SALAS DE CIRUGIA Y UNIDAD CLINICO QUIRURGICA DEL HOSPITAL MILITAR CENTRAL</t>
  </si>
  <si>
    <t>WILLIAM SANCHEZ MALDONADO</t>
  </si>
  <si>
    <t>RAFAEL ARANGO CHAVARRIAGA</t>
  </si>
  <si>
    <t>830,025,149-8</t>
  </si>
  <si>
    <t>CALLE 116 # 7-15OFICINA 1101</t>
  </si>
  <si>
    <t>66837777-135</t>
  </si>
  <si>
    <t>ruth.isneida.gaviria@medtronic.com</t>
  </si>
  <si>
    <t>064-2018</t>
  </si>
  <si>
    <t>LM.INSTRUMENTS</t>
  </si>
  <si>
    <t>HECTOR ORJUELA PEREZ</t>
  </si>
  <si>
    <t>JUAN FRANCISCO SANCHEZ</t>
  </si>
  <si>
    <t>800,077,635-1</t>
  </si>
  <si>
    <t>CARRERA 68 D # 25 B -86 OFICINA 518</t>
  </si>
  <si>
    <t>4272000</t>
  </si>
  <si>
    <t>aslicitacion2@lminstruments.com.co</t>
  </si>
  <si>
    <t>065-2018</t>
  </si>
  <si>
    <t>VIGON COLOMBIA</t>
  </si>
  <si>
    <t>MARCELA PATRICIA FORERO</t>
  </si>
  <si>
    <t>066-2018</t>
  </si>
  <si>
    <t>MILENIUM MEDICAL</t>
  </si>
  <si>
    <t>IVONNE LOPEZ</t>
  </si>
  <si>
    <t>STELLA TORRES PUENTES</t>
  </si>
  <si>
    <t>900,167,249-9</t>
  </si>
  <si>
    <t>CARRERA 23 # 124 -87  OFICINA 804  TORRE II</t>
  </si>
  <si>
    <t>6191583</t>
  </si>
  <si>
    <t>liliana.ramirez@milmedical.net</t>
  </si>
  <si>
    <t>067-2018</t>
  </si>
  <si>
    <t>WORLD MEDICAL</t>
  </si>
  <si>
    <t>NUBIA STELLA GAMBOA</t>
  </si>
  <si>
    <t>830,065,332-0</t>
  </si>
  <si>
    <t>CARRERA 7 # 156-68 PISO 28</t>
  </si>
  <si>
    <t>7433292</t>
  </si>
  <si>
    <t>seccomercial@wordmedical.com.co</t>
  </si>
  <si>
    <t>068-2018</t>
  </si>
  <si>
    <t>ARROW MEDICAL SAS</t>
  </si>
  <si>
    <t>CARLOS ALBERTO ARIAS PAEZ</t>
  </si>
  <si>
    <t>JUAN GUILLERMO TIRADO</t>
  </si>
  <si>
    <t>811,001,723-3</t>
  </si>
  <si>
    <t>CALLE 23 # 43 A -100</t>
  </si>
  <si>
    <t>3561111</t>
  </si>
  <si>
    <t>asistentecomercial@armocsa.com</t>
  </si>
  <si>
    <t>069-2018</t>
  </si>
  <si>
    <t>SIEMENS S.A.S</t>
  </si>
  <si>
    <t>GERARDO ALMANZA GONZALEZ</t>
  </si>
  <si>
    <t>900,931,305-0</t>
  </si>
  <si>
    <t>AUTOPISTA MEDELLIN KM 8,5 COSTADO SUR</t>
  </si>
  <si>
    <t>2942784</t>
  </si>
  <si>
    <t>diana.rubio@siemens-healthineers.com</t>
  </si>
  <si>
    <t>070-2018</t>
  </si>
  <si>
    <t>ALFA TRADING S.A.S</t>
  </si>
  <si>
    <t>CIRO HERNAN ANGEL TURMEQUE</t>
  </si>
  <si>
    <t>830,041,488-7</t>
  </si>
  <si>
    <t>CALLE 23 # 116-31 BODEGA 1</t>
  </si>
  <si>
    <t>4283966</t>
  </si>
  <si>
    <t>gerencia@instituciones@alfatrading.com.co</t>
  </si>
  <si>
    <t>071-2018</t>
  </si>
  <si>
    <t>LUIS EDUARDO MORENO MORENO</t>
  </si>
  <si>
    <t>860,506,831-7</t>
  </si>
  <si>
    <t>CALLE 123# 7-50</t>
  </si>
  <si>
    <t>6583100</t>
  </si>
  <si>
    <t>gerencia@biotronitech.com.co</t>
  </si>
  <si>
    <t>072-2018</t>
  </si>
  <si>
    <t>SHERLEG LABORATORIES</t>
  </si>
  <si>
    <t>MARTHA LIGIA CASTAÑO</t>
  </si>
  <si>
    <t>MARY ELLEN LEGUIZAMON</t>
  </si>
  <si>
    <t>900,539,662-5</t>
  </si>
  <si>
    <t>CALE 13 # 68 B -+26</t>
  </si>
  <si>
    <t>4059171</t>
  </si>
  <si>
    <t>ventas@sherleg.net</t>
  </si>
  <si>
    <t>073-2018</t>
  </si>
  <si>
    <t>W. LORENZ S.A</t>
  </si>
  <si>
    <t>ERICK MUÑOZ RODRIGUEZ</t>
  </si>
  <si>
    <t>GUSTAVO RODRIGUEZ</t>
  </si>
  <si>
    <t>830,007,935-4</t>
  </si>
  <si>
    <t>CALLE 98 # 18-71 OFICINA 801</t>
  </si>
  <si>
    <t>6227036</t>
  </si>
  <si>
    <t>gustavo.rodriguez@wlorenz.com.co</t>
  </si>
  <si>
    <t>074-2018</t>
  </si>
  <si>
    <t>COBO Y ASOCIADOS DE OCCIDENTE</t>
  </si>
  <si>
    <t>LUZ MARINA PAYAN RUBIANO</t>
  </si>
  <si>
    <t>890,331,949-3</t>
  </si>
  <si>
    <t>CARRERA 46 # 101 B -09</t>
  </si>
  <si>
    <t>6085000</t>
  </si>
  <si>
    <t>licitabogota2@cobomedical.com</t>
  </si>
  <si>
    <t>075-2018</t>
  </si>
  <si>
    <t>J.TECHMED SAS</t>
  </si>
  <si>
    <t xml:space="preserve">CONTRATACION DE UN MEDICO RADIOLOGO QUE REALICE ANALISIS DE INTERPRETACION DE IMÁGENES DEL HOSPITAL MILITAR CENTRAL  DRA. AURA MARIA DOMINGUEZ PERILLA </t>
  </si>
  <si>
    <t>ANGEL OCTAVIO DONADO</t>
  </si>
  <si>
    <t>JAVIER ALBERTO VALENZUELA</t>
  </si>
  <si>
    <t>900,812,131-6</t>
  </si>
  <si>
    <t>CALLE 2 # 3-72 CONSULTORIO 202</t>
  </si>
  <si>
    <t>3507679671</t>
  </si>
  <si>
    <t>javier@jtechmed.com.co</t>
  </si>
  <si>
    <t>076-2018</t>
  </si>
  <si>
    <t>JEFE MARTHA RODRIGUEZ</t>
  </si>
  <si>
    <t>licibogota2@cobomedical.com</t>
  </si>
  <si>
    <t>077-2018</t>
  </si>
  <si>
    <t>ISAIAS GODOY</t>
  </si>
  <si>
    <t>PRESTACION DE SERVICIOS PROFESIONAL PARA ELABORAR EL PLAN DE MANEJO FORESTAL DEL HOSPITAL MILITAR CENTRAL</t>
  </si>
  <si>
    <t>17,627,407-8</t>
  </si>
  <si>
    <t>CALLE 23 A # 60-35</t>
  </si>
  <si>
    <t>4702380</t>
  </si>
  <si>
    <t>gerenciagingenieria@gmail.com</t>
  </si>
  <si>
    <t>078-2018</t>
  </si>
  <si>
    <t>LABORATORIOS ALCON DE COLOMBIA</t>
  </si>
  <si>
    <t>NANCY CHAPARRO</t>
  </si>
  <si>
    <t>VICTORIA BRITO GOMEZ</t>
  </si>
  <si>
    <t>860,019,041-6</t>
  </si>
  <si>
    <t>CALLE 93 B  16-1</t>
  </si>
  <si>
    <t>4466633</t>
  </si>
  <si>
    <t>elizabeth.vega@alcon.com</t>
  </si>
  <si>
    <t>079-2018</t>
  </si>
  <si>
    <t>B. BRAUN MEDICAL</t>
  </si>
  <si>
    <t>MANUEL NICOLAS HERNANDEZ JIMENEZ</t>
  </si>
  <si>
    <t>ingrid.rangel@bbraun.com</t>
  </si>
  <si>
    <t>080-2018</t>
  </si>
  <si>
    <t>CORPORACION SINDROME DE DOWN</t>
  </si>
  <si>
    <t>LUZ EUGENIA GARCIA DE GALINDO</t>
  </si>
  <si>
    <t>800,037,619-0</t>
  </si>
  <si>
    <t xml:space="preserve">CARRERA 49 # 99-10 BARRIO LA CASTELLANA </t>
  </si>
  <si>
    <t>6249811</t>
  </si>
  <si>
    <t>administracion@corporacionsindromededown.org</t>
  </si>
  <si>
    <t>081-2018</t>
  </si>
  <si>
    <t xml:space="preserve">LIBARDO ENRIQUE LOBATO </t>
  </si>
  <si>
    <t>PRESTACION DE SERVICIO DE UN MEDICO ESPECIALISTA EN GASTROENTEROLOGIA EN EL HOSPITAL MILITAR CENTRAL</t>
  </si>
  <si>
    <t>HAROLDO JULIAO NACITH</t>
  </si>
  <si>
    <t>LIBARDO ENRIQUE LOBATO</t>
  </si>
  <si>
    <t>79,389,975</t>
  </si>
  <si>
    <t>BALCONES DE SALITRE CRA 72  A # 24-72 BLOQUE 7 APTO 602</t>
  </si>
  <si>
    <t>306571876</t>
  </si>
  <si>
    <t>LIBAR1982@HOTMAIL.COM</t>
  </si>
  <si>
    <t>082-2018</t>
  </si>
  <si>
    <t>JESUS ALBERTO ORTIZ</t>
  </si>
  <si>
    <t>LUZ STELLA MARQUEZ ZAMBRANO</t>
  </si>
  <si>
    <t>860,350,543-9</t>
  </si>
  <si>
    <t>CARRERA 18 A # 103-47</t>
  </si>
  <si>
    <t>8053992</t>
  </si>
  <si>
    <t>topmedical@topmedical.com.co</t>
  </si>
  <si>
    <t>083-2018</t>
  </si>
  <si>
    <t>RADIOTERAPIA ONCOLOGICA MARLY S.A</t>
  </si>
  <si>
    <t>PRESTACION DE SERVICIOS DE SALUD PARA REALIZAR PROCEDIMIENTOS DE RADIOTERAPIA DE PATOLOGIAS ONCOLOGICAS</t>
  </si>
  <si>
    <t>PAULA ANDREA GAITAN ROJAS</t>
  </si>
  <si>
    <t>HERNAN JOSE ESGUERRA VILLAMIZAR</t>
  </si>
  <si>
    <t>800,067,902-2</t>
  </si>
  <si>
    <t>CARRERA 9 # 49-22</t>
  </si>
  <si>
    <t>2878154</t>
  </si>
  <si>
    <t>administracion@radioterapiaoncologiamarly.com</t>
  </si>
  <si>
    <t>084-2018</t>
  </si>
  <si>
    <t>EQUIPOS CASA BLANCA SAS</t>
  </si>
  <si>
    <t>SUMINISTRO DE ELEMENTOS Y EQUIPOS DE PROTECCIÓN PERSONAL PARA TRABAJADORES DE LA ENTIDAD Y ESTUDIANTES QUE REALIZAN PRACTICAS A TRAVES DEL CONVENIO DEL SERVICIO DOCENCIA DEL HOSPITAL MILITAR CENTRAL</t>
  </si>
  <si>
    <t>DIANA MARCELA RODRIGUEZ Y PILAR VALERO</t>
  </si>
  <si>
    <t>CARLOS GUSTAVO BERNAL</t>
  </si>
  <si>
    <t>900,469,101-4</t>
  </si>
  <si>
    <t>CARRERA 70 C # 52-92</t>
  </si>
  <si>
    <t>3227195</t>
  </si>
  <si>
    <t>equiposcasablanca@gmal.com</t>
  </si>
  <si>
    <t>085-2018</t>
  </si>
  <si>
    <t>ASESORIAS Y PRODUCTOS EN PREVENCION Y SEGURIDAD S.A.S</t>
  </si>
  <si>
    <t>MARCO FIDEL SUAREZ BERMUDEZ</t>
  </si>
  <si>
    <t>900,642,766-2</t>
  </si>
  <si>
    <t>CARRERA 43 # 10 A -52</t>
  </si>
  <si>
    <t>4069600</t>
  </si>
  <si>
    <t>licitaciones@aspreseg.com</t>
  </si>
  <si>
    <t>086-2018</t>
  </si>
  <si>
    <t>JUAN MANUEL ARENAS PEREZ</t>
  </si>
  <si>
    <t>830,145,023-3</t>
  </si>
  <si>
    <t>CALLE 26 # 13-97</t>
  </si>
  <si>
    <t>5617679</t>
  </si>
  <si>
    <t>administrativo@gescom.com.co</t>
  </si>
  <si>
    <t>087-2018</t>
  </si>
  <si>
    <t>INSTRUMENTACION S.A</t>
  </si>
  <si>
    <t>SUMINISTRO DE ELEMENTOS DE NEUMOLOGIA DESTINADOS A LA ATENCION  DE PACIENTES DEL HOSPITAL MILITAR CENTRAL</t>
  </si>
  <si>
    <t xml:space="preserve">MARTHA LUCIA PINZON ALDANA </t>
  </si>
  <si>
    <t>RAFAEL EDUARDO CAMACHO</t>
  </si>
  <si>
    <t>86,001,130-4</t>
  </si>
  <si>
    <t>CARRERA 15 A # 118-12</t>
  </si>
  <si>
    <t>7477836</t>
  </si>
  <si>
    <t>instrumentacion@instrumentacion.com.co</t>
  </si>
  <si>
    <t>088-2018</t>
  </si>
  <si>
    <t>LM INSTRUMENTS S.A</t>
  </si>
  <si>
    <t>DIANA CATALINA CASTILLO</t>
  </si>
  <si>
    <t>089-2018</t>
  </si>
  <si>
    <t>RENAL MEDICAL MARKETING LTDA</t>
  </si>
  <si>
    <t>ALVARO TAFUR ANZOLA</t>
  </si>
  <si>
    <t>MARTHA ELENA CAMERO</t>
  </si>
  <si>
    <t>800,182,918-8</t>
  </si>
  <si>
    <t>CELTA TRADE PARK AUTOPISTA MEDELLIN KM 7,8 BODEGA 146</t>
  </si>
  <si>
    <t>8966429</t>
  </si>
  <si>
    <t>d.ventas@renal-medical.com</t>
  </si>
  <si>
    <t>FUNZA</t>
  </si>
  <si>
    <t>090-2018</t>
  </si>
  <si>
    <t>091-2018</t>
  </si>
  <si>
    <t>OPIMED S.A.S</t>
  </si>
  <si>
    <t>LUZ MARIA ESPINOSA MORENO</t>
  </si>
  <si>
    <t>830,062,565-6</t>
  </si>
  <si>
    <t>CALLE 97 # 61-93</t>
  </si>
  <si>
    <t>6226466</t>
  </si>
  <si>
    <t>ventas@opimed.com.co</t>
  </si>
  <si>
    <t>092-2018</t>
  </si>
  <si>
    <t>ALL TECHNOLOGICAL SERVICES</t>
  </si>
  <si>
    <t>YEISON JONAS GARZON</t>
  </si>
  <si>
    <t>900,627,060-9</t>
  </si>
  <si>
    <t>CALLE 64 C # 111 C -56</t>
  </si>
  <si>
    <t>8140874</t>
  </si>
  <si>
    <t>ats.technological@gmail.com</t>
  </si>
  <si>
    <t>093-2018</t>
  </si>
  <si>
    <t>LUIS EDUARDO NIÑO OLIVEROS</t>
  </si>
  <si>
    <t>5,561,444</t>
  </si>
  <si>
    <t>CARRERA 70 C # 51-60</t>
  </si>
  <si>
    <t>4297393</t>
  </si>
  <si>
    <t>imadx@hotmail.com</t>
  </si>
  <si>
    <t>094-2018</t>
  </si>
  <si>
    <t>INSTITUTO COLOMBIANO DE NORMAS TÉCNICAS Y CERTIFICACIÓN (ICONTEC)</t>
  </si>
  <si>
    <t>“PRESTACIÓN DE SERVICIOS DE AUDITORIA Y SEGUIMIENTO DE LA CERFICIACIÓN ISO 9001 DE LA ESCUELA DE ENFERMERÍA DEL HOSPITAL MILITAR CENTRAL EN LA NORMA TÉCNICA COLOMBIANA 5555-5663”.</t>
  </si>
  <si>
    <t>CLAUDIA PEREZ SANTOS</t>
  </si>
  <si>
    <t>860,012,336-1</t>
  </si>
  <si>
    <t>CARRERA 13 # 97-75</t>
  </si>
  <si>
    <t>6078888</t>
  </si>
  <si>
    <t>gposada@icontec.org</t>
  </si>
  <si>
    <t>095-2018</t>
  </si>
  <si>
    <t>JOSE ANTONIO CUERVO</t>
  </si>
  <si>
    <t>800,240,740-3</t>
  </si>
  <si>
    <t>CARRERA 47 # 134-45</t>
  </si>
  <si>
    <t>3835581</t>
  </si>
  <si>
    <t>toyocarsltda@gmail.com</t>
  </si>
  <si>
    <t>096-2018</t>
  </si>
  <si>
    <t>MUNDOVENDING COLOMBIA SAS</t>
  </si>
  <si>
    <t>“ARRENDAMIENTO DEL ESPACIO DONDE SE PRESTARÁ EL SERVICIO DE UNA (01) MÁQUINA DISPENSADORA AUTOMÁTICA DE BEBIDAS CALIENTES Y UNA (01) MÁQUINA DE SNACK PARA SER INSTALADAS EN EL PISO 13 DEL HOSPITAL MILITAR CENTRAL</t>
  </si>
  <si>
    <t>JAVIER HERNANDO PEREZ</t>
  </si>
  <si>
    <t>900,304,223-6</t>
  </si>
  <si>
    <t>CALLE 25 G # 73 B -13 MODELIA</t>
  </si>
  <si>
    <t>4101022</t>
  </si>
  <si>
    <t>comercial@mundovending.com.co</t>
  </si>
  <si>
    <t>097-2018</t>
  </si>
  <si>
    <t>HANNA INSTRUMENTS SAS</t>
  </si>
  <si>
    <t>ADQUSICIÓN DE UN (1) FOTÓMETRO MULTIPARAMETRO, UN (1) MEDIDOR PORTÁTIL DE TURBIDEZ Y CLORO CON SUS RESPECTIVOS REACTIVOS</t>
  </si>
  <si>
    <t>PABLO HERNANDO BOTERO</t>
  </si>
  <si>
    <t>900,352,772-2</t>
  </si>
  <si>
    <t>CARRERA 98  # 3-25G -10 BODEGA 9</t>
  </si>
  <si>
    <t>5189995</t>
  </si>
  <si>
    <t>VENTAS@HANNACOLOMBIA.COM</t>
  </si>
  <si>
    <t>098-2018</t>
  </si>
  <si>
    <t>CBC INGENIERIA CIVIL</t>
  </si>
  <si>
    <t>MANTENIMIENTO E IMPERMEABILIZACION DE LAS CUBIERTAS QUE COMPRENDE LAS EDIFICACIOBES EN EL HOSPITAL MILITAR CENTRAL</t>
  </si>
  <si>
    <t>CARLOS ENRIQUE MORALES</t>
  </si>
  <si>
    <t>CARLOS MAURICIO BOHORQUEZ</t>
  </si>
  <si>
    <t>800,121,733-1</t>
  </si>
  <si>
    <t>CARRERA 19 A # 23  A - 40</t>
  </si>
  <si>
    <t>2685743</t>
  </si>
  <si>
    <t>cbc_ingenieriacivil@hotmail.com</t>
  </si>
  <si>
    <t>099-2018</t>
  </si>
  <si>
    <t>PHARMEUROPEA COLOMBIA</t>
  </si>
  <si>
    <t>ALEXANDER ANAYA ALARCON</t>
  </si>
  <si>
    <t>930,088,135-5</t>
  </si>
  <si>
    <t>CARRERA 88  A # 64 D -32</t>
  </si>
  <si>
    <t>2230562</t>
  </si>
  <si>
    <t>nubiaurrego@phameuropea.com.co</t>
  </si>
  <si>
    <t>100-2018</t>
  </si>
  <si>
    <t>IMPULSORES INTERNACIONALES</t>
  </si>
  <si>
    <t>ARRENDAMIENTO DE 9 EQUIPOS DE ECOGRAFIA INCLUYENDO MANTENIMIENTO PARA EL HOSPITAL MILITAR CENTRAL</t>
  </si>
  <si>
    <t>ANTONIO MELO SANTANDER</t>
  </si>
  <si>
    <t>WILSON MIGUEL PINILLA ORTEGA</t>
  </si>
  <si>
    <t>6488070</t>
  </si>
  <si>
    <t>101-2018</t>
  </si>
  <si>
    <t>ARRENDAMIENTO DE UN (01) ASPIRADOR DISECTOR ULTRASÓNICO PARA LOS SERVICIOS DEL HOSPITAL MILITAR CENTRAL</t>
  </si>
  <si>
    <t>CIRO ANTONIO VEGA</t>
  </si>
  <si>
    <t>860,503,565-9</t>
  </si>
  <si>
    <t>AV CARRERA 20 # 87-17</t>
  </si>
  <si>
    <t>6220255</t>
  </si>
  <si>
    <t>cotizaciones@lainstrumentadora.com</t>
  </si>
  <si>
    <t>102-2018</t>
  </si>
  <si>
    <t>NELSON ENRIQUE LOPEZ VARGAS</t>
  </si>
  <si>
    <t>830,067,414-5</t>
  </si>
  <si>
    <t>TRANSVERSAL 95 BIS A # 25 D -55</t>
  </si>
  <si>
    <t>7429393</t>
  </si>
  <si>
    <t>info.colombia@kaeser.com</t>
  </si>
  <si>
    <t>103-2018</t>
  </si>
  <si>
    <t>ECOLOGÍA Y ENTORNO S.A.S E.S.P. ECOENTORNO</t>
  </si>
  <si>
    <t>SERVICIO DE GESTIÓN EXTERNA (RECOLECCIÓN, TRANSPORTE, TRATAMIENTO Y DISPOSICIÓN FINAL) PARA LOS RESIDUOS PELIGROSOS DE RIESGO QUÍMICO INCLUYENDO RECIPIENTES PARA EL ALMACENAMIENTO TEMPORAL CENTRAL DE LA INSTITUCIÓN</t>
  </si>
  <si>
    <t>MARGARITA MARIA  CADAVID ESCOBAR</t>
  </si>
  <si>
    <t>80,193,444-6</t>
  </si>
  <si>
    <t>CARRERA 12 # 79-32 EFICIO ORION OFICINA 601</t>
  </si>
  <si>
    <t>6926604-05</t>
  </si>
  <si>
    <t>servicios@ecoentorno.com</t>
  </si>
  <si>
    <t>104-2018</t>
  </si>
  <si>
    <t>TECNICA ELECTROMEDICA SA</t>
  </si>
  <si>
    <t>HERNAN MOLANO RIVERO</t>
  </si>
  <si>
    <t>830,004,892-2</t>
  </si>
  <si>
    <t>CALLE 47 # 5-26</t>
  </si>
  <si>
    <t>7568787</t>
  </si>
  <si>
    <t>licitaciones@tecnicaelectromedica.com</t>
  </si>
  <si>
    <t>105-2018</t>
  </si>
  <si>
    <t>PRESTACIÓN DE SERVICIOS PARA REALIZAR PROCEDIMIENTOS DE PRUEBAS CONFIRMATORIAS DE LOS DONANTES DE SANGRE ATENDIDOS EN EL HOSPITAL MILITAR CENTRAL</t>
  </si>
  <si>
    <t>PAULA CORDON PAZMIÑO</t>
  </si>
  <si>
    <t>ABDON MARCELO  ANDRADE CHAVEZ</t>
  </si>
  <si>
    <t>800,066,001--3</t>
  </si>
  <si>
    <t>CALLE 49 # 13-60</t>
  </si>
  <si>
    <t>7447555</t>
  </si>
  <si>
    <t>asistentecomercial1@laboratoriocolcan.co</t>
  </si>
  <si>
    <t>106-2018</t>
  </si>
  <si>
    <t>G&amp;C MEDICAL SAS</t>
  </si>
  <si>
    <t>MIGUEL FELIPE CONTRERAS BARRAGAN</t>
  </si>
  <si>
    <t>830,134,409-5</t>
  </si>
  <si>
    <t>CALLE 40 # 25-0</t>
  </si>
  <si>
    <t>3224175</t>
  </si>
  <si>
    <t>GYC.MEDICALS@GMAIL.COM</t>
  </si>
  <si>
    <t>107-2018</t>
  </si>
  <si>
    <t>J RESTREPO EQUIPOS LTDA</t>
  </si>
  <si>
    <t>ADQUSICION DE PROTECTORES PLOMADOS PARA JERINGAS PARA MEDICINA NUCLEAR</t>
  </si>
  <si>
    <t>LUZ STELLA GOMEZ BAYONA</t>
  </si>
  <si>
    <t>860,090,324-6</t>
  </si>
  <si>
    <t>CALLE 134 # 7-83 TORRE 1 PISO 3 OFICINA 131-132</t>
  </si>
  <si>
    <t>7954410</t>
  </si>
  <si>
    <t>maritza.castro@equiphos.com</t>
  </si>
  <si>
    <t>108-2018</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</si>
  <si>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</si>
  <si>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JUAN GUILLERRMO TIRADO</t>
  </si>
  <si>
    <t>109-2018</t>
  </si>
  <si>
    <t>COLCHONES PRODESCANSO SAS</t>
  </si>
  <si>
    <t>SUMINISTRO DE ELEMENTOS PARA COMPLEMENTO DE HABITACIONES Y CONFECCION DE PRENDAS HOSPITALARIAS DEL HOSPITAL MILITAR CENTRAL</t>
  </si>
  <si>
    <t>LAUREANO CUADROS DUARTE</t>
  </si>
  <si>
    <t>830,010,270-6</t>
  </si>
  <si>
    <t>CARRERA 100 # 133 A -36</t>
  </si>
  <si>
    <t>6824648</t>
  </si>
  <si>
    <t>licitaciones@colchonesprodescanso.com</t>
  </si>
  <si>
    <t>110-2018</t>
  </si>
  <si>
    <t>MANUFACTURAS CREARE SAS</t>
  </si>
  <si>
    <t>SERGIO CRUZ GORDON</t>
  </si>
  <si>
    <t>LIGIA STELLA GONZALEZ</t>
  </si>
  <si>
    <t>900,361,753-0</t>
  </si>
  <si>
    <t>CALLE 56 # 20-21</t>
  </si>
  <si>
    <t>2559347</t>
  </si>
  <si>
    <t>m.creare@gmail.com</t>
  </si>
  <si>
    <t>111-2018</t>
  </si>
  <si>
    <t>MACROSEARCH LTDA</t>
  </si>
  <si>
    <t>LUZ AMPARO RAMIREZ</t>
  </si>
  <si>
    <t>830,071,701-1</t>
  </si>
  <si>
    <t>CALLE 103 # 45 A -29</t>
  </si>
  <si>
    <t>6002126</t>
  </si>
  <si>
    <t>MACROSEARCHLTDA.VENTAS@YAHOO.COM</t>
  </si>
  <si>
    <t>112-2018</t>
  </si>
  <si>
    <t>IMCOLMEDICA S.A</t>
  </si>
  <si>
    <t>ADQUISICIÓN DE AYUDAS DIDÁCTICAS PARA LA CAPACITACIÓN DE ESTUDIANTES DE LA ESCUELA DE ENFERMERÍA Y PERSONAL DEL HOSPITAL MILITAR CENTRAL”</t>
  </si>
  <si>
    <t>JULIETA BARRERA CORONADO</t>
  </si>
  <si>
    <t>113-2018</t>
  </si>
  <si>
    <t>PROYNS SAS</t>
  </si>
  <si>
    <t>LUIS FELIPE LEAL ROCHOUX</t>
  </si>
  <si>
    <t>860,526,532-5</t>
  </si>
  <si>
    <t>CARRERA 27 # 76-14</t>
  </si>
  <si>
    <t>7424132</t>
  </si>
  <si>
    <t>info@proyns.com</t>
  </si>
  <si>
    <t>114-2018</t>
  </si>
  <si>
    <t>SUMINISTRO Y ADAPTACION DE PROTESIS OCULARES PARA LA REHABILITACION DE LOS PACIENTES QUE TENGAN DIAGNOSTICO DE CAVIDAD ANOFTALMICA</t>
  </si>
  <si>
    <t>ELIZABETH RINCON MARQUEZ</t>
  </si>
  <si>
    <t>52,056,976-3</t>
  </si>
  <si>
    <t>CARRERA 8 BIS # 155-48</t>
  </si>
  <si>
    <t>6793498</t>
  </si>
  <si>
    <t>teylor2012@gmail.com</t>
  </si>
  <si>
    <t>115-2018</t>
  </si>
  <si>
    <t>MEDIIHUMANA COLOMBIA</t>
  </si>
  <si>
    <t>SUMINISTRO DE MATERIAL DE RAHABILITACION EN OTORRINO PARA LOS USUARIOS Y BENEFICIARIOS DEL HOSPITAL MILITAR CENTRAL</t>
  </si>
  <si>
    <t>RICARDO SIVA RUEDA</t>
  </si>
  <si>
    <t>ELIZABETH GOMEZ OSSA</t>
  </si>
  <si>
    <t>830,055,758-1</t>
  </si>
  <si>
    <t>CALLE 90 # 19 A -49 OFICINA 706</t>
  </si>
  <si>
    <t>6114015</t>
  </si>
  <si>
    <t>acardenas@medihumana.com</t>
  </si>
  <si>
    <t>116-2018</t>
  </si>
  <si>
    <t>MEDINISTROS Y CIA LTDA</t>
  </si>
  <si>
    <t>GILBERTO ANTONIO POSADA URIBE</t>
  </si>
  <si>
    <t>830,053,755-0</t>
  </si>
  <si>
    <t>CALLE 72 # 22-42 OFICINA 301</t>
  </si>
  <si>
    <t>2174239</t>
  </si>
  <si>
    <t>paola.baez@medinistros.com</t>
  </si>
  <si>
    <t>117-2018</t>
  </si>
  <si>
    <t>RP MEDICAS SA</t>
  </si>
  <si>
    <t>SUMINISTRO DE CINTAS PARA INCONTINENCIA URINARIA FEMENINA TVT Y TOT, PARA LOS PACIENTES DEL SERVICIO DE UROLOGÍA DEL HOSPITAL MILITAR CENTRAL</t>
  </si>
  <si>
    <t>CARMANZA CUARTAS GUZMAN</t>
  </si>
  <si>
    <t>118-2018</t>
  </si>
  <si>
    <t>MANTENIMIENTO PREVENTIVO EQUIPO MOTO GENERADOR</t>
  </si>
  <si>
    <t>JAVIER VEGA TABOADA</t>
  </si>
  <si>
    <t>YEISON JONAS GARZON GONZALEZ</t>
  </si>
  <si>
    <t>119-2018</t>
  </si>
  <si>
    <t>KAMEX INTERNACIONAL</t>
  </si>
  <si>
    <t>SUMINISTRO DE ELEMENTOS DE LINEA BLANDA Y APOYO EXTERNO INTERVENCIONES QUIRURGICAS</t>
  </si>
  <si>
    <t>WILLIAM RAFAEL ARBELAEZ</t>
  </si>
  <si>
    <t>MARIO ORLANDO MALDONADO PEREZ</t>
  </si>
  <si>
    <t>860,060,704-5</t>
  </si>
  <si>
    <t>CARRERA 8 E  # 6-10</t>
  </si>
  <si>
    <t>5932525</t>
  </si>
  <si>
    <t>jefe.licitacion@kamexinternational.com.co</t>
  </si>
  <si>
    <t>ZIPAQUIRA</t>
  </si>
  <si>
    <t>120-2018</t>
  </si>
  <si>
    <t>HB SUPPLIER</t>
  </si>
  <si>
    <t>SUMINISTRO DE FILTRO PARA LA ATENCION DE PACIENTES</t>
  </si>
  <si>
    <t>MARTHA RODRIGUEZ FIGUEROA</t>
  </si>
  <si>
    <t>AICARDO BONILLA VELANDIA</t>
  </si>
  <si>
    <t>830,126,,596-0</t>
  </si>
  <si>
    <t>CARRERA 21 A # 172-17</t>
  </si>
  <si>
    <t>6780040</t>
  </si>
  <si>
    <t>corporativo@hbdsupplier.com</t>
  </si>
  <si>
    <t>121-2018</t>
  </si>
  <si>
    <t>GRUPO GEMILSA SA</t>
  </si>
  <si>
    <t>MANTENIMIENTO PREVENTIVO Y LOS CORRECTIVOS NECESARIOS PARA LOS RODILLOS DEL SISTEMA DE PLANCHADO DE LOS EQUIPOS DE LAVANDERIA</t>
  </si>
  <si>
    <t>JORGE PINZON CASTIBLANCO</t>
  </si>
  <si>
    <t>900,257,051-4</t>
  </si>
  <si>
    <t>CALLE 12 A # 68 C -03</t>
  </si>
  <si>
    <t>7430070</t>
  </si>
  <si>
    <t>licitaciones.gemlsa@gmail.com</t>
  </si>
  <si>
    <t>122-2018</t>
  </si>
  <si>
    <t>VJ.CARDIOSISTEMAS</t>
  </si>
  <si>
    <t>SUMINISTRO DE INSUMOS PARA LOS PROCEDIMIENTOS DE RADIOLOGIA</t>
  </si>
  <si>
    <t>LUIS FERNANDO VELANDIA CARDENAS</t>
  </si>
  <si>
    <t>800,003,215-2</t>
  </si>
  <si>
    <t>CALLE 106 A # 45 A - 35</t>
  </si>
  <si>
    <t>6184421</t>
  </si>
  <si>
    <t>ventas@vjcardiosistemas.com</t>
  </si>
  <si>
    <t>123-2018</t>
  </si>
  <si>
    <t>FOTOTERAPIA BOJANINI Y LOPEZ SAS</t>
  </si>
  <si>
    <t>MARTHA PATRICIA ROBAYO</t>
  </si>
  <si>
    <t>ANGELA SUSANA LOPEZ FAJARDO</t>
  </si>
  <si>
    <t>800,236,964-0</t>
  </si>
  <si>
    <t>CALLE 125 # 19-89</t>
  </si>
  <si>
    <t>6372151</t>
  </si>
  <si>
    <t>angelalopez106@msm.com</t>
  </si>
  <si>
    <t>124-2018</t>
  </si>
  <si>
    <t>FUNDACION CARDIO INFANTIL</t>
  </si>
  <si>
    <t>LILIAN ANDREA HIDALGO</t>
  </si>
  <si>
    <t>860,035,992-2</t>
  </si>
  <si>
    <t>CALLE 163 A # 13 B - 60</t>
  </si>
  <si>
    <t>6672717</t>
  </si>
  <si>
    <t>yppena@cardioinfantil.org</t>
  </si>
  <si>
    <t>125-2018</t>
  </si>
  <si>
    <t>J.RESTREPO EQUIPOS LTDA</t>
  </si>
  <si>
    <t>LUZ STELA GOMEZ BAYONA</t>
  </si>
  <si>
    <t>126-2018</t>
  </si>
  <si>
    <t>ANDREC SURGICAL</t>
  </si>
  <si>
    <t>ANDRES FERNANDO RUALES</t>
  </si>
  <si>
    <t>830103,910-1</t>
  </si>
  <si>
    <t>AK 7 # 72-64 INT 10</t>
  </si>
  <si>
    <t>2121911</t>
  </si>
  <si>
    <t>carlosr@andreccorporation.com</t>
  </si>
  <si>
    <t>127-2018</t>
  </si>
  <si>
    <t>ANULADO</t>
  </si>
  <si>
    <t>128-2018</t>
  </si>
  <si>
    <t>PANAMERICAN INSTRUMENTS LTDA</t>
  </si>
  <si>
    <t>ROBINSON AUGUSTO RAMIREZ</t>
  </si>
  <si>
    <t>830,011,469-9</t>
  </si>
  <si>
    <t>CARRERA 11 # 93-93 OFICINA 303</t>
  </si>
  <si>
    <t>6106214</t>
  </si>
  <si>
    <t>compras@panamericaninstruments.com.co</t>
  </si>
  <si>
    <t>129-2018</t>
  </si>
  <si>
    <t>BANCO DAVIVIENDA S.A</t>
  </si>
  <si>
    <t>ARRENDAMIENTO DE UN ÁREA FÍSICA DETERMINADA EN (13.56) METROS CUADRADOS PARA EL USO DE CAJEROS AUTOMÁTICOS EN EL HOSPITAL MILITAR CENTRAL</t>
  </si>
  <si>
    <t>NELSON MOSSOS CHAVEZ</t>
  </si>
  <si>
    <t>ANGELA MERCEDEZ GUTIERREZ</t>
  </si>
  <si>
    <t>860,034,313-7</t>
  </si>
  <si>
    <t>CALLE 28  # 13 A -15 PISO 33</t>
  </si>
  <si>
    <t>3300000</t>
  </si>
  <si>
    <t>heospina@davivienda.com</t>
  </si>
  <si>
    <t>130-2018</t>
  </si>
  <si>
    <t>OFIEXPORT SAS</t>
  </si>
  <si>
    <t>ADQUISICION DE SILLAS PARA LAS AREAS ASISTENCIALES Y ADMINISTRATIVAS DEL HOSPITAL MILITAR CENTRAL</t>
  </si>
  <si>
    <t>RUBEN DARIO ARBOLEDA</t>
  </si>
  <si>
    <t>802,023,673-5</t>
  </si>
  <si>
    <t>CALLE 61 # 44-06</t>
  </si>
  <si>
    <t>3694132</t>
  </si>
  <si>
    <t>sefanyac2412@gmail.com</t>
  </si>
  <si>
    <t>131-2018</t>
  </si>
  <si>
    <t>COMSISTELCO</t>
  </si>
  <si>
    <t>MANTENIMIENTO DE EQUIPOS DE CÓMPUTO E IMPRESORAS CON LA INCLUSIÓN DE REPUESTOS NUEVOS NO REMANUFACTURADOS PARA EL HOSPITAL MILITAR CENTRAL</t>
  </si>
  <si>
    <t>JONATHAN REYES</t>
  </si>
  <si>
    <t>EDILBERTO OLIVARES GUZMAN</t>
  </si>
  <si>
    <t>830,007,379-9</t>
  </si>
  <si>
    <t>CARRERA 20 C # 75 A -27</t>
  </si>
  <si>
    <t>7436643</t>
  </si>
  <si>
    <t>jolivares@comsistelco.com</t>
  </si>
  <si>
    <t>132-2018</t>
  </si>
  <si>
    <t>CIA ASESORA DE ESPECIALIDADES QUIMICAS</t>
  </si>
  <si>
    <t>SUMINISTRO DE PRODUCTOS QUIMICOS NECESARIOS PARA EL TRATAMIENTO  ADECUADO DEL AGUA NECESARIOS PARA LA OPTIMA PRESTACION DE LOS SERVICIOS EN EL HOSPITAL MILITAR CENTRAL</t>
  </si>
  <si>
    <t>GLORIA AMPARO ALMECIGA</t>
  </si>
  <si>
    <t>133-2018</t>
  </si>
  <si>
    <t>YANIRA GARCIA BELLO</t>
  </si>
  <si>
    <t>900,326,680-3</t>
  </si>
  <si>
    <t>AV CALLE 127 # 19 A -8 CASA 303</t>
  </si>
  <si>
    <t>6143704</t>
  </si>
  <si>
    <t>gastromedics@hotmail.com</t>
  </si>
  <si>
    <t>134-2018</t>
  </si>
  <si>
    <t>SUMINISTRO DE ELEMENTOS PARA LABORATORIO PATOLOGIA</t>
  </si>
  <si>
    <t>PABLO GONZALEZ MARTINEZ</t>
  </si>
  <si>
    <t>860,501,595-0</t>
  </si>
  <si>
    <t>CARRERA 54 # 44 A 37</t>
  </si>
  <si>
    <t>2221225</t>
  </si>
  <si>
    <t>biocol@outlook.com</t>
  </si>
  <si>
    <t>135-2018</t>
  </si>
  <si>
    <t>136-2018</t>
  </si>
  <si>
    <t>EXPERTOS INGENIEROS S.A</t>
  </si>
  <si>
    <t>SERVICIO DE LAVADO Y DESINFECCIÓN DE TANQUES DE ALMACENAMIENTO DE AGUA POTABLE CON ANÁLISIS FÍSICO-QUÍMICO Y MICROBIOLÓGICO DEL HOSPITAL MILITAR CENTRAL</t>
  </si>
  <si>
    <t>MARIA ALEJANDRA LOTERO</t>
  </si>
  <si>
    <t>900,150,067-0</t>
  </si>
  <si>
    <t>CARRERA 57 # 92-15</t>
  </si>
  <si>
    <t>6557615</t>
  </si>
  <si>
    <t>expertosingenieros@hotmail.com</t>
  </si>
  <si>
    <t>137-2018</t>
  </si>
  <si>
    <t>ANDRES JARAMILLO GIRALDO</t>
  </si>
  <si>
    <t>811,030,191-9</t>
  </si>
  <si>
    <t xml:space="preserve">CARRERA 49 # 61 SUR </t>
  </si>
  <si>
    <t>4441177</t>
  </si>
  <si>
    <t>comercial@equitronic.com.co</t>
  </si>
  <si>
    <t>138-2018</t>
  </si>
  <si>
    <t>ELECTRICOS UNIDOS LTDA</t>
  </si>
  <si>
    <t>SUMINISTRO DE ELEMENTOS DE CONSTRUCCION, MATERIALES DE FERRETERIA, MATERIALES PARA REDES DE COMUNICACIONES Y HERRAMIENTAS NECESARIOS PARA EL MANTENIMIENTO DE LAS INSTALACIONES DEL HOSPITAL MILITAR CENTRAL</t>
  </si>
  <si>
    <t>JOSE ADELMO VARGAS VELOSA</t>
  </si>
  <si>
    <t>860,040,785-4</t>
  </si>
  <si>
    <t>CALLE 16 # 12-21</t>
  </si>
  <si>
    <t>2862866</t>
  </si>
  <si>
    <t>electricos_unidos@hotmail.com</t>
  </si>
  <si>
    <t>139-2018</t>
  </si>
  <si>
    <t>FERRETERIA BRAND LTDA</t>
  </si>
  <si>
    <t>GUSTAVO BRAND NOGUERA</t>
  </si>
  <si>
    <t>830,109,420-1</t>
  </si>
  <si>
    <t>CALLE 15 # 20-71</t>
  </si>
  <si>
    <t>2084882</t>
  </si>
  <si>
    <t>adiaz@brandcenter.com.co</t>
  </si>
  <si>
    <t>140-2018</t>
  </si>
  <si>
    <t>SUPLEMEDICOS</t>
  </si>
  <si>
    <t>ADQUSICION DE UNA MESA PARA ESPICAS PEDIATRICAS</t>
  </si>
  <si>
    <t>ALBERTO RESTREPO BRAVO</t>
  </si>
  <si>
    <t>811,041,784-3</t>
  </si>
  <si>
    <t>CALLE 66 A # 43-02</t>
  </si>
  <si>
    <t>3743840</t>
  </si>
  <si>
    <t>cvasquez@diverquin.cm.co</t>
  </si>
  <si>
    <t>ANTIOQUIA</t>
  </si>
  <si>
    <t>141-2018</t>
  </si>
  <si>
    <t>HIDROQUALITY S.A.S</t>
  </si>
  <si>
    <t>SERVICIO DE OPERACIÓN DEL SISTEMA DE TRATAMIENTO DE AGUA RESIDUAL DOMESTICA DEL HOSPITAL MILITAR CENTRAL, CON CAPACIDAD DE 4,2 LITROS, INCLUIDOS LOS CONSUMIBLES (BACTERIAS, HIPOCLORITO Y FILTROS DE AIRE) QUE SE REQUIERAN PARA EL PROCESO</t>
  </si>
  <si>
    <t>LINA LUCIA LEON</t>
  </si>
  <si>
    <t>900,935,259-8</t>
  </si>
  <si>
    <t>CALLE 75 A # 64-44</t>
  </si>
  <si>
    <t>8269136</t>
  </si>
  <si>
    <t>hidroquialitysas@gmail.com</t>
  </si>
  <si>
    <t>142-2018</t>
  </si>
  <si>
    <t>BIOPLAST S.A</t>
  </si>
  <si>
    <t>“SUMINISTRO DE INSUMOS MÉDICO-QUIRÚRGICOS (ELECTRODOS DESECHABLES ADULTO Y PEDIÁTRICO, EXTENSION DE ANESTESIA LLAVES DE TRES VIAS) PARA LA REALIZACIÓN DEL PROGRAMA QUIRÚRGICO EN SALAS DE CIRUGÍA Y LOS DEMÁS SERVICIOS QUE COMPONEN LA UNIDAD CLÍNICO QUIRÚRGICA DEL HOSPITAL MILITAR CENTRAL”</t>
  </si>
  <si>
    <t>JUAN FERNANDO MALDONADO</t>
  </si>
  <si>
    <t>143-2018</t>
  </si>
  <si>
    <t>SHERLEG LABORATORIES S.A.S</t>
  </si>
  <si>
    <t>SUMINISTRO DE INSUMOS MÉDICO-QUIRÚRGICOS (ELECTRODOS DESECHABLES ADULTO Y PEDIÁTRICO, EXTENSION DE ANESTESIA LLAVES DE TRES VIAS) PARA LA REALIZACIÓN DEL PROGRAMA QUIRÚRGICO EN SALAS DE CIRUGÍA Y LOS DEMÁS SERVICIOS QUE COMPONEN LA UNIDAD CLÍNICO QUIRÚRGICA DEL HOSPITAL MILITAR CENTRAL</t>
  </si>
  <si>
    <t>MARY ELLEN LEGUIZAMON AVILA</t>
  </si>
  <si>
    <t>CALLE 13 # 68 B -26</t>
  </si>
  <si>
    <t>144-2018</t>
  </si>
  <si>
    <t>CARDIO INSUMOS S.A.S</t>
  </si>
  <si>
    <t>IVONE ADRIANA ARISTIZABAL HERNANDEZ</t>
  </si>
  <si>
    <t>900,378,315-2</t>
  </si>
  <si>
    <t>CALLE 187 # 20-85 LOCAL 129</t>
  </si>
  <si>
    <t>7048916</t>
  </si>
  <si>
    <t>ventas@cardioinsumos.com</t>
  </si>
  <si>
    <t>145-2018</t>
  </si>
  <si>
    <t>OXIGENOS DE COLOMBIA LTDA</t>
  </si>
  <si>
    <t>SUMINISTRO DE GASES MEDICINALES PARA LOS DIFERENTES SERVICIOS QUE PRESTA EL HOSPITAL MILITAR CENTRAL</t>
  </si>
  <si>
    <t>ALEXANDER RAMIREZ</t>
  </si>
  <si>
    <t xml:space="preserve">SERGIO NOVELLI SA SILVA </t>
  </si>
  <si>
    <t>860,040,094-3</t>
  </si>
  <si>
    <t>AVENIDA CARRERA 50 # 5 C - 29</t>
  </si>
  <si>
    <t>3607000</t>
  </si>
  <si>
    <t>jorge_arenas@praxair.com</t>
  </si>
  <si>
    <t>146-2018</t>
  </si>
  <si>
    <t>ASOCIACIÓN INTERNACIONAL DE CONSULTORÍA</t>
  </si>
  <si>
    <t>PRESTACIÓN DE SERVICIOS PARA LA TABULACIÓN, ANÁLISIS Y ENTREGA DE RESULTADO DE BATERÍA DE RIESGO PSICOSOCIAL AL PERSONAL DE PLANTA DEL HOSPITAL MILITAR CENTRAL”.</t>
  </si>
  <si>
    <t>CARLOS ENRIQUE HILARION AVILA</t>
  </si>
  <si>
    <t>900,350,937-1</t>
  </si>
  <si>
    <t>CARRERA 55  # 170 A -35 PISO 2 OFICINA 10</t>
  </si>
  <si>
    <t>6776047</t>
  </si>
  <si>
    <t>ehilarion@aicweb.org</t>
  </si>
  <si>
    <t>147-2018</t>
  </si>
  <si>
    <t>ORBIDENTAL LTDA</t>
  </si>
  <si>
    <t>SUMINISTRO DE INSUMOS ODONTOLOGICOS PARA EL AREA DE SALUD ORAL Y MAXILOFACIAL DEL HOSPITAL MILITAR CENTRAL</t>
  </si>
  <si>
    <t>JORGE ENRIQUE BAZURT CALDERON</t>
  </si>
  <si>
    <t>800,005,972-9</t>
  </si>
  <si>
    <t>CARRERA 9  # 61-79</t>
  </si>
  <si>
    <t>2104431</t>
  </si>
  <si>
    <t>licitaciones@orbidental.com</t>
  </si>
  <si>
    <t>148-2018</t>
  </si>
  <si>
    <t>COLSOFT LTDA</t>
  </si>
  <si>
    <t>ADQUISISION DE EQUIPO TODO EN UNO PARA LOS DIFERENTES SERVICIOS DEL HOSPITAL MILITAR CENTRAL</t>
  </si>
  <si>
    <t>SANTIAGO GOMEZ MOLANO</t>
  </si>
  <si>
    <t>800,015,583-1</t>
  </si>
  <si>
    <t xml:space="preserve">VIA SIBERIA COTA MTS BODEGA 44-45 COMPLEJO LOGISTICO INDUSTRIAL DE SIBERIA </t>
  </si>
  <si>
    <t>2912000</t>
  </si>
  <si>
    <t>sgomez@colsoft.com.co</t>
  </si>
  <si>
    <t>149-2018</t>
  </si>
  <si>
    <t>LABTRONICS S.A.S</t>
  </si>
  <si>
    <t>SUMINISTRO DE INSUMOS Y REACTIVOS PARA REALIZAR TECNICAS FISH EN LE SERVICIO DE PATOLOGIA DEL HOSPITAL MILITAR CENTRAL</t>
  </si>
  <si>
    <t>JORGE LUIS RODRIGUEZ</t>
  </si>
  <si>
    <t>830,064,712-1</t>
  </si>
  <si>
    <t>CALLE 101 A # 47 A -09</t>
  </si>
  <si>
    <t>6354328</t>
  </si>
  <si>
    <t>comercial@labtronics.net</t>
  </si>
  <si>
    <t>150-2018</t>
  </si>
  <si>
    <t>BRISTOL MYERS SQUIBB DE COLOMBIA</t>
  </si>
  <si>
    <t>ELIAS MORA</t>
  </si>
  <si>
    <t>SANDRA LUCIA RAMIREZ ATEHORTUA</t>
  </si>
  <si>
    <t>860,002,428-8</t>
  </si>
  <si>
    <t>AVENIDA 5 A NORTE # 26-80</t>
  </si>
  <si>
    <t>4863449</t>
  </si>
  <si>
    <t>anabel.gutierrez@bms.com</t>
  </si>
  <si>
    <t>151-2018</t>
  </si>
  <si>
    <t>ADQUSISION DE ELEMENTOS PARA PROCEDIMIENTOS MENORES EN SALAS DE YESOS Y PROCEDIMIENTOS EN EL AREA DE ORTOPEDIA Y TRAUMATOLOGIA DEL HOSPOTAL MILITAR CENTRAL</t>
  </si>
  <si>
    <t>JOSE IGNACIO SANCHEZ URBINA</t>
  </si>
  <si>
    <t>152-2018</t>
  </si>
  <si>
    <t>SANDRA JULIANA PINZON</t>
  </si>
  <si>
    <t>PRESTACION DE SERVICIOS PROFESIONALES COMO ESPECIALISTA EN GINECOLOGIA Y OBSTETRICIA PARA EL SERVICIO DE GINECOLOGIA DEL HOSPITAL MILITAR CENTRAL</t>
  </si>
  <si>
    <t>LAURA ELISA GARCIA TORRES</t>
  </si>
  <si>
    <t>SANDRA JULIANA PINZON PEREZ</t>
  </si>
  <si>
    <t>53,000,507</t>
  </si>
  <si>
    <t>CALLE 146 # 17-61 APTO 703 EDIFICIO COUNTRY 146</t>
  </si>
  <si>
    <t>3208406948</t>
  </si>
  <si>
    <t>sandrapinzon@gmail.com</t>
  </si>
  <si>
    <t>153-2018</t>
  </si>
  <si>
    <t>OSCAR FERNANDO SERRANO</t>
  </si>
  <si>
    <t>OSCAR FERNANDO SERRANO ORTIZ</t>
  </si>
  <si>
    <t>13,874,375</t>
  </si>
  <si>
    <t xml:space="preserve">CARRERA 20 # 47 B -35 SUR </t>
  </si>
  <si>
    <t>7428585</t>
  </si>
  <si>
    <t>oscarfernandoserranoortiz@gmail.com</t>
  </si>
  <si>
    <t>154-2018</t>
  </si>
  <si>
    <t>VANESA ARENAS RODRIGUEZ</t>
  </si>
  <si>
    <t>VANNESA ARENAS RODRIGUEZ</t>
  </si>
  <si>
    <t>1,026,254,450</t>
  </si>
  <si>
    <t>CALLE 160  # 14 B -42 APTO 404 INT 2  ED SAN PIETRO 2</t>
  </si>
  <si>
    <t>3208540284</t>
  </si>
  <si>
    <t>vanessarenas@gmail.com</t>
  </si>
  <si>
    <t>155-2018</t>
  </si>
  <si>
    <t>HAROLD CALIXTO HERRERA ALBERNIA</t>
  </si>
  <si>
    <t>HAROLD CALIXTO HERRERA</t>
  </si>
  <si>
    <t>72,131,308</t>
  </si>
  <si>
    <t>CALLE 25 G #  85 H -51</t>
  </si>
  <si>
    <t>3486868 EXT 5291</t>
  </si>
  <si>
    <t>haroldherr@hotmail.com</t>
  </si>
  <si>
    <t>156-2018</t>
  </si>
  <si>
    <t>ORLAY FERNANDO MEDINA MEDINA</t>
  </si>
  <si>
    <t>93,364,315</t>
  </si>
  <si>
    <t>CARRERA 67  # 97 - 96 TORRE 1 APTO 801</t>
  </si>
  <si>
    <t>3132102735</t>
  </si>
  <si>
    <t>orlayfernando@hotmail.com</t>
  </si>
  <si>
    <t>157-2018</t>
  </si>
  <si>
    <t>ANGELA MARIA TAMAYO CHAPARRO</t>
  </si>
  <si>
    <t>ANGELA MARIA TAMAYO</t>
  </si>
  <si>
    <t>52,255,121</t>
  </si>
  <si>
    <t>CALLE 95  # 71-75 APTO 404 TORRE</t>
  </si>
  <si>
    <t>3102917372</t>
  </si>
  <si>
    <t>angie_tama@yahoo.com</t>
  </si>
  <si>
    <t>158-2018</t>
  </si>
  <si>
    <t>GIOVANNY ENRIQUE ABRIL GALEANO</t>
  </si>
  <si>
    <t>GIOVANNI ENRIQUE ABRIL</t>
  </si>
  <si>
    <t>79,421,773</t>
  </si>
  <si>
    <t>CALLE 128 B # 19-55 INT 1 APTO 901</t>
  </si>
  <si>
    <t>3108740036</t>
  </si>
  <si>
    <t>giovabril@yahoo.com</t>
  </si>
  <si>
    <t>159-2018</t>
  </si>
  <si>
    <t>VLADIMIR JOAQUIN ARDILA MENDOZA</t>
  </si>
  <si>
    <t>VLADIMIR JOAQUIN ARDILA</t>
  </si>
  <si>
    <t>79,285,085</t>
  </si>
  <si>
    <t>CARRERA 56 # 61-42</t>
  </si>
  <si>
    <t>3022873812</t>
  </si>
  <si>
    <t>VLADymd@hotmail.com</t>
  </si>
  <si>
    <t>160-2018</t>
  </si>
  <si>
    <t>LEONARDO ARAGON MENDOZA</t>
  </si>
  <si>
    <t>RAFAEL LEONARDO ARAGON MENDOZA</t>
  </si>
  <si>
    <t>80,199,529</t>
  </si>
  <si>
    <t>CARRERA 55 A # 168 A - 11 TORRE 9 APTO 202</t>
  </si>
  <si>
    <t>3112065051</t>
  </si>
  <si>
    <t>rafaragon2@hotmail.com</t>
  </si>
  <si>
    <t>161-2018</t>
  </si>
  <si>
    <t>HAROLD MAURICIO CUERVO VARGAS</t>
  </si>
  <si>
    <t>HAROLD MAURICIO CUERVO</t>
  </si>
  <si>
    <t>11,316,356</t>
  </si>
  <si>
    <t>CALLE 25 # 69 D - 80 INT 1 APTO 801</t>
  </si>
  <si>
    <t>3002149976</t>
  </si>
  <si>
    <t>haroldcuervo@hotmail.com</t>
  </si>
  <si>
    <t>162-2018</t>
  </si>
  <si>
    <t>ADRIANA MILENA PAEZ GONZALEZ</t>
  </si>
  <si>
    <t>ADRINA MILENA PAEZ</t>
  </si>
  <si>
    <t>52,819,185</t>
  </si>
  <si>
    <t>CALLE 22 B # 58-21 INTE 2 APTO 206</t>
  </si>
  <si>
    <t>3138253245</t>
  </si>
  <si>
    <t>admipa1@hotmail.com</t>
  </si>
  <si>
    <t>163-2018</t>
  </si>
  <si>
    <t>EULER ANDRES PEREZ ALMENAREZ</t>
  </si>
  <si>
    <t>EULER ANDRES PEREZ</t>
  </si>
  <si>
    <t>85,458,025</t>
  </si>
  <si>
    <t>CALLE 44 D # 45-86</t>
  </si>
  <si>
    <t>2227680</t>
  </si>
  <si>
    <t>eulerperez@gmail.com</t>
  </si>
  <si>
    <t>164-2018</t>
  </si>
  <si>
    <t>ADRIANA RAMIREZ GONZALEZ</t>
  </si>
  <si>
    <t>52,786,753</t>
  </si>
  <si>
    <t>CARRERA 72 A # 24-72 TORRE 8 APTO 801</t>
  </si>
  <si>
    <t>3103013250</t>
  </si>
  <si>
    <t>lasofiva@yahoo.com.ar</t>
  </si>
  <si>
    <t>165-2018</t>
  </si>
  <si>
    <t>JORGE AUGUSTO RODIGUEZ ORTIZ</t>
  </si>
  <si>
    <t>JORGE AUGUSTO RODRIGUEZ</t>
  </si>
  <si>
    <t>80,425,782</t>
  </si>
  <si>
    <t>CARRERA 21 # 120-33 APTO 201</t>
  </si>
  <si>
    <t>3102407432</t>
  </si>
  <si>
    <t>jarobg@yahoo.com</t>
  </si>
  <si>
    <t>166-2018</t>
  </si>
  <si>
    <t>HELPEN S.A.S</t>
  </si>
  <si>
    <t>PRESTACION DE SERVICIOS PROFESIONALES PARA EL AREA DE ORTOPEDIA Y TRAUMATOLOGIA INCLUYENDO EL SUMINISTRO DE MATERIAL DE OSTEOSINTESIS, PROTESIS ARTICULARES, INSUMOS PARA CIRUGIA ARTROSCOPICA Y SUSTITUTOS OSEOS, Y ALQUILER DE EQUIPOS PARA LA REALIZACION DE CADA UNO DE LOS PROCEDIMIENTOS QUIRURGICOS DE LAS DIFERENTES ESPECIALIDADES QUE LO REQUIERAN EN EL HOSPITAL MILITAR CENTRAL</t>
  </si>
  <si>
    <t>WILLIAM RAFAEL ARBELAEZ - JUAN PABLO BORRERO -  JAIRO HERNAN VILLA</t>
  </si>
  <si>
    <t>CARLOS ARNUL SATIZABAL AZUERO</t>
  </si>
  <si>
    <t>900,509,055-6</t>
  </si>
  <si>
    <t>CARRERA 9 A # 17-55 SUR PISO 2</t>
  </si>
  <si>
    <t>7046446</t>
  </si>
  <si>
    <t>helpensas@gmail.com</t>
  </si>
  <si>
    <t>167-2018</t>
  </si>
  <si>
    <t>ALEXANDER BERNAL NEMOGA</t>
  </si>
  <si>
    <t>MANTENIMIENTO, ADECUACION DE LA ESTRUCTURA, CUBIERTAS, LA CANALIZACION PARA LA RECOLECCION DE AGUAS LLUVIAS, UBICADO EN A ZONA DE LAS ESCALERAS ELECTRICAS DEL HOSPITAL MILITAR CENTRAL NIVEL III Y IV</t>
  </si>
  <si>
    <t>YEISON RICARDO GUZMAN</t>
  </si>
  <si>
    <t>11,188,005-4</t>
  </si>
  <si>
    <t>CALLE 44 B # 53-37</t>
  </si>
  <si>
    <t>3782350</t>
  </si>
  <si>
    <t>alexanderbernaln@gmail.com</t>
  </si>
  <si>
    <t>168-2018</t>
  </si>
  <si>
    <t>POLARIS HOLDING S.A.S</t>
  </si>
  <si>
    <t>MANTENIMIENTO PREVENTIVO Y CORRECTIVO INCLUYENDO REPUESTOS NUEVOS NO REMANUFACTURADOS PARA LOS CILINDROS DE OXIGENO TIPO H, D, E, M REGULADORES DE OXIGENOS Y ACCESORIOS PARA LAS TOMAS DE GASES DE LOS DIFERENTES SERVICIOS PARA EL SUMINISTRO DE OXIGENO EN LAS INSTALACIONES DEL HOSPITAL ILITAR CENTRAL</t>
  </si>
  <si>
    <t>OSCAR FERNEY PARRA BONILLA</t>
  </si>
  <si>
    <t>901,104,871-4</t>
  </si>
  <si>
    <t>CARRERA 98 B # 14-60 APTO  201 TORRE 9</t>
  </si>
  <si>
    <t>3174393976</t>
  </si>
  <si>
    <t>gasuarez01@uniandes.edu.co</t>
  </si>
  <si>
    <t>169-2018</t>
  </si>
  <si>
    <t>VELEZ LAB S.A.S</t>
  </si>
  <si>
    <t>SUMINISTRO DE INSUMOS Y REACTIVOS PARA EL DIAGNOSTICO Y SEGUMIENTO DE PACIENTES CON FIBROSIS QUISTICA QUE CONTRIBUYEN EN LA PRESTACION DE LOS SERVICIOS DE LOS USUARIOS DEL HOSPITAL MILITAR CENTRAL</t>
  </si>
  <si>
    <t>ANGELA MUNEVAR</t>
  </si>
  <si>
    <t>ALVARO VELEZ OSORIO</t>
  </si>
  <si>
    <t>860,503,326-5</t>
  </si>
  <si>
    <t>CARRERA 17 A # 119 A -42</t>
  </si>
  <si>
    <t>3102436399</t>
  </si>
  <si>
    <t>mbotero@vlezlab.com.co</t>
  </si>
  <si>
    <t>170-2018</t>
  </si>
  <si>
    <t>FUNDACION COSME Y DAMIAN</t>
  </si>
  <si>
    <t>SUMINISTRO DE ALOINJERTOS, BANCO DE HUESOS PARA EL AREA DE ORTOPEDIA Y TRAUMATOLOGIA DEL HOSPITAL MILITAR CENTRAL</t>
  </si>
  <si>
    <t>JAVIER ERNESTO MATTA</t>
  </si>
  <si>
    <t xml:space="preserve">JUAN FERNANDO CORRAL STRASSMANN </t>
  </si>
  <si>
    <t>800,053,550-9</t>
  </si>
  <si>
    <t>CALLE 119 # 7-14 PISO 2</t>
  </si>
  <si>
    <t>6583200</t>
  </si>
  <si>
    <t>jefaturaap2017@gmail.com</t>
  </si>
  <si>
    <t>171-2018</t>
  </si>
  <si>
    <t>DRAEGER COLOMBIA S.A.S</t>
  </si>
  <si>
    <t>SUMINISTRO DE ELEMENTOS DE TERAPIA RESPIRATORIA DESTINADOS A LA ATENCION DE PACIENTES DEL HOSPITAL MILITAR CENTRAL</t>
  </si>
  <si>
    <t xml:space="preserve">LUZ ANGELICA ACOSTA </t>
  </si>
  <si>
    <t>900,194,910-4</t>
  </si>
  <si>
    <t>CARRERA 11 A # 98-50 OFICINA 603-604</t>
  </si>
  <si>
    <t>6358881</t>
  </si>
  <si>
    <t>adriana.santana@draeger.com</t>
  </si>
  <si>
    <t>172-2018</t>
  </si>
  <si>
    <t>TECNICAELECTROMEDICA S.A.S</t>
  </si>
  <si>
    <t>MARTHA PINZON</t>
  </si>
  <si>
    <t>173-2018</t>
  </si>
  <si>
    <t>DOCUFILE S.A.S</t>
  </si>
  <si>
    <t>PRESTACION DE SERVICIOS PROFESIONALES PARA LA ASESORIA, CONSULTA E IMPLEMENTACION DE UN SISTEMA DE INFORMACION DE BIBLIOTECA DIGITAL PARA LA SUBDIRECCION DE DOCENCIA E INVESTIGACION CIENTIFICA DEL HOSPITAL ILITAR CENTRAL</t>
  </si>
  <si>
    <t>ADRIANA BELTRAN OSTOS</t>
  </si>
  <si>
    <t>SUBDIRECCION DE DOCENCIA</t>
  </si>
  <si>
    <t>CAROLINA PEREZ HURTADO</t>
  </si>
  <si>
    <t>900,306,534-0</t>
  </si>
  <si>
    <t>CALLE 11 A # 79 A -60</t>
  </si>
  <si>
    <t>7627332</t>
  </si>
  <si>
    <t>docufilesasas@gmail.com</t>
  </si>
  <si>
    <t>174-2018</t>
  </si>
  <si>
    <t>ABASTECIENDO HOY S.A.S</t>
  </si>
  <si>
    <t>SUMINISTRO DE ARREGLOS FLORALES PARA HONRAR LA MEMORIA DE LOS EMPLEADOS DEL HOSPITAL MILITAR CENTRAL</t>
  </si>
  <si>
    <t>JOSE GABRIEL GUERRERO BERNAL</t>
  </si>
  <si>
    <t>900,458,211-9</t>
  </si>
  <si>
    <t xml:space="preserve">CARRERA 68 H BIS # 30-21 SUR </t>
  </si>
  <si>
    <t>8016740</t>
  </si>
  <si>
    <t>abasteciendo.hoy@gmail.com</t>
  </si>
  <si>
    <t>175-2018</t>
  </si>
  <si>
    <t>ENTREGAR A TITULO DE ARRENDAMIENTO  UN AREA DE 24 METROS CUADRADOS UBICADO EN LA ZONA OCCIDENTAL CONTIGUA AL EDIFICIO DE MANTENIMIENTO  PARA PRESTACION DE SERVICIOS DE PUNTO CAFÉ</t>
  </si>
  <si>
    <t>KATALINA ANGEL DELGADO</t>
  </si>
  <si>
    <t>901201483-5</t>
  </si>
  <si>
    <t>CALLE 102 # 7-80</t>
  </si>
  <si>
    <t>6126855</t>
  </si>
  <si>
    <t>catalinaa64@hotmail.com</t>
  </si>
  <si>
    <t>176-2018</t>
  </si>
  <si>
    <t>CLARYICON S.A.S</t>
  </si>
  <si>
    <t>JHON ALEJANDRO DIAZ CHARRY</t>
  </si>
  <si>
    <t>900,442,893-1</t>
  </si>
  <si>
    <t>TRASVERSAL 93 # 53-32 BG 13</t>
  </si>
  <si>
    <t>5473589</t>
  </si>
  <si>
    <t>alejandro@clreryla.com</t>
  </si>
  <si>
    <t>177-2018</t>
  </si>
  <si>
    <t xml:space="preserve">AMAREY NOVA MEDICAL </t>
  </si>
  <si>
    <t xml:space="preserve">WILLIAM WILCHES - MIRIAM LUCIA AVILA </t>
  </si>
  <si>
    <t>ESTEBAN LIZARAZO LIZARAZO</t>
  </si>
  <si>
    <t>800,250,038-2</t>
  </si>
  <si>
    <t>TRANSVERSAL 23 # 93-23</t>
  </si>
  <si>
    <t>7447300</t>
  </si>
  <si>
    <t xml:space="preserve">flor.quintero@grupoamarey.com </t>
  </si>
  <si>
    <t>178-2018</t>
  </si>
  <si>
    <t>SANITAS S.A.S</t>
  </si>
  <si>
    <t>YADIRA VASQUEZ - GILBERTO ROMERO ARDILA</t>
  </si>
  <si>
    <t>ANDREAS KURT HERING</t>
  </si>
  <si>
    <t>860,000,648-2</t>
  </si>
  <si>
    <t>CALLE 35 # 20-18</t>
  </si>
  <si>
    <t>7427775</t>
  </si>
  <si>
    <t>cortizaciones@satinastec.com</t>
  </si>
  <si>
    <t>179-2018</t>
  </si>
  <si>
    <t>LA MUELA S.A.S</t>
  </si>
  <si>
    <t>SERGIO CASTELLANOS - WILLIAM WILCHES</t>
  </si>
  <si>
    <t>DIEGO ARMANDO CALPA</t>
  </si>
  <si>
    <t>804,009,440-5</t>
  </si>
  <si>
    <t>CALLE 38 # 35-53 EL PRADO</t>
  </si>
  <si>
    <t>6340022</t>
  </si>
  <si>
    <t>licitaciones@lamuela.net.co</t>
  </si>
  <si>
    <t>180-2018</t>
  </si>
  <si>
    <t>KAIKA</t>
  </si>
  <si>
    <t>HUMBERTO DURAN ORTIZ</t>
  </si>
  <si>
    <t>860,001,911-1</t>
  </si>
  <si>
    <t>CARRERA 7 # 69-53</t>
  </si>
  <si>
    <t>3478826</t>
  </si>
  <si>
    <t>soportec@kaika.com.co</t>
  </si>
  <si>
    <t>181-2018</t>
  </si>
  <si>
    <t>SMN SOLUCIONES INTEGRALES S.A.S</t>
  </si>
  <si>
    <t>JEANETH TOQUICA - DANILO BEITIA</t>
  </si>
  <si>
    <t>CLAUDIA MARCELA SANCHEZ</t>
  </si>
  <si>
    <t>900,343,346-1</t>
  </si>
  <si>
    <t>CALLE 99 A 68 B - 60</t>
  </si>
  <si>
    <t>8125007</t>
  </si>
  <si>
    <t>smn.solucionesintegrales@gmail.com</t>
  </si>
  <si>
    <t>182-2018</t>
  </si>
  <si>
    <t>MEDITEC S.A</t>
  </si>
  <si>
    <t>RICARDO SILVA - WILLIAM WILCHES</t>
  </si>
  <si>
    <t>AMPARO REINOSO BENIREZ</t>
  </si>
  <si>
    <t>860,038,579-7</t>
  </si>
  <si>
    <t>CARRERA 7 # 155 C - 20</t>
  </si>
  <si>
    <t>3381177</t>
  </si>
  <si>
    <t>meditec@meditecsa.com</t>
  </si>
  <si>
    <t>183-2018</t>
  </si>
  <si>
    <t>FISIOMEDICA S.A.S</t>
  </si>
  <si>
    <t>CARMEN ESQUIVIA - GILBERTO ROMERO ARDILA</t>
  </si>
  <si>
    <t>ANGELA MARIA VERNAZA PIZARRO</t>
  </si>
  <si>
    <t>890,317,851-2</t>
  </si>
  <si>
    <t>AV CALLE 80 # 69-70 BODEGA 38</t>
  </si>
  <si>
    <t>2319571</t>
  </si>
  <si>
    <t>administrativo@fisiomedica.com</t>
  </si>
  <si>
    <t>184-2018</t>
  </si>
  <si>
    <t>JOMEDICAL S.A.S</t>
  </si>
  <si>
    <t>JESUS ABERTO ORTIZ - DANILO BEITIA</t>
  </si>
  <si>
    <t>JORGE MACHADO</t>
  </si>
  <si>
    <t>800,088,519-0</t>
  </si>
  <si>
    <t>CARRERA 7 # 124-25</t>
  </si>
  <si>
    <t>6375177</t>
  </si>
  <si>
    <t>jomedical@jomedical.com</t>
  </si>
  <si>
    <t>185-2018</t>
  </si>
  <si>
    <t>SURGIPLAST LTDA</t>
  </si>
  <si>
    <t>HECTOR ORJUELA - GILBERTO ROMERO</t>
  </si>
  <si>
    <t>CARLOS RAFAEL ORTEGA</t>
  </si>
  <si>
    <t>830,005,771-4</t>
  </si>
  <si>
    <t>CARRERA 72 A # 70-17 PISO 2</t>
  </si>
  <si>
    <t>5376435</t>
  </si>
  <si>
    <t>nortega@labgothaplast.com.co</t>
  </si>
  <si>
    <t>186-2018</t>
  </si>
  <si>
    <t>ANNAR DIAGNOSTICA IMPORT S.A.S</t>
  </si>
  <si>
    <t>IVONNE LOPEZ - GILBERTO ROMERO ARDILA</t>
  </si>
  <si>
    <t>830,025,281-2</t>
  </si>
  <si>
    <t>7447979</t>
  </si>
  <si>
    <t>ventas@annardx.com</t>
  </si>
  <si>
    <t>187-2018</t>
  </si>
  <si>
    <t>ANA MARIA TORRES</t>
  </si>
  <si>
    <t>830,103,910-1</t>
  </si>
  <si>
    <t>188-2018</t>
  </si>
  <si>
    <t>MIRIAM LUCIA AVILA - VIVIANA RODRIGUEZ</t>
  </si>
  <si>
    <t>189-2018</t>
  </si>
  <si>
    <t>G BARCO S.A</t>
  </si>
  <si>
    <t>CARLOS FELIPE CRUZ SOTO</t>
  </si>
  <si>
    <t>860,044,349-4</t>
  </si>
  <si>
    <t>CALLE 99 # 14-76</t>
  </si>
  <si>
    <t>2569254</t>
  </si>
  <si>
    <t>eliana.castro@gbarco.com.co</t>
  </si>
  <si>
    <t>190-2018</t>
  </si>
  <si>
    <t>ADQUSISION DE INSTRUMENTAL QUIRURGICO PARA LA UNIDAD CLINICO QUIRURGICA DEL HOSPITAL MILITAR CENTRAL</t>
  </si>
  <si>
    <t>CORONEL LUIS CARLOS RINCON  - MARTHA LIGIA CASTAÑO</t>
  </si>
  <si>
    <t>CALLE 99  # 14-76</t>
  </si>
  <si>
    <t>6510700</t>
  </si>
  <si>
    <t>191-2018</t>
  </si>
  <si>
    <t>BIOTRONITEC COLOMBIA S.A</t>
  </si>
  <si>
    <t>LUIS EDUARDO MORENO</t>
  </si>
  <si>
    <t>192-2018</t>
  </si>
  <si>
    <t>M&amp;M EQUIPOS MEDICOS S.A.S</t>
  </si>
  <si>
    <t>MIGUEL GONZALEZ</t>
  </si>
  <si>
    <t>830,146,016-6</t>
  </si>
  <si>
    <t>CARRERA 71 A # 116 A - 75</t>
  </si>
  <si>
    <t>7449870</t>
  </si>
  <si>
    <t>comercial@mmequiposmedicos.com.co</t>
  </si>
  <si>
    <t>193-2018</t>
  </si>
  <si>
    <t>EXPERTOS INGENIEROS S.A.S</t>
  </si>
  <si>
    <t>MANTENIMIENTO PREVENTIVO Y CORRECTIVO MENOR CON REPUESTOS INCLUIDOS NUEVOS NO REMANUFACTURADOS PARA LOS SISTEMAS DE AIRES ACONDICIONADOS Y REFRIGERACION DEL HOSPITAL MILITAR CENTRAL</t>
  </si>
  <si>
    <t>MARIA ALEJANDRA LOTERO RAMIREZ</t>
  </si>
  <si>
    <t>expertosingeniero@hotmail.com</t>
  </si>
  <si>
    <t>194-2018</t>
  </si>
  <si>
    <t>UNION TEMPORAL GEPC 2018</t>
  </si>
  <si>
    <t>JORGE HERNANDO PINZON</t>
  </si>
  <si>
    <t>901,194,573-9</t>
  </si>
  <si>
    <t>licitaciones.gepm@gmail.com</t>
  </si>
  <si>
    <t>195-2018</t>
  </si>
  <si>
    <t>SIGMA LTDA</t>
  </si>
  <si>
    <t>ADECUACION DE LA UNIDAD DE CUIDADOS INTENSIVOS PEDIATRICOS PARA SU HABILITACION Y CUMPLIMIENTO DE LA NORMATIVIDAD HOSPITALARIA, LA CUAL ESTA UBICADA EN EL OCAVO PISO CENTRAL DEL HOSPITAL MILITAR CENTRAL</t>
  </si>
  <si>
    <t>EDWIN DAVID TORRADO</t>
  </si>
  <si>
    <t>800,173,410-0</t>
  </si>
  <si>
    <t>CALLE 11 #  1 E  - 135 PISO 3 EDIFIVIO ALTAMIRA</t>
  </si>
  <si>
    <t>3125831417</t>
  </si>
  <si>
    <t>sigma.constructora@yahoo.es</t>
  </si>
  <si>
    <t>CUCUTA</t>
  </si>
  <si>
    <t>196-2018</t>
  </si>
  <si>
    <t>CONSTRUCION DE TODOS LOS AMBIENTEES Y AREAS QUE CONFORMAN LA SALA DE CIRUGIA Y VESTIERES EN EL CUARTO PISO SUR DEL HOSPITAL MILITAR CENTRAL</t>
  </si>
  <si>
    <t>MARITH MILDRETH DUARTE QUINTERO</t>
  </si>
  <si>
    <t xml:space="preserve">CALE 11 # E -135 PISO 3 ED ALTAMIRA </t>
  </si>
  <si>
    <t>197-2018</t>
  </si>
  <si>
    <t>ECOMIL S.A.S</t>
  </si>
  <si>
    <t>SUMINISTRO, INSTALACION, CONFIGURACION Y SOPORTE TECNICO PARA EQUIPOS DE COMUNICACIÓN WIFI PARA LA AMPLIACION DE LA RED INALAMBRICA DEL HOSPITAL MILITAR CENTRAL</t>
  </si>
  <si>
    <t>ALEXANDER SANCHEZ</t>
  </si>
  <si>
    <t>7449990</t>
  </si>
  <si>
    <t>198-2018</t>
  </si>
  <si>
    <t xml:space="preserve">LABORATORIOS GOTHAPLAST </t>
  </si>
  <si>
    <t>SUMINISTRO DE INSUMOS PARA CURACION (CONECTOR PARA SISTEMA CERRADO SIN AGUJA Y EQUIPO PARA ADMINISTRACION DE SANGRE) DESTINADOS A LA ATENCION DE PACIENTES  DEL HOSPITAL MILITAR CENTRAL</t>
  </si>
  <si>
    <t>830,061,856-1</t>
  </si>
  <si>
    <t>CARRERA 72 A # 70-17</t>
  </si>
  <si>
    <t>2516284</t>
  </si>
  <si>
    <t>asistente2@labgothaplast.com.co</t>
  </si>
  <si>
    <t>199-2018</t>
  </si>
  <si>
    <t>INSTITUTO DISTRITAL DE CIENCIA, BIOTECNOLOGIA E INNOVACIO EN SALUD</t>
  </si>
  <si>
    <t xml:space="preserve">SUMINISTRO DE TEJIDOS CORNEALES, ESCALERAS Y/O MEMBRANA AMNIOTICA, QUE CUMPLA COM LOS ESTANDARES DE CALIDAD, MEDIO DE PRESERVACION OPTIMO, DE ACUERDO A NORMATIVIDAD VIGENTE PARA LOS BANCO DE OJOS EN COLOMBIA </t>
  </si>
  <si>
    <t xml:space="preserve">BERNARDO HERNANDO CAMACHO </t>
  </si>
  <si>
    <t>901,034,790-5</t>
  </si>
  <si>
    <t>CARRERA 32 # 12-81 EDIFICI HEMOCENTRO</t>
  </si>
  <si>
    <t>idcbis@idcbis.org.co</t>
  </si>
  <si>
    <t>200-2018</t>
  </si>
  <si>
    <t>ARRENDAMIENTO DE UN N(1) EQUIPO NEURONAVEGADOR, CX-AXIEM POR IMAGEN, INCLUYE PUNTERO TRACER PARA REGISTRO, KIT RESECCION DE TUMOR NO INVASIVO NAVEGACION 3D CONTROLADOR POR MICROPROCESADOR, CON MICROPIES PARA LOS SERVICIO DEL HOSPITAL MILITAR CENTRA</t>
  </si>
  <si>
    <t>RAFAEL EDUARDO ARANGO</t>
  </si>
  <si>
    <t>6683777 EXT 135</t>
  </si>
  <si>
    <t>ruth.isnelda.gaviria@medtronic.com</t>
  </si>
  <si>
    <t>201-2018</t>
  </si>
  <si>
    <t>CIVING INGENIEROS CONTRATISTAS</t>
  </si>
  <si>
    <t>CONTRATAR LA INTERVENTORIA TECNICA, ADMINISTRATIVA, JURIDICA, FINANCIERA, CONTABLE Y AMBIENTAL AL CONTRATO CUYO OBJETO ES " DISEÑO Y ADECUACION DE LOS AMBIENTES Y ESPACIOS FUNCIONALES QUE CONFORMAN EL AREA DE PRODUCCION DE ALIMENTOS DEL HOSPITAL MILITAR CENTRAL, INCLUIDA LA DOTACION DE EQUIPOS Y TODAS LAS GESTIONES NECESARIAS PARA QUE CUMPLA CON REQUISITOS SANITARIOS Y DEMAS NORMATIVIDAD VIGENTE"</t>
  </si>
  <si>
    <t>CARLOS ENRIQUE MORALES Y JAVIER VEGA</t>
  </si>
  <si>
    <t>FABIAN OMAR VALLEJO</t>
  </si>
  <si>
    <t>860,451,253-1</t>
  </si>
  <si>
    <t>TRASVERSAL 24 # 59-07</t>
  </si>
  <si>
    <t>6027030</t>
  </si>
  <si>
    <t>ccivinging@gmail.com</t>
  </si>
  <si>
    <t>202-2018</t>
  </si>
  <si>
    <t>GRUPO EMPRESARIAL PINZON MUÑOZ</t>
  </si>
  <si>
    <t>MANTENIMIENTO PREVENTIVO Y CORRCTVO GENERAL CON INCLUSION DE REPUESTOS AL SISTEMA DE DISTRIBUCION DE AGUA POTABLE O SISTEMA HIDROSANITARIO, INLUYE LAS VALVULAS DE CORTE PARA CADA TRIANGULO Y CADA PISO DEL HOSPITAL MILITAR CENTRAL NIVEL III Y IV</t>
  </si>
  <si>
    <t>CALLE 12 A # 68 C - 03</t>
  </si>
  <si>
    <t>7530070</t>
  </si>
  <si>
    <t>203-2018</t>
  </si>
  <si>
    <t>OVIDIO TORRES RINCON</t>
  </si>
  <si>
    <t>CALLE 116 # 7-15 OFICINA 1101</t>
  </si>
  <si>
    <t>6683777 EXT 15</t>
  </si>
  <si>
    <t>ruth.isneld.gaviria@medtronic.com</t>
  </si>
  <si>
    <t>204-2018</t>
  </si>
  <si>
    <t>FREDDY ESTRADA RODRIGUEZ</t>
  </si>
  <si>
    <t>INTERVENTORIA TECNICA, ADMINISTRTIVA, JURIDICA, FINANCIERA, CONTABLE Y AMBIENTAL AL CONTRATO DE OBRA CUYO OBJETO ES MANTENIMIENTO Y ADECUACION  DE LA UNIDAD DE CUIDADOS INTENSIVOS PEDIATRCOS PARA SU HABILITACION ANTE COMPENDIO NORMATIVO HOSPITALARIO, LA CUAL ESTA UBICADA EN EL OCTAVO PISO  CENTRAL DEL HOSPITAL MILITAR CENTAL</t>
  </si>
  <si>
    <t>CESAR AUGUSTO CASTILLO</t>
  </si>
  <si>
    <t>79,571,124</t>
  </si>
  <si>
    <t>CALLE 10 # 80 F - 40 TORRE 2 APTO 907</t>
  </si>
  <si>
    <t>6599598</t>
  </si>
  <si>
    <t>dreddyestrada.arq@gmail.com</t>
  </si>
  <si>
    <t>205-2018</t>
  </si>
  <si>
    <t>CONSTRUC CITY LTDA</t>
  </si>
  <si>
    <t>REMODELACION Y MODERNIZACION  DE BAÑOS PUBLICOS EN LAS AREAS DE AUDITORIO Y PARQUEADERO PUBLICO DEL HOSPITAL MILITAR CENTRAL</t>
  </si>
  <si>
    <t>INGENIERO YEISON GUZMAN</t>
  </si>
  <si>
    <t>CARLOS EDUARDO TELLEZ ROJAS</t>
  </si>
  <si>
    <t>900,152,688-3</t>
  </si>
  <si>
    <t xml:space="preserve">CARRERA 37 A #  25 B - 33 </t>
  </si>
  <si>
    <t>5337945</t>
  </si>
  <si>
    <t>construccity@gmail.com</t>
  </si>
  <si>
    <t>206-2018</t>
  </si>
  <si>
    <t>EDWARDS LIFESCIENCES COLOMBIA S.A.S</t>
  </si>
  <si>
    <t>SUMINISTRO DE INSUMOS MEDICO QUIRURGICOS (VALVULAS DE PERICARDIO BOVINO) PARA E SERVICIODE CIRUGIA CARDIOVASCULAR Y TORAX DEL HOSPITAL MILITAR CENTRAL</t>
  </si>
  <si>
    <t>JOSE PABLO URIBE LOPEZ</t>
  </si>
  <si>
    <t>900,618,831-2</t>
  </si>
  <si>
    <t>CARRERA 7 # 114-33 OFICINA 505 EDIFICIO SCOTIABANK</t>
  </si>
  <si>
    <t>7456572</t>
  </si>
  <si>
    <t>colombia_atc@edwards ¿.com</t>
  </si>
  <si>
    <t>207-2018</t>
  </si>
  <si>
    <t>LOGIA 3 ADOCIADOS S.A.S</t>
  </si>
  <si>
    <t>CONTRATAR LA INTERVENTORIA TECNICA, ADMINISTRATIVA, JURIDICA, FINANCIERA, CONTABLE Y AMBIENTAL AL CONTRATO DE OBRA CUYO OBJETO ES LA CONSTRUCCION DE TODOS LOS AMBIENTES Y AREAS QUE CONFORMAN LAS SALAS DE CIRUGIA Y VESTIERES ENEL CUARTO PISO SUR DEL HOSPITAL MILITAR CENTRAL</t>
  </si>
  <si>
    <t>EHIDA JULIETH RAMIREZ</t>
  </si>
  <si>
    <t>900,436,622-8</t>
  </si>
  <si>
    <t>CALLE 45 # 18-22</t>
  </si>
  <si>
    <t>3118091853</t>
  </si>
  <si>
    <t>logiatres@gmail.com</t>
  </si>
  <si>
    <t>208-2018</t>
  </si>
  <si>
    <t>SUMINISTRO DE ELEMENTOS, INSUMOS COMPATIBLES CON EL EQUIPO COSTELLATION DE SALA DE CIRUGIA Y DISPOSITIVOS MEDICOS PARA LOS PROCEDIMIENTOS QUIRURGICOS DEL SERVICIO DE OFTALMOLOGIA DEL HOSPITAL MILITAR CENTRAL</t>
  </si>
  <si>
    <t>CALLE 93 B # 16-31</t>
  </si>
  <si>
    <t>6544666</t>
  </si>
  <si>
    <t>209-2018</t>
  </si>
  <si>
    <t>SUMINISTRO DE INSUMOS MEDICO QUIRURGICOS ESPECIFICOS PARA EL SERVICIO DE ELECTROFISIOLOGIA, UCI, ANESTESIA, URGEBCIAS Y CIRUGIA CARDIOVASCULAR Y TORAX DEL HOSPITAL MILITAR CENTRAL</t>
  </si>
  <si>
    <t>210-2018</t>
  </si>
  <si>
    <t>BIOTRONITECH COLOMBIA S.A</t>
  </si>
  <si>
    <t>HERNANDO HARKER FRANCO</t>
  </si>
  <si>
    <t>CALLE 123 # 7-50</t>
  </si>
  <si>
    <t>211-2018</t>
  </si>
  <si>
    <t>ABC ARQUITECTURA Y CONSTRUCCIONES S.A.S</t>
  </si>
  <si>
    <t>ALEXANDER BLANCO CASTAÑEDA</t>
  </si>
  <si>
    <t>900,845,353-6</t>
  </si>
  <si>
    <t>CALLE 36 G # 8 F - 32 SUR</t>
  </si>
  <si>
    <t>3672227</t>
  </si>
  <si>
    <t>abcgerencia.proyectos@gmail.com</t>
  </si>
  <si>
    <t>212-2018</t>
  </si>
  <si>
    <t>FUNDACION ECOLOGICA DEL PUTUMAYO - FUNECOMAYO</t>
  </si>
  <si>
    <t>SERVICIO DE TOMA DE MUESTRAS, TRANSPORTE, ANALISIS E INFORMES DE CALIDAD DEL AGUA POTABLE, PISCINA DE HIDROTERAPIA, AGUA RESIDUAL, LODOS Y EMISIONES ATMOSFERICAS DEL HOSPITAL MILITAR CENTRAL</t>
  </si>
  <si>
    <t>JAVIER ALEXANDER CORDOBA</t>
  </si>
  <si>
    <t>900,261,325-2</t>
  </si>
  <si>
    <t>CALLE 13 # 8-30</t>
  </si>
  <si>
    <t>(8) 4204548</t>
  </si>
  <si>
    <t>funecomayorh@hotmail.com</t>
  </si>
  <si>
    <t>PUTUMAYO</t>
  </si>
  <si>
    <t>213-2018</t>
  </si>
  <si>
    <t>COLCAN S.A,S</t>
  </si>
  <si>
    <t>PRESTACION DE SERVICIOS DE SALUD PARA LA REALIZACION  DE DIAGNOSTICOS (ESTUDIOS DE BIOLOGIA MOLECULAR Y ESTUDIOS CITOGENETICOS) QUE NO SE REALIZAN EN EL HOSPITAL MILITAR CENTRAL</t>
  </si>
  <si>
    <t>ABDON MARCELO ANDRADE</t>
  </si>
  <si>
    <t>800,066,001-3</t>
  </si>
  <si>
    <t>214-2018</t>
  </si>
  <si>
    <t>COMUNIDAD HERMANAS HOSPITALARIAS - CLINICA INMACULADA</t>
  </si>
  <si>
    <t>CONTRTARA LA PRESTACION DE SERVICIOS DE SALUD PARA LA ATENCION INTEGRAL DE SALUD MENTAL HOSPITALARIO, PARA PACIENTES DEL SUBSISTEMA DE SALUD  DE LAS FUERZAS MILITARES Y PACIENTES PARTICULARES O USUARIOS QUE POR MOTIVOS DE CONTRATOSINTERINSTITUCIONALES PUBLICOS O PRIVADOS CELEBRADOS POR EL HOSPITAL MILITAR CENTRAL CON OTRAS ENTIDADES QUE HAGAN USO DE ESTS SERVICIOS PUBLICOS</t>
  </si>
  <si>
    <t>MAURICIO GARZON</t>
  </si>
  <si>
    <t>GERMAN AUGUSTO GUERRERO</t>
  </si>
  <si>
    <t>860,007,760-1</t>
  </si>
  <si>
    <t>CARRERA 7 # 68-70</t>
  </si>
  <si>
    <t>5870366</t>
  </si>
  <si>
    <t>inmaculada@clinicainmaculada.org</t>
  </si>
  <si>
    <t>215-2018</t>
  </si>
  <si>
    <t>BOSTON MEDICAL DEVICE COLOMBIA LTDA</t>
  </si>
  <si>
    <t>SUMINISTRO DE ELEMENTOS DE CURACION DESTINADOS A LA ATENCION DE PACIENTES DEL HOSPITAL MILITAR CENTRAL</t>
  </si>
  <si>
    <t>BRUNO ANTONIO BRINDOLA</t>
  </si>
  <si>
    <t>900,218,736-4</t>
  </si>
  <si>
    <t>CALLE 76 # 11-17 PISO 5 TORRE LOS NOGALES</t>
  </si>
  <si>
    <t>32632630</t>
  </si>
  <si>
    <t>jhon.tellez@convatec.com</t>
  </si>
  <si>
    <t>216-2018</t>
  </si>
  <si>
    <t>HB SUPPLIER S.A</t>
  </si>
  <si>
    <t>830,126,596-0</t>
  </si>
  <si>
    <t>217-2018</t>
  </si>
  <si>
    <t>VEYALTHI GROUP S.A.S</t>
  </si>
  <si>
    <t>CESAR IVAN CASTIBLANCO</t>
  </si>
  <si>
    <t>830,119,211-1</t>
  </si>
  <si>
    <t>CALLE 51 # 72 A - 28</t>
  </si>
  <si>
    <t>2950122</t>
  </si>
  <si>
    <t>veyalthigroup@yahoo.com</t>
  </si>
  <si>
    <t>218-2018</t>
  </si>
  <si>
    <t>ORDENES Y SUMINISTROS S.A.S</t>
  </si>
  <si>
    <t>LAZARINT XIMENA BARRERO GAITAN</t>
  </si>
  <si>
    <t>900,147,252-6</t>
  </si>
  <si>
    <t>CARRERA 13 A # 78-88</t>
  </si>
  <si>
    <t>6347244</t>
  </si>
  <si>
    <t>ordenesysuministros@outlook.com</t>
  </si>
  <si>
    <t>219-2018</t>
  </si>
  <si>
    <t>INTERCOMERCIAL MEDICA LTDA</t>
  </si>
  <si>
    <t>LELYS MIREYA MORALES</t>
  </si>
  <si>
    <t>830,501,223-7</t>
  </si>
  <si>
    <t>CARRERA 66 A # 11-07</t>
  </si>
  <si>
    <t>3158701</t>
  </si>
  <si>
    <t>im@intercomercialmedica.com</t>
  </si>
  <si>
    <t>220-2018</t>
  </si>
  <si>
    <t>PROXEL COLOMBIA S.A.</t>
  </si>
  <si>
    <t>SUMINISTRO, INSTALACION, CONFIGURACION Y SOPORTE TECNICO PARA EQUIPOS DE CONTROL DE ACCESP DEL HOSPITAL MILITAR CENTRAL</t>
  </si>
  <si>
    <t>INGENIERO JORGE PUERTO</t>
  </si>
  <si>
    <t>LUIS ENRIQUE AVELLANEDA</t>
  </si>
  <si>
    <t>900,034,347-6</t>
  </si>
  <si>
    <t>CARRERA 21 # 62-24</t>
  </si>
  <si>
    <t>2358066</t>
  </si>
  <si>
    <t>proyectos@proxelcolombia.com</t>
  </si>
  <si>
    <t>221-2018</t>
  </si>
  <si>
    <t>SUMINISTRO, INSTALACION Y PUESTA EN FUNCIONAMIENTO  DE UN (1) SISTEMA DE SEGURIDAD Y CONTROL DE ACCESO PARA EL HOSPITAL MILITAR CENTRAL</t>
  </si>
  <si>
    <t>222-2018</t>
  </si>
  <si>
    <t>PROFESIONAL GINECOLOGICOS S.A</t>
  </si>
  <si>
    <t>MANTENIMIENTO PREVENTIVO Y LOS CORRECTIVOS QUE SEAN NECESARIOS INCLUYENDO REPUESTOS ORIGINALES NUEVOS NO REMANUFACTURADOS DE LA CABINAY CAMARA DE FOTOTRAPIA DEL SERVICIO DE CONSULTA ETERNA DERMATOLOGICA DEL HOSPITAL MILITAR CENTRAL</t>
  </si>
  <si>
    <t>SANDRA MILENA BARRERA MARULANDA</t>
  </si>
  <si>
    <t>811,001,713-1</t>
  </si>
  <si>
    <t>CALLE 10 B # 28-68</t>
  </si>
  <si>
    <t>2330808</t>
  </si>
  <si>
    <t>VENTAS@PROGYNE.COM</t>
  </si>
  <si>
    <t>223-2018</t>
  </si>
  <si>
    <t>IMPLANTES Y CONEXIONES S.A.S</t>
  </si>
  <si>
    <t>SUMINISTRO DE IMPLANTES DE OSTEINTEGRACION CON SUS RESPECTIVOS TORNILLOS DE CICATRIZACION Y ADITAMENTOS PROTESICOS, MEMBRANAS E INJERTOS OSEOS PARA EL SERVICIO DE SALUD ORAL Y CIRUGIA MAXILOFACIAL DEL HOSPITAL MILITAR CENTRAL</t>
  </si>
  <si>
    <t>SERGIO MAURICIO CASTELLANOS GARCIA</t>
  </si>
  <si>
    <t>SANDRA JOHANA MANTILLA</t>
  </si>
  <si>
    <t>900,194,023-6</t>
  </si>
  <si>
    <t>CALLE 79 # 18-18 OFICINA 205</t>
  </si>
  <si>
    <t>4726223</t>
  </si>
  <si>
    <t>info@implantesyconexiones.com</t>
  </si>
  <si>
    <t>224-2018</t>
  </si>
  <si>
    <t>DISTRIBUCIONES BOGOTA CONECTIVIDAD ELECTRICOS E ILUMINACION S.A.S</t>
  </si>
  <si>
    <t>MARIA TORIFIO - HELBERT GUSTAVO CARDENAS</t>
  </si>
  <si>
    <t>JAIME EDUARDO DIAZ</t>
  </si>
  <si>
    <t>900,758,826-5</t>
  </si>
  <si>
    <t>CALLE 67 A # 70-32</t>
  </si>
  <si>
    <t>5253037</t>
  </si>
  <si>
    <t>INFO@MARWA.COM.CO</t>
  </si>
  <si>
    <t>225-2018</t>
  </si>
  <si>
    <t>LABORATORIO DE INVESTIGACION HORMONAL L.I.H S.A</t>
  </si>
  <si>
    <t>PRESTACION DE SERVICIOS ASISTENCIALES PARA LA REALIZACION DE EXAMANES DE LABORATORIO CLINICO DIAGNOSTICO Y TERAPEUTICO EXTRAHOSPITALARIOS PARA EL HOSPITAL MILITAR CENTRAL</t>
  </si>
  <si>
    <t>SONIA PATRICIA CASTRO</t>
  </si>
  <si>
    <t>800,075,543-1</t>
  </si>
  <si>
    <t>CARRERA 7 B # 123-40</t>
  </si>
  <si>
    <t>6205501 EXT 129-134</t>
  </si>
  <si>
    <t>COMERCIAL@LABLIH.NET</t>
  </si>
  <si>
    <t>226-2018</t>
  </si>
  <si>
    <t>LABORATORIOS DAI DE COLOMBIA S.A.S</t>
  </si>
  <si>
    <t>ARRENDAMIENTO DE UN EQUIO DE COAGULACION PARA ELL SERVICIO DE LABORATORIO CLINICO DEL HOSPITAL MILITAR CENTRAL</t>
  </si>
  <si>
    <t>GLORIA RAMOS</t>
  </si>
  <si>
    <t>LEONARDO ALONSO MORA</t>
  </si>
  <si>
    <t>830,093,051-8</t>
  </si>
  <si>
    <t>CALLE 74  # 28 B - 28</t>
  </si>
  <si>
    <t>2122744</t>
  </si>
  <si>
    <t>info@colabdai.com</t>
  </si>
  <si>
    <t>227-2018</t>
  </si>
  <si>
    <t>MICROSITIOS S.A.S</t>
  </si>
  <si>
    <t>SERVICIO DE MANTENIMIENTO PARA LA INTRANET CORPORATIVA Y PARA LAS TECNOLOGIAS DE TRAMITES Y SERVICIOS EN AMBIENTE WEB CON LOS NUEVOS ESTANDARES DE GOBIERNO EN LINEA, INLCUIDO EL SERVICIO DE HOSTING PARA EL SITIO WWW.HOSPITALMILITAR.GOV.CO DEL HOSPITAL MILITAR CENTRAL</t>
  </si>
  <si>
    <t>MARISOL RUBIANO</t>
  </si>
  <si>
    <t>LEONARDO FORERO SANDOBAL</t>
  </si>
  <si>
    <t>830,083,023-6</t>
  </si>
  <si>
    <t>CARRERA 62 # 94 A -71</t>
  </si>
  <si>
    <t>2263134</t>
  </si>
  <si>
    <t>mvasquez@micrositios.net</t>
  </si>
  <si>
    <t>228-2018</t>
  </si>
  <si>
    <t>ADQUISISION DE 300 LICENCIAS DE USO VITALICIO,ACTUALIZADAS A LA VERSION 8 UPDATE 2-2018 HTML5 CON TECNOLOGIA ASP.NET CORE MVC DEL SOFWARE CONTROL DOG PARA USUARIOS DEL SUBSISTEMA DE GESTION DE COMUNICACIONES RADICADAS, ENVIADAS E INTERNAS Y MODULO DEL SISTEMA DE GESTION DE CALIDAD DEL HOSPITAL MILITAR CENTRAL</t>
  </si>
  <si>
    <t>LENI MARIA CORDERO GOMEZ</t>
  </si>
  <si>
    <t>AVC 26 # 69-63 OFICINA 209</t>
  </si>
  <si>
    <t>lernicordero@controdoc.com.co</t>
  </si>
  <si>
    <t>229-2018</t>
  </si>
  <si>
    <t>Y YO S.A.S</t>
  </si>
  <si>
    <t>SUMINISTRO E INSTALACION DE SEÑALIZACION ARQUITECTONICA DE SEGURIDAD HOSPITALARIA Y SEGURIDAD VIAL PARA EL HOSPITAL MILITAR CENTRAL</t>
  </si>
  <si>
    <t>OMAR WILLIAM RIVEROS RIVEROS</t>
  </si>
  <si>
    <t>900,528,106-4</t>
  </si>
  <si>
    <t>CALLE 25 C BIS  # 73 B -75</t>
  </si>
  <si>
    <t>5470699</t>
  </si>
  <si>
    <t>yyo.directorcomercial@gmail.com</t>
  </si>
  <si>
    <t>230-2018</t>
  </si>
  <si>
    <t>EXPERTOS INGENIEROS LTDA</t>
  </si>
  <si>
    <t>231-2018</t>
  </si>
  <si>
    <t>MEGAOBRAS CONSTRUCCIONES LIVANAS S.A.S</t>
  </si>
  <si>
    <t>SUMINISTRO E INSTALACION CORTINAS BLACK OUT Y PELICULA DE SEGURIDAD COMO COMPLEMENTO DE HABITACIONES DEL HOSPITAL MILITAR CENTRAL</t>
  </si>
  <si>
    <t>SS. SERGIO CRUZ GORDON</t>
  </si>
  <si>
    <t>LUIS JAVIER GUERRERO CARO</t>
  </si>
  <si>
    <t>900,896,239-2</t>
  </si>
  <si>
    <t>CARRERA 20 # 63-49</t>
  </si>
  <si>
    <t>6942410</t>
  </si>
  <si>
    <t>MEGAOBRAS.SAS@GMAIL.COM</t>
  </si>
  <si>
    <t>MEDELLIN</t>
  </si>
  <si>
    <t>232-2018</t>
  </si>
  <si>
    <t>DME DIAGNOSTICO MEDICO ESPECIALIZADO 3D S.A.S</t>
  </si>
  <si>
    <t>SUMINISTRO DE PROTESIS CRANEAL EN COMPUTADOR A LA MEDIDA DEL PACIENTE, PARA USUSARIOS DEL HOSPITAL MIITRAR CENTRAL</t>
  </si>
  <si>
    <t>ALEJANDRO GOMEZ</t>
  </si>
  <si>
    <t>900,272,100-1</t>
  </si>
  <si>
    <t>AV 33 # 74 B - 26</t>
  </si>
  <si>
    <t>4116861</t>
  </si>
  <si>
    <t>info@dme3d.com</t>
  </si>
  <si>
    <t>233-2018</t>
  </si>
  <si>
    <t>M&amp;M EQUIOS MEDICOS S.A.S</t>
  </si>
  <si>
    <t>UMINISTRO DE CATETERES RECTALES (BALON) DE URODINAMIA PARA EL SERVICIO DE UROLOGIA DEL HOSPITAL MILITAR CENTRAL</t>
  </si>
  <si>
    <t>LADY MARIANA RICO MALAGON</t>
  </si>
  <si>
    <t>900.407.200-1</t>
  </si>
  <si>
    <t>234-2018</t>
  </si>
  <si>
    <t>FORMARCHIVOS Y SUMINISTROS S.A.S</t>
  </si>
  <si>
    <t>SUMINISTRO DE BUSACAS O CARPETAS DE HISTORIA CLINICA PARA EL AREA DE BIOESTADISTCIA Y ARCHIVO DE HISTORIAS CLINICAS DEL HOSPITAL MILITAR CENTRAL</t>
  </si>
  <si>
    <t>OSCAR TRONCOSO CABALLERO</t>
  </si>
  <si>
    <t>FERNANDO MOYANO ROJAS</t>
  </si>
  <si>
    <t>900,336,588-6</t>
  </si>
  <si>
    <t>CARRERA 18 A # 48 - 60 SUR</t>
  </si>
  <si>
    <t>6025671</t>
  </si>
  <si>
    <t>formarchivos10@hotmail.com</t>
  </si>
  <si>
    <t>235-2018</t>
  </si>
  <si>
    <t>MILMEDICAL EQUIPOS S.A.S</t>
  </si>
  <si>
    <t>MANTENIMIENTO PREVENTIVO (AFILADO, AJUSTE, LUBRICACION Y DESMANCHADO) Y MANTENIMIENTO CORRECTIVO, INCLUIDO REPUESTOS NUEVOS NO REMANFACTURADOS PARA LAS UNIDADES DE INSTRUMENTAL QUIRURGICO BASICO Y ESPECIALIZADO PARA LAS SALAS DE CIRUGIA</t>
  </si>
  <si>
    <t>LUIS ALFONSO PRAD RUEDA</t>
  </si>
  <si>
    <t>900,500,349-5</t>
  </si>
  <si>
    <t>CALLE 77 # 26-15</t>
  </si>
  <si>
    <t>5415413</t>
  </si>
  <si>
    <t>milmedicalequipos@hotmail.com</t>
  </si>
  <si>
    <t>236-2018</t>
  </si>
  <si>
    <t>PRESTACION DE SERVICIOS PARA LA ORGANIZACIÓN, REALIZACION, PROGRAMACION, ARBITRAJES Y OREMIACION DE LAS OLIMPIADAS DEPORTIVAS DEL HOSPITAL MILITAR CENTRAL AÑO 2018</t>
  </si>
  <si>
    <t>JUAN CARLOS GOMEZ ROJAS</t>
  </si>
  <si>
    <t>900,110,462-6</t>
  </si>
  <si>
    <t>CARRERA 16 # 50-36 OFICINA 204</t>
  </si>
  <si>
    <t>2498649</t>
  </si>
  <si>
    <t>fundeporadai@gmail.com</t>
  </si>
  <si>
    <t>237-2018</t>
  </si>
  <si>
    <t>CALLE 53 # 4A-69 OFICINA 504</t>
  </si>
  <si>
    <t>238-2018</t>
  </si>
  <si>
    <t>MEDIORTOPEDICOS S.A.S</t>
  </si>
  <si>
    <t>JULIAN GUSTAVO SANCHEZ</t>
  </si>
  <si>
    <t>900,959,391-6</t>
  </si>
  <si>
    <t>CALLE 157 C # 9186 TORRE 1 APTO 904</t>
  </si>
  <si>
    <t>3116487804</t>
  </si>
  <si>
    <t>gerenciainfo@mediortoedicos.com</t>
  </si>
  <si>
    <t>239-2018</t>
  </si>
  <si>
    <t>IDIME S.A</t>
  </si>
  <si>
    <t>PREDSTACION DE SERVICIOS PARA LA REALIZACION DE EXAMANES  EXTRAHOSPITALARIOS DIAGNOSTICOS DE TOMOGRAFIA POR EMISION DE POSITRONES (PET) QUE NO SE REALIZA EN EL HOSPITAL MILITAR CENTRAL</t>
  </si>
  <si>
    <t>DORA ROMERO CALDERON</t>
  </si>
  <si>
    <t>LIDA YAMILE GONZALEZ</t>
  </si>
  <si>
    <t>800,065,396-2</t>
  </si>
  <si>
    <t>CALLE 76 # 13-46</t>
  </si>
  <si>
    <t>3438770</t>
  </si>
  <si>
    <t>jhon.espinosa@idime.comco</t>
  </si>
  <si>
    <t>240-2018</t>
  </si>
  <si>
    <t>SUMINISTRO DE CATETER PIC PARA ADULTO DESTINADOS A LA ATENCION  DE PACIENTES DEL HOSPITAL MILITAR CENTRAL</t>
  </si>
  <si>
    <t>JAIME ANTONO ADDIE</t>
  </si>
  <si>
    <t>CSLLE 79 # 74-29</t>
  </si>
  <si>
    <t>241-2018</t>
  </si>
  <si>
    <t>SAKAL Y YARA S.A.S</t>
  </si>
  <si>
    <t>SUSCRIPCION A BASES DE DATOS ACADEMICAS PARA BUSQUEDA EN LINEA DE INFORMACION Y APOYO ACADEMICO E INVESTIGATIVO PARA LA UNIDAD DE INVESTIGACION CIENTIFICA DEL HOSPITAL MILITAR CENTRAL</t>
  </si>
  <si>
    <t>ANGELICA BERMUDEZ</t>
  </si>
  <si>
    <t>900,971,565-1</t>
  </si>
  <si>
    <t>CARRERA 17 A  # 119 A -10 OFICINA 502</t>
  </si>
  <si>
    <t>7515868</t>
  </si>
  <si>
    <t>banyakcol@gmail.com</t>
  </si>
  <si>
    <t>242-2018</t>
  </si>
  <si>
    <t>ENDO SURGICAL S.A.S</t>
  </si>
  <si>
    <t>SUMINISTRO DE ELEMENTOS DE CURACION DESTINADOS A LA ATENCION DE PACIENTES DE LAS AREAS DE HOSPITALIZACION, CUIDADO INTENSIVO, HEMATOONCOLOGIA, SALAS DE CIRUGIA URGENCIAS, CONSULTA EXTERNA, RADIOLOGIA. CLINICA DE HERIDAS Y PACIENTES AMBULATORIOS DEL HOSPITAL MILITAR CENTRAL</t>
  </si>
  <si>
    <t>MARTHA RODRIGUEZ FIGUEROA - ROCIO ELENA PINO</t>
  </si>
  <si>
    <t>SAYI SMITH VARGAS</t>
  </si>
  <si>
    <t>900,545,352-1</t>
  </si>
  <si>
    <t>CARRERA 37  # 37-93</t>
  </si>
  <si>
    <t>6909644</t>
  </si>
  <si>
    <t>servicioalcliente@endosurgical.com.co</t>
  </si>
  <si>
    <t>243-2018</t>
  </si>
  <si>
    <t>244-2018</t>
  </si>
  <si>
    <t>3M COLOMBIA S.A</t>
  </si>
  <si>
    <t>ENRIQUE TURK GERNANDEZ</t>
  </si>
  <si>
    <t>860,002,693-3</t>
  </si>
  <si>
    <t>AV EL DORADO # 75-93</t>
  </si>
  <si>
    <t>4161666</t>
  </si>
  <si>
    <t>rcuello@mmm.com</t>
  </si>
  <si>
    <t>245-2018</t>
  </si>
  <si>
    <t>LIFE SUMINISTROS MEDICOS S.A.S</t>
  </si>
  <si>
    <t>GIAN CARLO MARIA PEREZ</t>
  </si>
  <si>
    <t>900,240,177-9</t>
  </si>
  <si>
    <t xml:space="preserve">CALLE 84 # 50-10 LOCAL 206 A </t>
  </si>
  <si>
    <t>carlos.duran@lifsumimed.com</t>
  </si>
  <si>
    <t xml:space="preserve">BARRANQUILLA </t>
  </si>
  <si>
    <t>246-2018</t>
  </si>
  <si>
    <t>SUMINISTRO DE INSUMOS MEDICO QUIRURGICOS (ELECTRODOS DESECHABLES ADULTO Y PEDIATRICO) PARA LA REALIACION DEL PROGRAMA QUIRURGICO EN SALAS DE CIRUGIA Y OS DEMAS SERVICIOS QUE COMPONEN LA UNIDAD CLINICO QUIRURGICA DEL HOSPITA MIITAR CENTRAL</t>
  </si>
  <si>
    <t>DR. LUIS HERNANDO RAMIREZ CEDEÑO</t>
  </si>
  <si>
    <t>3313040</t>
  </si>
  <si>
    <t>247-2018</t>
  </si>
  <si>
    <t>TRASMASUR TIENDA DE LA SALUD</t>
  </si>
  <si>
    <t>BERTHA INES TOUS</t>
  </si>
  <si>
    <t>FELIPE ANDRESPOLANIA MEJIA</t>
  </si>
  <si>
    <t>900,576,732-1</t>
  </si>
  <si>
    <t>CALLE 60 # 6 A -25</t>
  </si>
  <si>
    <t>3105603204</t>
  </si>
  <si>
    <t>felipe.traumasur@gmail.com</t>
  </si>
  <si>
    <t>248-2018</t>
  </si>
  <si>
    <t>CHAHER S.A.S</t>
  </si>
  <si>
    <t>MODERNIZACION Y PUEST E FUNCIONAMIENTO  DE LA SEGUNDA FASE CENTRAL DE GASES MEDICINALES CON LA INCLUSION DE OBRA CIVIL Y ADQUISISION DE EQUIPOS PARA EL HOSPITAL MILITAR CENTRAL NIVEL III Y IV</t>
  </si>
  <si>
    <t>JAVIER VEGA - CARLOS ENRIQUE MORALES</t>
  </si>
  <si>
    <t>LUIS ENRIQUE CHAPARRO</t>
  </si>
  <si>
    <t>860,534,160-2</t>
  </si>
  <si>
    <t>CARRERA 47 # 91-26</t>
  </si>
  <si>
    <t>2571900</t>
  </si>
  <si>
    <t>administracion@chaher.net</t>
  </si>
  <si>
    <t>249-2018</t>
  </si>
  <si>
    <t>BECTON DICKINSON DE COLOMBIA LTDA</t>
  </si>
  <si>
    <t>SUMINISTRO DE INSUMOS Y REACTIVOS PARA REALIZAR  TECNICAS DE INMUNOHISTOQUIMICA AUTOMATIZADA CITOMETRIA DE FLUJO Y REALIZACION DE AUTOPSIAS</t>
  </si>
  <si>
    <t>PAMELA XIMENA SAAVEDRA MORALES</t>
  </si>
  <si>
    <t>860,020,309-6</t>
  </si>
  <si>
    <t>CLIS VEREDA VUELTA GRANDE A 150 MTS GLORIETA  SIBERA VIA COTA  BODEGA 56 Y 57</t>
  </si>
  <si>
    <t>7566060</t>
  </si>
  <si>
    <t>licitaciones.col@bd.com</t>
  </si>
  <si>
    <t>COTA</t>
  </si>
  <si>
    <t>250-2018</t>
  </si>
  <si>
    <t>BONGA BUSTANMANTE S.A.S</t>
  </si>
  <si>
    <t>PRESTACION DE SERVICIOS PARA LA REALIZACION DE UN DIPLIMADO DE ACREDITACION IPS</t>
  </si>
  <si>
    <t>PILAR ADRIANA DUARTE</t>
  </si>
  <si>
    <t>MARCELA BUSTAMANTE SERPA</t>
  </si>
  <si>
    <t>800,181,439-7</t>
  </si>
  <si>
    <t>CARRERA 14  A # 127 A -68 OFICINA 303</t>
  </si>
  <si>
    <t>7046786</t>
  </si>
  <si>
    <t>bmarser.mb@gmail.com</t>
  </si>
  <si>
    <t>251-2018</t>
  </si>
  <si>
    <t>INTERLAB COLOMBIA S.A.S</t>
  </si>
  <si>
    <t>SUMINISTRO DE INSUMOS , REACTIVOS Y ELEMENTOS PARA DIAGNOSTICO DE ENFERMEDADES DE LA COAGULACION PARA LA ATENCION DE PACIENTES DEL HOSPITAL MILITAR CENTRAL</t>
  </si>
  <si>
    <t>RAMON CAMILO FUENTES</t>
  </si>
  <si>
    <t>900,542,229-1</t>
  </si>
  <si>
    <t>AUTOPISTA MEDELLIN M 2,5 CENTRO INDUSTRIAL PORTO SABANA 80 BODEGA 50</t>
  </si>
  <si>
    <t>8985371</t>
  </si>
  <si>
    <t>cfuentes@interlabcolombia.com</t>
  </si>
  <si>
    <t>252-2018</t>
  </si>
  <si>
    <t>ABBOTT LABORATORIES DE COLOMBIA S.A.S</t>
  </si>
  <si>
    <t>SUMINISTRO DE REACTIVOS  REQUERIDOS POR EL LABORATORIO PARA EL DIAGNOSTICO DE ALERGIAS, INFECCIONES BACTERIANAS Y VIRALES PARA LA ATENCION A OS USUARIOS DEL HOSPITAL MILITAR CENTRAL</t>
  </si>
  <si>
    <t>MARTHA MEDINA</t>
  </si>
  <si>
    <t>JUAN MANUEL FONSECA SARAVIA</t>
  </si>
  <si>
    <t>860,002,134-8</t>
  </si>
  <si>
    <t>CALLE 100 # 9 A - 45 PISO 14</t>
  </si>
  <si>
    <t>6285745</t>
  </si>
  <si>
    <t>rodriguez.sandra@abbott.com</t>
  </si>
  <si>
    <t>253-2018</t>
  </si>
  <si>
    <t>REALIZAR LA INTERVENTORIA TECNICA, ADMINISTRATIVA, JURIDICA, FINANCIERA, CONTABLE Y AMBIENTAL AL CONTRATO CUYO OBJETO ES: MODERNIZACION  Y PUESTA EN FUNCIONAMIENTO DE LA SEGUNDA FASE CENTRAL DE GASES MEDICINALES CON LA INCUSION DE OBRA CIVIL Y ADQUISISION DE EQUIPOS PARA EL HOSPITAL MIITAR CENTRAL NIVEL III Y IV</t>
  </si>
  <si>
    <t>254-2018</t>
  </si>
  <si>
    <t>INSTALACION DE PROTECCION RADILOGICA EN ZONA DE HABITACION PARA TRATAMIENTO DE PACIENTES CON TERAPIA DE YODO RADIACTIVO EN EL AREA DE MEDICINA NUCLEAR DEL HOSPITAL MILITAR CENTRAL</t>
  </si>
  <si>
    <t>SS. ANTONIO MELO SANTANDER</t>
  </si>
  <si>
    <t>CARRERA 14 # 87-60</t>
  </si>
  <si>
    <t>info@radproctltda.com</t>
  </si>
  <si>
    <t>255-2018</t>
  </si>
  <si>
    <t>UNIMAQ S.A</t>
  </si>
  <si>
    <t>SP CARLOS BEDOYA GUERRA</t>
  </si>
  <si>
    <t>ALEJANDRO NICOLAS ANTONIO MARIA VELEZ VAN MEERBEKE</t>
  </si>
  <si>
    <t>860,007,229-1</t>
  </si>
  <si>
    <t>CALLE 13 # 68 A -45</t>
  </si>
  <si>
    <t>2627666</t>
  </si>
  <si>
    <t>info@unimaq.cm</t>
  </si>
  <si>
    <t>256-2018</t>
  </si>
  <si>
    <t>CONTRACTUAL LEGAL ADVISERS</t>
  </si>
  <si>
    <t>PRESTACION DE SERVICIOS PARA CONTRATAR UN SERVICIO DE CATHERING PARA LA CELEBRACION DEL DIA DE LOS NIÑOS</t>
  </si>
  <si>
    <t>ANGIE JULIETH ROJAS MILLAN</t>
  </si>
  <si>
    <t>900,978,353-7</t>
  </si>
  <si>
    <t>CALLE 17 S # 5 A -47</t>
  </si>
  <si>
    <t>7536648</t>
  </si>
  <si>
    <t>257-2018</t>
  </si>
  <si>
    <t>SUMINISTRO DE MATERIAL DE CURACION (AGUJA PARA  ASPIRACION MEDULA OSEA ADULTO Y PEDIATRICO). DESTINAADOS A LA ATENCION DE PACIENTES DEL HOSPITAL MILITAR CENTRAL</t>
  </si>
  <si>
    <t>CARMENZA CUARTAS</t>
  </si>
  <si>
    <t>TRANVERSAL 6 # 45-135</t>
  </si>
  <si>
    <t>258-2018</t>
  </si>
  <si>
    <t>PUBLICIDAD EN CUERO REPUJADO LTDA</t>
  </si>
  <si>
    <t>ADQUISISION DE BIENES PARAA EL RECONOCIMIENTO DE FUNCIONARIOS , MILITARESEN COMISION, Y RENDIR HONOR A LOS SIMBOLOS PATRIOS DEL HOSPITAL MILITAR CENTRAL</t>
  </si>
  <si>
    <t>GIOVANNY ALEJANDRO PORRAS HOLGUIN</t>
  </si>
  <si>
    <t>MARIA INES CARRILLO</t>
  </si>
  <si>
    <t>830,502,014-9</t>
  </si>
  <si>
    <t>CL 98 A # 61-76</t>
  </si>
  <si>
    <t>2717573</t>
  </si>
  <si>
    <t>publicidadencuero@gmail.com</t>
  </si>
  <si>
    <t>259-2018</t>
  </si>
  <si>
    <t>BOSTON MEDICAL DEVICES COLOMBIA LTDA</t>
  </si>
  <si>
    <t>clCL 76 # 11-1</t>
  </si>
  <si>
    <t>3190830</t>
  </si>
  <si>
    <t>260-2018</t>
  </si>
  <si>
    <t>GILBERTO ROMERO ARDILA Y JANETH TOQUICA</t>
  </si>
  <si>
    <t>261-2018</t>
  </si>
  <si>
    <t>PRESTACION DEL SERVICIO DE IRRADIACION DE COMPONENTES SANGUINEOS (GLOBULOS ROJOS POBRES EN LEUCOCITOS, PLAQUETAS POBRES EN LEUCOCITOS Y CUP DE PLAQUETAS POR AFERESIS) PARA LA ATENCION DE LOS PACIENTES DE PADIATRIA DEL HOSPITAL MILITAR CENTRAL</t>
  </si>
  <si>
    <t>GLORIA NEIRA SILVA</t>
  </si>
  <si>
    <t>BERNARDO ARMANDO CAMACHO RODRIGUEZ</t>
  </si>
  <si>
    <t>CARRERA 32 # 12-81 EDIFICIO HEMOCENTRO</t>
  </si>
  <si>
    <t>3649620</t>
  </si>
  <si>
    <t>oylopez@idcbis.org.co</t>
  </si>
  <si>
    <t>262-2018</t>
  </si>
  <si>
    <t>HOSPIMEDICS S.A</t>
  </si>
  <si>
    <t>SUMINISTRO DE INSUMOS PARA PHMETRIA Y PHMETRIA MAS IMPENDANCIOMETRIAS PARA PACIENTES DEL SERVICIO DE GASATROENTEROLOGIA DEL HOSPITAL MILITAR CENTRAL</t>
  </si>
  <si>
    <t>BRIGITTE LINA MEYER TELLEZ</t>
  </si>
  <si>
    <t>860,351,760-5</t>
  </si>
  <si>
    <t>AVENIDA CARRERA 45 # 118-60</t>
  </si>
  <si>
    <t>6209777</t>
  </si>
  <si>
    <t>liderlicitaciones@hospimedics.com</t>
  </si>
  <si>
    <t>263-2018</t>
  </si>
  <si>
    <t>SUMINISTRO DE ELEMENTOS INSUMOS Y DISPOSITIVOS MEDICOS PARA LOS PROCEDIMIENTOS QUIRURGICOS DEL SERVICIO DE OFTAMOLOGIA DEL HOSPITAL MILITAR CENTRAL</t>
  </si>
  <si>
    <t>JANNETH TOQUICA OSORIO</t>
  </si>
  <si>
    <t>264-2018</t>
  </si>
  <si>
    <t>QUIMBERLAB S.A</t>
  </si>
  <si>
    <t>SUMINISTRO DE REACTIVOS E INSUMOS REQUERIDOS POR EL LABORATORIO DEL HOSPITAL MILITAR CENTRAL PARA LA REALIZACION DE HEMATOLOGIA, GASES ARTERIALES Y FUNCION RENAL</t>
  </si>
  <si>
    <t>VIVIANA ANDREA QUINTANA</t>
  </si>
  <si>
    <t>800,005,736-7</t>
  </si>
  <si>
    <t>CALLE 67 # 5-42</t>
  </si>
  <si>
    <t>3158902262</t>
  </si>
  <si>
    <t>viviana.quintana@quimberlab.com.co</t>
  </si>
  <si>
    <t>265-2018</t>
  </si>
  <si>
    <t>GUERRA Y GUERRA S.A.S</t>
  </si>
  <si>
    <t>MARIA DIGNORA AYA MORALES</t>
  </si>
  <si>
    <t>900,574,975-3</t>
  </si>
  <si>
    <t>CALLE 5 D # 38 A -35 OFICINA 601</t>
  </si>
  <si>
    <t>5548472</t>
  </si>
  <si>
    <t>ADMINISTRACIONCOL@GUEGUEIN.COM</t>
  </si>
  <si>
    <t>266-2018</t>
  </si>
  <si>
    <t>ADQUSISION E INSTALACION DE REPUESTOS, ACCESORIOS E INSUMOS CONSUMIBLES NUEVOS NO REMANUFACTURADOS, PARA LA PUESTA EN FUNCIONAMIENTO DEL ECOGRAFO ALOKA PROSOUND ALPHA 7 S/N: 203ZZ186 DEL SERVICIO DE GINCECOLOGIA DEL HOSPITAL MILITAR CENTRAL</t>
  </si>
  <si>
    <t>IVONNE DIAZ YAMAL</t>
  </si>
  <si>
    <t>AVENIDA 13 # 118-98</t>
  </si>
  <si>
    <t>info@hospimedics.com</t>
  </si>
  <si>
    <t>267-2018</t>
  </si>
  <si>
    <t>268-2018</t>
  </si>
  <si>
    <t>ALFONSO FRANCISCO JAVIER VARGAS MALAVER</t>
  </si>
  <si>
    <t>PRESTACION DE SERVICIOS PROFESIONALES DE UN MEDICO ESPECIALISTA EN RADIOLOGIA CON ENTRENAMIENTO EN INTERVENCIONISMO</t>
  </si>
  <si>
    <t>7,180,401</t>
  </si>
  <si>
    <t>CARRERA 7 C # 146-45 APTO 603</t>
  </si>
  <si>
    <t>fvargasmalaver@gmail.com</t>
  </si>
  <si>
    <t>269-2018</t>
  </si>
  <si>
    <t>BRASMEDICA COLOMBIA S.A</t>
  </si>
  <si>
    <t>ADQUISISION E INSTALACION DE REPUESTOS, ACCESORIOS E INSUMOS Y/O CONSUMIBLES NUEVOS NO REMANUFACTURADOS. PARA LA PUESTA EN FUNCIONAMIENTO DEL LITOTRIPTOR DEL SERVICIO DE UROLOGIA DEL HOSPITAL MILITAR CENTRAL</t>
  </si>
  <si>
    <t>CAROLINA ULLOA VELAZQUEZ</t>
  </si>
  <si>
    <t>900,103,910-5</t>
  </si>
  <si>
    <t>CALLE 83 A # 23-82</t>
  </si>
  <si>
    <t>6103123</t>
  </si>
  <si>
    <t>gerencia@brasmedica.com</t>
  </si>
  <si>
    <t>PEREIRA</t>
  </si>
  <si>
    <t>270-2018</t>
  </si>
  <si>
    <t>DISTRICLINICOS S.A.S</t>
  </si>
  <si>
    <t>SUMINISTRO DE INSUMOS PARA RADIOLOGIA INTERVENCIONISTA PARA LA REALIZACION  DE PROCEDIMIENTOS EN EL SERVICIO DE IMÁGENES DIAGNOSTICAS DEL HOSPITAL MILITAR CENTRAL</t>
  </si>
  <si>
    <t>ANGEL DONATO RONDON</t>
  </si>
  <si>
    <t>ANA MARIA QUINTERO TOBON</t>
  </si>
  <si>
    <t>816,000,114-1</t>
  </si>
  <si>
    <t>AV 30 DE AGOSTO # 49-12</t>
  </si>
  <si>
    <t>3363756</t>
  </si>
  <si>
    <t>comercial@districlinicos.com</t>
  </si>
  <si>
    <t>272-2018</t>
  </si>
  <si>
    <t>GESTION DE SEGURIDAD ELECTRONICA</t>
  </si>
  <si>
    <t>ADQUISISION DE CERTIFICADO SDIGITALES TOKEN PARA REALIZAR LOS REQUISITOS EN EL SISTEMA SIIF NACION II DEL HOSPITALMILITAR CENTRAL</t>
  </si>
  <si>
    <t>MARTHA YANETH VARGAS</t>
  </si>
  <si>
    <t>ELSY YANETH MELO GUTIERREZ</t>
  </si>
  <si>
    <t>900,204,272-8</t>
  </si>
  <si>
    <t>CRA 82 # 46 A - 93 LOCAL 1</t>
  </si>
  <si>
    <t>7051888</t>
  </si>
  <si>
    <t>INFO@GSE.COM.CO</t>
  </si>
  <si>
    <t>273-2018</t>
  </si>
  <si>
    <t>ROCHEM BIOCARE COLOMBIA S.A</t>
  </si>
  <si>
    <t>SUMINISTRO DE REACTIVOS Y ELEMENTOS PARA EL DIAGNOSTICO POR BIOLOGIA MOLECULAR DE ENFERMEDADES INFECCIOSAS PARA LA ATENCION DE USUARIOS DEL HOSPITAL MILITAR CENTRAL</t>
  </si>
  <si>
    <t>NORMA PATRICIA HERRAN SANCHEZ</t>
  </si>
  <si>
    <t>860,500,862-8</t>
  </si>
  <si>
    <t>CALLE 13 C# 60-49</t>
  </si>
  <si>
    <t>4464343</t>
  </si>
  <si>
    <t>pedidos@rochembiocare.com</t>
  </si>
  <si>
    <t>274-2018</t>
  </si>
  <si>
    <t>TECNOLOGIAS MEDICAS COLOMBIA S.A.S</t>
  </si>
  <si>
    <t>SUMINISTRO DE INSUMOS PARA EL SERVICIO DE UROLOGIA EL HOSPITAL MILITAR CENTRAL</t>
  </si>
  <si>
    <t>ADRIANA MARIN NUÑEZ CASTRO</t>
  </si>
  <si>
    <t>900,448,208-3</t>
  </si>
  <si>
    <t>CARA 10 # 97 A 13 OFICINA 306 TORRE A</t>
  </si>
  <si>
    <t>3453663</t>
  </si>
  <si>
    <t>luisnieto@nietochalela.com</t>
  </si>
  <si>
    <t>275-2018</t>
  </si>
  <si>
    <t>MEQ TECNOLOGIA MEDICA S.A.S</t>
  </si>
  <si>
    <t>LEDYS MARIA IZQUIERDO</t>
  </si>
  <si>
    <t>LUIS HNRY MEJIA GUTIERREZ</t>
  </si>
  <si>
    <t>900,810,249-8</t>
  </si>
  <si>
    <t>AV CALLE 19 # 4-86</t>
  </si>
  <si>
    <t>829708</t>
  </si>
  <si>
    <t>gerencia@meqtm.com</t>
  </si>
  <si>
    <t>276-2018</t>
  </si>
  <si>
    <t>HOSPIOFFICE DOTACIONES Y HOSPITALARIASS.S.A.S</t>
  </si>
  <si>
    <t>ADQUISISION DE DOPPLER FETAL PARA EL SERVICIO DE URGENCIAS DEL HOSPITAL MILITAR CENTRAL</t>
  </si>
  <si>
    <t>JUAN CARLOS GOMEZ</t>
  </si>
  <si>
    <t>PABLO ALBERTO JIMENEZ PADILLA</t>
  </si>
  <si>
    <t>900,392,426-1</t>
  </si>
  <si>
    <t>CARRERA 53 # 104 B -35 OFICINA 306</t>
  </si>
  <si>
    <t>253977</t>
  </si>
  <si>
    <t>gerencia@hospioffice.com</t>
  </si>
  <si>
    <t>277-2018</t>
  </si>
  <si>
    <t>SUMINISTRO DE INSUMOS MEDICO QUIRURGICOS PARA EL SERVICIO DE GASTROENTEROLOGIA DEL HOSPITAL MILITAR CENTRAL</t>
  </si>
  <si>
    <t>JORGE SALEG</t>
  </si>
  <si>
    <t>MARIA ELVIRA FRANCO ARCHILA</t>
  </si>
  <si>
    <t>278-2018</t>
  </si>
  <si>
    <t>TM MEDICAS S.A</t>
  </si>
  <si>
    <t>ADQUISISION DE INSUMOS MEDICOQUIRURGICOS (ENDOPROTESIS AORTICA FENESTRADA CUSTOM MEDECOOK) PARA LA CORRECCION DE ANEURISMA  DE AORTA ABDOMINAL PARA PACIENTES QUE HACEN PARTE DEL SUBSISTEMA DE SALUD DE LAS FUERZAS MILITARES</t>
  </si>
  <si>
    <t>CAMILO MUTIULLAS ARBOLEDA</t>
  </si>
  <si>
    <t>800,108,708-3</t>
  </si>
  <si>
    <t>CALLE 100 # 8A - 49 EDIFICIO WOLRD TRADE CENTER OFC 5050 TORRE B</t>
  </si>
  <si>
    <t>6112329</t>
  </si>
  <si>
    <t>tmmedicas@tmmedicas.com</t>
  </si>
  <si>
    <t>279-2018</t>
  </si>
  <si>
    <t>SUMINISTRO DE INSUMOS  Y REACTIVOS PARA REALIZAR TECNICAS DE INMUNOHISTOQUIMICA, AUTOMATIZADA, CITOMETRIA DE FLUJO Y REALIZACION DE AUTOPSIAS</t>
  </si>
  <si>
    <t>PAMELA XIIMENA SAAVEDRA</t>
  </si>
  <si>
    <t>280-2018</t>
  </si>
  <si>
    <t>281-2018</t>
  </si>
  <si>
    <t>BIOCOL LTDA</t>
  </si>
  <si>
    <t>CARA 54 # 44 A -37</t>
  </si>
  <si>
    <t>3243388</t>
  </si>
  <si>
    <t>282-2018</t>
  </si>
  <si>
    <t>KCI COLOMBIA S.A</t>
  </si>
  <si>
    <t>SUMINISTRO DE INSUMOS MEDICO QUIRURGICOS DE MATERIALES PARA LA UTILIZACION DE LOS EQUIPOS V.A.C. PARA LOS DIFERENTES SERVICIOS DEL HOSPITAL MILITAR CENTRAL</t>
  </si>
  <si>
    <t>CARLOS ANDRES TORO</t>
  </si>
  <si>
    <t>900,894,722-1</t>
  </si>
  <si>
    <t>CRA 11 # 98-07  OFICINA 203 B</t>
  </si>
  <si>
    <t>7447871</t>
  </si>
  <si>
    <t>MAURICIO.ESCOBAR@KCII.COM</t>
  </si>
  <si>
    <t>283-2018</t>
  </si>
  <si>
    <t>TECNO DISEÑO S.A.S</t>
  </si>
  <si>
    <t>MANTENIMIENTO PREVENTIVO Y LOS CORRECTIVOS  QUE SEAN NECESARIOS INCLUYENDO REPUSTOS ORIGINALES NUEVOS NO REMANUFACTURADOS DE LOS MICROTOMOS, MICROSCOPIOS Y EQUIPOS MARCA SAKURA, LEICA, NIKON DEL SERVICIO DE PATOLOGIA DEL HOSPITAL MILITAR CENTRAL</t>
  </si>
  <si>
    <t>SANDRA MILENA ESCOBAR</t>
  </si>
  <si>
    <t>900,019,481-8</t>
  </si>
  <si>
    <t>CALLE 74 B # 68 G -41</t>
  </si>
  <si>
    <t>2258838</t>
  </si>
  <si>
    <t>soporte@tecno.net.co</t>
  </si>
  <si>
    <t>284-2018</t>
  </si>
  <si>
    <t>SUMINISTRO DE MATERIAL DE CURACION (BARRERAS Y BOLSAS DE COLOSTOMIA) DESTINADOS A LA ATENCION DE PACIENTES DEL HOSPITAL MILITAR CENTRAL</t>
  </si>
  <si>
    <t>287-2018</t>
  </si>
  <si>
    <t>SUMINISTRO DE BATERIAS NUEVAS ORIGINALES NO REMANUFACTURADAS PARA LOS EQUIPOS BIOMEDICOS  DE LOS DOFERENTES SERVICIOS ASISTENCIALES DEL HOSPITAL MILITAR CENTRAL</t>
  </si>
  <si>
    <t>CALLE 99 A # 68 B -60</t>
  </si>
  <si>
    <t>288-2018</t>
  </si>
  <si>
    <t>DATAR COLOMBIA S.A.S</t>
  </si>
  <si>
    <t>ADQUISISION, INSTALACION, CONFIGURACION, Y SOPORTE TECNICO PARA LA AMLIACION DE LAS MEMORIAS RAM DE LOS SERVIDORES ORACLE SPARC TA-1 QUE ACTUALMENTE POSEE EL HOSPITAL MILIAR CENTRAL</t>
  </si>
  <si>
    <t>ALEXANDER MARQUEZ CEPEDA</t>
  </si>
  <si>
    <t>900,751,017-1</t>
  </si>
  <si>
    <t>CALLE 152 # 72-51 OFICINA 4 202</t>
  </si>
  <si>
    <t>3214946289</t>
  </si>
  <si>
    <t>richard.sanchez@datar.com.co</t>
  </si>
  <si>
    <t>289-2018</t>
  </si>
  <si>
    <t>FARMAPOS</t>
  </si>
  <si>
    <t>SUMINISTRO DE FORMULAS LACTEASINFANTILES, COMPLEMENTOS Y SUPLEMENTOS NUTRICIONALES, BIBERONES Y MEZCLAS ENTERALES VIA SONDA PARA LOS PACIENTES HOSPITALIZADOS EN EL HOSPITAL MILITAR CENTRAL</t>
  </si>
  <si>
    <t>ROCIO PUERTO - IVAN KATIME</t>
  </si>
  <si>
    <t>FREDDY GERARDO ORTEGA</t>
  </si>
  <si>
    <t>830,134,902-5</t>
  </si>
  <si>
    <t>CARRERA 25 # 39 A -41</t>
  </si>
  <si>
    <t>2694909</t>
  </si>
  <si>
    <t>info@farmapos.com</t>
  </si>
  <si>
    <t>290-2018</t>
  </si>
  <si>
    <t>RAFAEL ANTONIO SALAMANCA</t>
  </si>
  <si>
    <t>RAFAE ANTONIO SALAMANCA</t>
  </si>
  <si>
    <t>17,068,260</t>
  </si>
  <si>
    <t>TRANVERSAL 93 # 51-93 BODEGA 18</t>
  </si>
  <si>
    <t>7432597</t>
  </si>
  <si>
    <t>jasmina.salamanca@ddb.com.co</t>
  </si>
  <si>
    <t>291-2018</t>
  </si>
  <si>
    <t>800,250,382-2</t>
  </si>
  <si>
    <t>TRANVERSAL 23 # 93-23</t>
  </si>
  <si>
    <t>2579781</t>
  </si>
  <si>
    <t>292-2018</t>
  </si>
  <si>
    <t>LABORATORIOS BAXTER</t>
  </si>
  <si>
    <t>JUAN CARLOS FERNANDEZ OROZCO</t>
  </si>
  <si>
    <t>890,300,292-0</t>
  </si>
  <si>
    <t>CALLE 36 # 2C-22</t>
  </si>
  <si>
    <t>5893000</t>
  </si>
  <si>
    <t>luisa_quintero@baxter.com</t>
  </si>
  <si>
    <t>293-2018</t>
  </si>
  <si>
    <t>PRESTACION DE SERVICIOS PROFESIONALES EN TERAPIAS INTEGRADAS E INTERDISCIPLINARIAS MENSUALES PARA TRATAMIENTO DE DISCAPACIDAD MOTORA,COGNITIVA Y SENSORIAL PARA EL PACINTE CON HISTORIA CLINICA N° 1019902738</t>
  </si>
  <si>
    <t>CALLE 119A # 70-48</t>
  </si>
  <si>
    <t>administracion@sindromededown.org</t>
  </si>
  <si>
    <t>294-2018</t>
  </si>
  <si>
    <t>PRESTACION DE SERVICIOS PARA LA REALIZACION DE EXAMENES EXTRAHOSPITALARIOS DIAGNOSTICOS DE TOMOGRAFIA POR EMISION DE POSITRONES (PET), QUE NO SE REALIZAN EN EL HOSPITAL MILITAR CENTRAL</t>
  </si>
  <si>
    <t>295-2015</t>
  </si>
  <si>
    <t>BOSTON MEDICAL GROUP</t>
  </si>
  <si>
    <t>HILSEN DURAN LOPEZ</t>
  </si>
  <si>
    <t>CALLE 76 # 1-17</t>
  </si>
  <si>
    <t>296-2018</t>
  </si>
  <si>
    <t>CALLE 51 # 72 A -28</t>
  </si>
  <si>
    <t>297-2018</t>
  </si>
  <si>
    <t>IVAN KATIME</t>
  </si>
  <si>
    <t>TRV 23 # 93-23 BARRIO CHICO</t>
  </si>
  <si>
    <t>6113831</t>
  </si>
  <si>
    <t>298-2018</t>
  </si>
  <si>
    <t>SOS SOLUCIONES DE OFICINA Y SUMINISTRSO S.A.S</t>
  </si>
  <si>
    <t>SUMINISTRO DE PAPELERIA Y UNIDADES DE ALMACENAMIENTO PARA CUBRIR LAS NECESIDADES DEL HOSPITAL MILITAR CENTRAL</t>
  </si>
  <si>
    <t>CRSTIANA WILCHES</t>
  </si>
  <si>
    <t>830,087,030-6</t>
  </si>
  <si>
    <t>AUTOPISTA MEDELLIN KM 3,5 TERMINAL TERRESTRE DE CARGA MODULO 2 BDEGA 72 COTA</t>
  </si>
  <si>
    <t>8964545</t>
  </si>
  <si>
    <t>aalzaate@sossuministros.com</t>
  </si>
  <si>
    <t>299-2018</t>
  </si>
  <si>
    <t>CORONEL JANETH TOQUICA</t>
  </si>
  <si>
    <t>ROBERTO ERNESTO RIQUELME MORAGA</t>
  </si>
  <si>
    <t>CRA 14 # 94-81</t>
  </si>
  <si>
    <t>6224900</t>
  </si>
  <si>
    <t>300-2018</t>
  </si>
  <si>
    <t>JUAN CARLOS JAIMES MUÑOZ</t>
  </si>
  <si>
    <t>PRESTACION DE SERVICIOS PROFESIONALES PARA REALIZAR, ACTUALIZAR Y DETERMINAR EL CALCULO ACTUARIAL DEL VALOR TOTAL DEL PASIVO PENSIONAL Y REALIZAR LA ACTUALIZACION Y DETERMINACION DEL CALCULO ACTUARIAL DE LA DEVOLUCION DE APORTES POR COBRAR A COLPNSIONES EN FAVOR DEL HOSPITAL MILITAR CENTRAL EN MATERIA PENSIONAL CON DATOS CONSOLIDADOS A 31-12-2018</t>
  </si>
  <si>
    <t>CILIA BELEN VIVAS GOMEZ</t>
  </si>
  <si>
    <t>79,415,784</t>
  </si>
  <si>
    <t xml:space="preserve">CALLE 10 # 6 A - 47 </t>
  </si>
  <si>
    <t>3164654974</t>
  </si>
  <si>
    <t>juancjm@yahoo.com</t>
  </si>
  <si>
    <t>301-2018</t>
  </si>
  <si>
    <t>SUMINITRO DE BALONES DE CONTRAPULSACION COMPATIBLES CON CONSOLA MARCA DATASCOPE C$300 PARA LOS SERVICIOS QUE COMPONEN LA UNIDAD CLINICO QUIRURGICA DEL HOSPITAL MILITAR CENTRAL</t>
  </si>
  <si>
    <t>RICARDO URIBE MORENO</t>
  </si>
  <si>
    <t>NANCY JUDITH CESPEDES</t>
  </si>
  <si>
    <t>CALLE 99 # 14-76 PISO 12</t>
  </si>
  <si>
    <t>6226700</t>
  </si>
  <si>
    <t>elina,castro@gbarco.com.co</t>
  </si>
  <si>
    <t>302-2018</t>
  </si>
  <si>
    <t>PRESTACION DE SERVICIOS DE SALUD PARA LA REALIZACION DE EXAMENES DE LABORATORIO CLINICO, DIAGNOSTICO Y TERAPEUTICO EXTRAHOSPITALARIOS PARA EL HOSPITAL MILITAR CENTRAL</t>
  </si>
  <si>
    <t>CARRERA 9 # 122-45</t>
  </si>
  <si>
    <t>6192237</t>
  </si>
  <si>
    <t>COMERCIAL1@LBLIH.NET</t>
  </si>
  <si>
    <t>304-2018</t>
  </si>
  <si>
    <t>RIVEROS BOTERO COMPAÑÍA LTDA</t>
  </si>
  <si>
    <t>AVENIDA BOYACA # 64 F - 50</t>
  </si>
  <si>
    <t>gerenciarb@productosplasticos.co</t>
  </si>
  <si>
    <t>306-2018</t>
  </si>
  <si>
    <t>ADQUIISION, PREINSTALACION, INSTALACION Y PUESTA EN FUNCIONAMIENTO DEL EQUIPO BIOMEDICO (SILLON PARA CIRUJANO OFTALMOLOGIA) CON DESTINO AL SERVICIO DE OFTALMOLOGIA DEL HOSPITAL MILITAR CENTRAL</t>
  </si>
  <si>
    <t xml:space="preserve">JEANNETH TOQUICA -GILBERTO ROMERO </t>
  </si>
  <si>
    <t>CRA 79 # 19-20 TORRE 1 OFICINA 806</t>
  </si>
  <si>
    <t>SMN.COLUCIONESINTEGRALES@GMAIL.COM</t>
  </si>
  <si>
    <t>442-2018</t>
  </si>
  <si>
    <t>ALEXANDRA PARRADO</t>
  </si>
  <si>
    <t>3144270885</t>
  </si>
  <si>
    <t>443-2018</t>
  </si>
  <si>
    <t>MARCO SVEN LINDENAU</t>
  </si>
  <si>
    <t>900,995,746-1</t>
  </si>
  <si>
    <t>CARRERA 20 # 187-40 OFCINA 41</t>
  </si>
  <si>
    <t>4970075</t>
  </si>
  <si>
    <t>carranza.medical@gmail.com</t>
  </si>
  <si>
    <t>444-2018</t>
  </si>
  <si>
    <t>VALLE 26 # 69 D - 91 OFIC 605</t>
  </si>
  <si>
    <t>3203000</t>
  </si>
  <si>
    <t>951-2018</t>
  </si>
  <si>
    <t>MARGARITA MARIA REYES AVILA</t>
  </si>
  <si>
    <t>PRESTACION DE SERVICIOS PROFESIONALES Y DE APOYO A LA GESTION DE UN MEDICO ESPECIALISTA EN GASTROENTEROLOGIA PARA EL HOSPITAL MILITAR CENTRAL</t>
  </si>
  <si>
    <t>26,428,516</t>
  </si>
  <si>
    <t>CALLE 94 # 72 A -51 BLOQUE 8 APTO 204</t>
  </si>
  <si>
    <t>952-2018</t>
  </si>
  <si>
    <t>LIBARDO ENRIQUE LOBATO SUAREZ0</t>
  </si>
  <si>
    <t>RICARDO ENRIQUE LOBATO SUAREZ0</t>
  </si>
  <si>
    <t>71,389,975</t>
  </si>
  <si>
    <t>CARRERA 72 A # 24-72 TORRE 7 APTO 62</t>
  </si>
  <si>
    <t>3016571876</t>
  </si>
  <si>
    <t>984-2018</t>
  </si>
  <si>
    <t>PRODUCTOS ROCHE S.A</t>
  </si>
  <si>
    <t>RODRIGO ALONSO GOMEZ</t>
  </si>
  <si>
    <t>860,003,216-8</t>
  </si>
  <si>
    <t>CARRERA 44 # 20-21</t>
  </si>
  <si>
    <t>4178860</t>
  </si>
  <si>
    <t>michelle.vasquez@roche.com</t>
  </si>
  <si>
    <t>1121-2018</t>
  </si>
  <si>
    <t>MARCO LUCIANO CHARRY LOPEZ</t>
  </si>
  <si>
    <t>PRESTACION DE SERVICIOS PROFESIONALES DE UN MEDICO RADIOLOGO CON ENTRENAMIENTO EN NEURORADIOLOGIA QUE EJERZA ACTIVIDADES DE ANALISIS E INTERPRETACION Y REPORTE DE LAS IMÁGENES OBTENIDAS MEDIANTE LA ADQUIISION DE RESONANCIA MAGNETICA, TOMOGRAFIA COMPUTARIZADA DE CRANEO, ENCEFALO Y MENINGES, CABEZA EXTRACRANEAL, CUELLO, RAQUIS, MEDULA ESPINAL, NERVIOS CRANEALES Y ESPINALES VASOS CERVICALES CRANEALES Y RAQUIMEDULARES</t>
  </si>
  <si>
    <t>10,537,061</t>
  </si>
  <si>
    <t>CALLE 127 A BIS # 15-61 APTO 204</t>
  </si>
  <si>
    <t>2743909</t>
  </si>
  <si>
    <t>marcolcharry@gmail.com</t>
  </si>
  <si>
    <t>1122-2018</t>
  </si>
  <si>
    <t>GYDNEA LOURDES AGUIRRE DAVILA</t>
  </si>
  <si>
    <t>PRESTACION DE SERVICIOS PROFESIONALES DE UN MEDICO CON ESPECIALIZACION EN RADIOLOGIA PARA QUE REALICE EL ANALISIS E INTERPRETACION DE LAS IMAENES OBTENIDAS POR TOMOGRAFIA COMPUTARIZADA, REALIZACION DE PROCEDIMIENTOS  DE ECOGRAFIA GENERAL Y OTROS ESTUDIOS  QUE SE REQUIERAN POR NECESIDAD DEL SERVICIO DE ACUERDO CON EL PERFIL PROFESIONAL</t>
  </si>
  <si>
    <t>53,067,860</t>
  </si>
  <si>
    <t>CARREA 57 # 138-66</t>
  </si>
  <si>
    <t>2486868</t>
  </si>
  <si>
    <t>gydnea@yahoo.com</t>
  </si>
  <si>
    <t>1123-2018</t>
  </si>
  <si>
    <t>AIDE PATRICIA FAJARDO</t>
  </si>
  <si>
    <t>PRESTACION DE SERVICIOS PROFESIONALES DE UN MEDICO RADIOLOGO QUE REALICE LECTURAS DE LAS IMÁGENES OBTENIDAS MEDIANTE RESONANCIA MAGNETICA Y TOMOGRAFIA COMPUTARIZADA, ECOGRAFIA Y RADIOLOGIA CONVENCIONAL</t>
  </si>
  <si>
    <t>51,812,114</t>
  </si>
  <si>
    <t>CALE 24 B  # 71 A -53 TORRE 2 APTO 904</t>
  </si>
  <si>
    <t>3103090921</t>
  </si>
  <si>
    <t>patriciafajardo.radiologia@gmail.com</t>
  </si>
  <si>
    <t>1124-2018</t>
  </si>
  <si>
    <t>LILIANA ARIAS ALVARES</t>
  </si>
  <si>
    <t>PRESTACION DE SERVICIOS PROFESIONALES DE UN MEDICO CON ESPECIALIDAD EN RADIOLOGIA,  PARA QUE REALICE LA LECTURA E INTERPRETACION DE LAS IMÁGENES  DE CUERPO TOMADAS CON ESCENOGRAFIAS, RESONANCIA MAGNETICA, REALIZACION DE ECOGRAFIAS, TOMA DE BIOPSIAS, RADIOGRAFIAS CONVENCIONALES A PACIENTES HOSPITALIZADOS  Y DE CONSULTA EXTERNA DEL HOSPITAL MILITAR CENTRAL</t>
  </si>
  <si>
    <t>66,926,558</t>
  </si>
  <si>
    <t>TRANV 1 ESTE # 54 A -85 APTO 302</t>
  </si>
  <si>
    <t>3006200050</t>
  </si>
  <si>
    <t>liliarias75@hotmail.com</t>
  </si>
  <si>
    <t>1131-2018</t>
  </si>
  <si>
    <t>ANGELICA VIVIANA OSORIO VARGAS</t>
  </si>
  <si>
    <t>PRESTACION DE SERVICIOS PROFESIONALES DE UN MEDICO GENERAL PARA EL SERVICIO DE URGENCIAS DEL HOSPITAL MILITAR CENTRAL</t>
  </si>
  <si>
    <t>1,023,949,511</t>
  </si>
  <si>
    <t xml:space="preserve">CARRERA 8 A # 27 B -52 SUR </t>
  </si>
  <si>
    <t>3007372156</t>
  </si>
  <si>
    <t>vivi.osorio.vargas@gmail.com</t>
  </si>
  <si>
    <t>1132-2018</t>
  </si>
  <si>
    <t>CORPORACION MEDICO QUIRURGICA</t>
  </si>
  <si>
    <t>SERVICIOS MEDICOS ESPECIALIZADOS EN DERMATOLOGIA CLINICA, PARA LA ATENCION DE CONSULTA EXTERNA, CIRUGIA DERMATOLOGICA, CIRUGIA DERMATOLOGICA ONCOLOGICA, PROCEIMIENTOS DIAGNOSTICOS Y TERAPEUTICOS DE TIPO AMBULATORIO, CONSULTA DE FOTOTERAPIA, RESPUESTA A INTERCONSULTAS DE URGENCIAS Y HOSPITLARIAS, CHEQUEOS MEDICOS EJECUTIVOS, HOSPITALIZACION,  DISPONIBILIDAD MEDIANTE LLAMADO TELEFONICO PARA URGENCIAS DERMATOLOGOCAS LAS 24 HORAS DEL DIA. SIETE DIAS A LA SEMANA, EN LAS INSTALACIONES DEL HOSPITAL MILITAR CENTRAL, A PCIENTES ADULTOS, ADOLECENTES, EN EDAD PEDIATRICA, USUARIOS DEL SUBISTEMA DE SALUD DE LAS FUERZAS MILITARES Y HOSPITAL MILITAR CENTRAL CON VIGENCIA FUTURAS 2018-2022</t>
  </si>
  <si>
    <t>ANDRES RICARDO BARRAGAN</t>
  </si>
  <si>
    <t>900,789,891-7</t>
  </si>
  <si>
    <t>corp-med@hotmail.com</t>
  </si>
  <si>
    <t>JUAN MANUEL OSPINA</t>
  </si>
  <si>
    <t>900,018,297-4</t>
  </si>
  <si>
    <t>CALLE 57 C SUR # 81 D -01</t>
  </si>
  <si>
    <t>3598888</t>
  </si>
  <si>
    <t>angelayadira12@hotmail.com</t>
  </si>
  <si>
    <t>1150-2018</t>
  </si>
  <si>
    <t>JEANETH TOQUICA - GILBERTO ROMERO ARDILA</t>
  </si>
  <si>
    <t>CALLE 5 D # 38 A -35 OFICINA 601 2</t>
  </si>
  <si>
    <t>1152-2018</t>
  </si>
  <si>
    <t>ANGELA MILENA FRNACO MARULANDA</t>
  </si>
  <si>
    <t>1,053,776,499</t>
  </si>
  <si>
    <t>CALLE 100 # 36-28 BARRIO LA ENEA</t>
  </si>
  <si>
    <t>1153-2018</t>
  </si>
  <si>
    <t>HELVER HERNANDO CARDENAS HOLGUIN</t>
  </si>
  <si>
    <t>793,737,161</t>
  </si>
  <si>
    <t>CARRERA 89 A # 19 A -50 INT 1 APTO 307 BARRIO HAYUELOS</t>
  </si>
  <si>
    <t>7580728</t>
  </si>
  <si>
    <t>DRENGELBERT175@YAHOO.ES</t>
  </si>
  <si>
    <t>1154-2018</t>
  </si>
  <si>
    <t>SANTOS FIDEL GONGORA TIRADO</t>
  </si>
  <si>
    <t>79,556,420</t>
  </si>
  <si>
    <t>TV 93 # 22 D - 35 CASA 88</t>
  </si>
  <si>
    <t>7588503</t>
  </si>
  <si>
    <t>SANTOSGONGORA@YAHOO.COM</t>
  </si>
  <si>
    <t>1155-2018</t>
  </si>
  <si>
    <t>MARCELIANO MENDIVELSO OJEDA</t>
  </si>
  <si>
    <t>79,433,816</t>
  </si>
  <si>
    <t>CARRERA 56 # 152 B -60 TORRE 1 APTO 702</t>
  </si>
  <si>
    <t>4587020-3103145611</t>
  </si>
  <si>
    <t>MARCELOMENDIVELSO@HOTMAIL.COM</t>
  </si>
  <si>
    <t>1156-2018</t>
  </si>
  <si>
    <t>ROGER MORENO SAENZ</t>
  </si>
  <si>
    <t>80,844,676</t>
  </si>
  <si>
    <t>CARRERA 100 A # 71 B -66 BARRIO ALAMOS NORTE</t>
  </si>
  <si>
    <t>1157-2018</t>
  </si>
  <si>
    <t>ANGELA ESTEFANIA MURCIA ORJUELA</t>
  </si>
  <si>
    <t>46,458,286</t>
  </si>
  <si>
    <t>CALLER 22 B  # 72-80</t>
  </si>
  <si>
    <t>ESTEFA_MO@HOTMAIL.COM</t>
  </si>
  <si>
    <t>1158-2018</t>
  </si>
  <si>
    <t>CARLOS ARTURO RAMIREZ ROJAS</t>
  </si>
  <si>
    <t>79,,138,842</t>
  </si>
  <si>
    <t>CALLE 63 F # 22-16</t>
  </si>
  <si>
    <t>31833882044</t>
  </si>
  <si>
    <t>CARRARMI@HOTMAIL.COM</t>
  </si>
  <si>
    <t>1159-2018</t>
  </si>
  <si>
    <t>NESTOR AUGUSTO TORRES</t>
  </si>
  <si>
    <t>79,652,679</t>
  </si>
  <si>
    <t>CALLE 12 A # 71 C - 60 TORRE 7 APTO 626</t>
  </si>
  <si>
    <t>3213272452</t>
  </si>
  <si>
    <t>NATORRES1972@HOTMAIL.COM</t>
  </si>
  <si>
    <t>1160-2018</t>
  </si>
  <si>
    <t>MARCOS ELIAS NAVARRO ARAUJO</t>
  </si>
  <si>
    <t>1,043,001,655</t>
  </si>
  <si>
    <t>TV 5 # 48 A - 55</t>
  </si>
  <si>
    <t>3103650914</t>
  </si>
  <si>
    <t>mna051@hotmail.com</t>
  </si>
  <si>
    <t>1161-2018</t>
  </si>
  <si>
    <t>CRISTIAN LEONARDO OLIVEROS ACOSTA</t>
  </si>
  <si>
    <t>1,049,621,041</t>
  </si>
  <si>
    <t>TRANVERSAL 3 # 51 A -25</t>
  </si>
  <si>
    <t>CRISTIAN.OLOVEROS99@GMAIL.COM</t>
  </si>
  <si>
    <t>1162-2018</t>
  </si>
  <si>
    <t>CRISTIAN LEONARDO ORTIZ</t>
  </si>
  <si>
    <t>1,118,549,821</t>
  </si>
  <si>
    <t>CALLE 28 # 29-105</t>
  </si>
  <si>
    <t>1163-2018</t>
  </si>
  <si>
    <t>YERSON GERARDO PEÑA MEJIA</t>
  </si>
  <si>
    <t>1,022,367,990</t>
  </si>
  <si>
    <t>CARRERA 53 # 134-96</t>
  </si>
  <si>
    <t>GERARDOP9004@GMAIL.COM</t>
  </si>
  <si>
    <t>1164-2018</t>
  </si>
  <si>
    <t>ANDREA ELIZABETH PRIETO BUSTAMANTE</t>
  </si>
  <si>
    <t>1,018,458,577</t>
  </si>
  <si>
    <t>CALLE 156 # 8 F -15</t>
  </si>
  <si>
    <t>ANDRE_893@HOTMAIL.COM</t>
  </si>
  <si>
    <t>1165-2018</t>
  </si>
  <si>
    <t>ABDRES FELIPE SANCHEZ ALFONSO</t>
  </si>
  <si>
    <t>1,032,456,332</t>
  </si>
  <si>
    <t>CALLE 40 SUR # 72 Q - 25 CASA 148</t>
  </si>
  <si>
    <t>ANDRESFS34@HOTMAIL.COM</t>
  </si>
  <si>
    <t>1166-2018</t>
  </si>
  <si>
    <t>LUIS MIGUEL TORCEDILLA BUENDIA</t>
  </si>
  <si>
    <t>1,128,061,774</t>
  </si>
  <si>
    <t>CALLE 55 # 14-61</t>
  </si>
  <si>
    <t>3008451552</t>
  </si>
  <si>
    <t>chiolu47@hotmail.com</t>
  </si>
  <si>
    <t>1167-2018</t>
  </si>
  <si>
    <t>XAVIER RIASCOS BENAVIDES</t>
  </si>
  <si>
    <t>1,085,281,602</t>
  </si>
  <si>
    <t>CALLE 16 A # 33-24 BARRIO MARIDIAZ</t>
  </si>
  <si>
    <t>7369489</t>
  </si>
  <si>
    <t>XAVIER2390@HOTMAIL.COM</t>
  </si>
  <si>
    <t>1168-2018</t>
  </si>
  <si>
    <t>MARIA MONICA RANGEL GUTIERREZ</t>
  </si>
  <si>
    <t>1,098,736,387</t>
  </si>
  <si>
    <t>VILLAS DE MEDITERRANEO CASTILLERES 3 CR 23 # 57-160</t>
  </si>
  <si>
    <t>MONICARANGEL07@GMAIL.COM</t>
  </si>
  <si>
    <t>1169-2018</t>
  </si>
  <si>
    <t>DAVID GONZALO MEDINA FLOREZ</t>
  </si>
  <si>
    <t>1,140,833,974</t>
  </si>
  <si>
    <t>CALLE 4 # 36-55</t>
  </si>
  <si>
    <t>3145954402</t>
  </si>
  <si>
    <t>1170-2018</t>
  </si>
  <si>
    <t>MIGUEL ANGEL LADINO RIVEROS</t>
  </si>
  <si>
    <t>1,121,851,345</t>
  </si>
  <si>
    <t>CALLE 17 # 33 BIS - 25</t>
  </si>
  <si>
    <t>miguel.ladino@uptc.edu.co</t>
  </si>
  <si>
    <t>1171-2018</t>
  </si>
  <si>
    <t>NAPOLEON ARTURO JARABA MARTINEZ</t>
  </si>
  <si>
    <t>1,103,103,856</t>
  </si>
  <si>
    <t>CALLE 14 A # 12-70 BARRIO PARAISO SAN CARLOS</t>
  </si>
  <si>
    <t>3006689747</t>
  </si>
  <si>
    <t>napoleon_jaraba@hotmail.com</t>
  </si>
  <si>
    <t>1172-2018</t>
  </si>
  <si>
    <t>SEBASTIAN GOMEZ RAMIREZ</t>
  </si>
  <si>
    <t>1,152,194,100</t>
  </si>
  <si>
    <t>TRANSVERSAL 5 # 48-14</t>
  </si>
  <si>
    <t>1173-2018</t>
  </si>
  <si>
    <t>ANDREA LORENA GARCIA MONCAYO</t>
  </si>
  <si>
    <t>59,314,535</t>
  </si>
  <si>
    <t>CALLE 48 A # 44 APTO 703 BARRIO CHAPINERO</t>
  </si>
  <si>
    <t>ANDREOSK12011@GMAIL.COM</t>
  </si>
  <si>
    <t>1174-2018</t>
  </si>
  <si>
    <t>JULIETH ANDREA ESTUPIÑAN TIBADUIZA</t>
  </si>
  <si>
    <t>1,052,385,747</t>
  </si>
  <si>
    <t>CALLE 12  # 7 B -87</t>
  </si>
  <si>
    <t>yuliana161@hotmail.com</t>
  </si>
  <si>
    <t>1175-2018</t>
  </si>
  <si>
    <t>MARIA CAMILA CUBIDES CORDOBA</t>
  </si>
  <si>
    <t>1,049,633,256</t>
  </si>
  <si>
    <t>CARRERA 4 A # 460-26 BARRIO SANTA INES</t>
  </si>
  <si>
    <t>MCCUBIDES@UNIBOYACA.EDU.DO</t>
  </si>
  <si>
    <t>1176-2018</t>
  </si>
  <si>
    <t>ELIAS DAVID RUEDA ABAUNZA</t>
  </si>
  <si>
    <t>1,047,387,511</t>
  </si>
  <si>
    <t>CARRERA 56 A # 130 A -61 INT 2 APTO 401 BARRIO IBERIA</t>
  </si>
  <si>
    <t>2266571</t>
  </si>
  <si>
    <t>ELIASRUEDA87@HOTMAIL.COM</t>
  </si>
  <si>
    <t>1177-2018</t>
  </si>
  <si>
    <t>MIGUEL FERNANDO AVELLA CASTIBLANCO</t>
  </si>
  <si>
    <t>1,032,462,938</t>
  </si>
  <si>
    <t>CARRERA 26 # 45-69 BARRIO BELALCAZAR</t>
  </si>
  <si>
    <t>3163228427</t>
  </si>
  <si>
    <t>mavellac94@gmail.com</t>
  </si>
  <si>
    <t>1178-2018</t>
  </si>
  <si>
    <t>ALFONSO BARON SANCHEZ</t>
  </si>
  <si>
    <t>1,018,453,023</t>
  </si>
  <si>
    <t>CALLE 22 J # 113-46</t>
  </si>
  <si>
    <t>3202430835</t>
  </si>
  <si>
    <t>BARON_SANCHEZ@HOTMAIL.COM</t>
  </si>
  <si>
    <t>1179-2018</t>
  </si>
  <si>
    <t>KATTERIN YISETH BONILLA GOMEZ</t>
  </si>
  <si>
    <t>1,057,464,134</t>
  </si>
  <si>
    <t>CARRERA 7 # 21-73 BARRIO SAN IGNACIO</t>
  </si>
  <si>
    <t>3143307515</t>
  </si>
  <si>
    <t>KATTYBON@HOTMAIL.COM</t>
  </si>
  <si>
    <t>1180-2018</t>
  </si>
  <si>
    <t>WALTHER CELIS SERRANO</t>
  </si>
  <si>
    <t>91,226,116</t>
  </si>
  <si>
    <t>CALLE 134 # 59 A -81</t>
  </si>
  <si>
    <t>WALTHERCELIS@GMAIL.COM</t>
  </si>
  <si>
    <t>1181-2018</t>
  </si>
  <si>
    <t>PABLO ANTONIO TORRES BARRETO</t>
  </si>
  <si>
    <t>1,020,750,504</t>
  </si>
  <si>
    <t>CARRERA 48 # 165-41 TORRE 3 APTO 303</t>
  </si>
  <si>
    <t>3103206044-3133124155</t>
  </si>
  <si>
    <t>1182-2018</t>
  </si>
  <si>
    <t>PAULA JULIANA VELASCO PIÑA</t>
  </si>
  <si>
    <t>1,020,776,519</t>
  </si>
  <si>
    <t>CARRERA 49 # 165-41</t>
  </si>
  <si>
    <t>3203959737</t>
  </si>
  <si>
    <t>1183-2018</t>
  </si>
  <si>
    <t>MAYRA ALEJANDRA MOCETON FERRO</t>
  </si>
  <si>
    <t>1,121,841,920</t>
  </si>
  <si>
    <t>CARRERA 34 # 24 A -25/27 BARRIO SAN BENITO</t>
  </si>
  <si>
    <t>3112052718</t>
  </si>
  <si>
    <t>doc_alejaferro@hotmail.com</t>
  </si>
  <si>
    <t>1184-2018</t>
  </si>
  <si>
    <t>LUISA FERNANDA ACERO MUÑOZ</t>
  </si>
  <si>
    <t>1,022,381,861</t>
  </si>
  <si>
    <t>BARRIO CASTILLA 73 # 11 B - 33 INT 20 APTO 103 CONJUNTO PARQUES DE CASTILLA</t>
  </si>
  <si>
    <t>3214462111</t>
  </si>
  <si>
    <t>LUISAFERACERO@HOTMAILCOM</t>
  </si>
  <si>
    <t>1185-2018</t>
  </si>
  <si>
    <t>MAYRA MELISSA ALBINO OYOLA</t>
  </si>
  <si>
    <t>1,143,427,404</t>
  </si>
  <si>
    <t>CALLE 60 SUR # 65-68</t>
  </si>
  <si>
    <t>1186-2018</t>
  </si>
  <si>
    <t>SILVANA ARINDA ALVAREZ CUMPLIDO</t>
  </si>
  <si>
    <t>52,389,082</t>
  </si>
  <si>
    <t>TRAV 20 # 96-36 APTO 503 ED CONTINENTAL</t>
  </si>
  <si>
    <t>1187-2018</t>
  </si>
  <si>
    <t>PAOLA ANDREA ARCE PEÑA</t>
  </si>
  <si>
    <t>1,105,684,662</t>
  </si>
  <si>
    <t>CALLE 15 # 6-55 BARRIO CENTRO</t>
  </si>
  <si>
    <t>2481644</t>
  </si>
  <si>
    <t>PAOLA.ARCEPENE@OUTLOOK.COM</t>
  </si>
  <si>
    <t>1263-2018</t>
  </si>
  <si>
    <t>RICARDO ANTONIO SANCHEZ FORERO</t>
  </si>
  <si>
    <t>PRESTACION DE SERVICIOS PROFESIONALES DE UN MEDICO CON ESPECIALIZACION EN RADIOTERAPIA PARA EL SERVICIO DE RADIOTERAPIA DEL HOSPITAL MILITAR CENTRAL</t>
  </si>
  <si>
    <t>79,247,902</t>
  </si>
  <si>
    <t>CALLE 213 # 114-10 MZ 7 26</t>
  </si>
  <si>
    <t>310767013</t>
  </si>
  <si>
    <t>RSANCHEZ3004@YAHOO.COM</t>
  </si>
  <si>
    <t>1268-2018</t>
  </si>
  <si>
    <t>REPRESENTACIONES E INVERSIONES ELITE LIMITADA</t>
  </si>
  <si>
    <t>CONTRATACION DE SERVICIOS DE LIMPIEZA Y DESINFECCION DEL AREA ASISTENCIAL, ADMINISTRATIVA Y EXTERNAS, GESTION INTERNA DE RESIDUOS HOSPITALARIOS DE LA INSTITUCION HOSPITALARIA, DESINSECTACION Y DESRATIZACION DE TODAS LAS AREAS INTERNAS DEL HOSPITAL Y EL MANTENIMIENTO DE ZONAS VERDES JARDINERIA PARA EL ESTABLECIMIENTO PUBLICO HOSPITAL MILITAR CENTRAL CUMPLIENDO LOS PROTOCOLOS, PROCEDIMIENTOS INTERNO Y LAS DIPOSCICIONES</t>
  </si>
  <si>
    <t>SS LUIS ERNESTO ACOSTA MORA - SS SERGIO CRUZ</t>
  </si>
  <si>
    <t>800,067,956-6</t>
  </si>
  <si>
    <t>CALLE 102 # 70 G -63</t>
  </si>
  <si>
    <t>7431822</t>
  </si>
  <si>
    <t>1269-2018</t>
  </si>
  <si>
    <t>MEDIHUMANA COLOMBIA S.A</t>
  </si>
  <si>
    <t>MANTENIMIENTO PREVENTIVO, CORRECTIVO GENERAL CON SUMINISTRO  DE REPUESTO Y CALIBRACION  DE EQUIPOS MARCA METROACUSTIK DEL SERVICIO DE OTORRINOLARINGOLOGIA DEL HOSPITAL MILITAR CENTRAL</t>
  </si>
  <si>
    <t>6101957</t>
  </si>
  <si>
    <t>1270-2018</t>
  </si>
  <si>
    <t>PINELEC LTDA</t>
  </si>
  <si>
    <t>UBERTH CAMARGO CAMARGO</t>
  </si>
  <si>
    <t>800,097,356-5</t>
  </si>
  <si>
    <t>CARRERA 56 # 22-66</t>
  </si>
  <si>
    <t>2629915</t>
  </si>
  <si>
    <t>licitaciones@pinelec.com</t>
  </si>
  <si>
    <t>1271-2018</t>
  </si>
  <si>
    <t>KAIKA S.A.S</t>
  </si>
  <si>
    <t>soortec@kaika.com.co</t>
  </si>
  <si>
    <t>1272-2018</t>
  </si>
  <si>
    <t>BAYER S.A</t>
  </si>
  <si>
    <t>SUMINISTRO DE MEDICO DE CONTRASTE  NO IONICO PARA EL SERVICIO DE IMÁGENES DIAGNOSTICAS DEL HOSPITAL MILITAR CENTRAL</t>
  </si>
  <si>
    <t>THOMAS SCHMITT - CARLOS SANCHEZ</t>
  </si>
  <si>
    <t>860,001,942-8</t>
  </si>
  <si>
    <t>AVENIDA AMERICAS # 57-52</t>
  </si>
  <si>
    <t>4234143</t>
  </si>
  <si>
    <t>1273-2018</t>
  </si>
  <si>
    <t>QUIMIOLAB S.A.S</t>
  </si>
  <si>
    <t>SUMINISTRO DE INSUMOS Y REACTIVOS PARA TRIAGE METER DEL HOSPITAL MILITAR CENTRAL</t>
  </si>
  <si>
    <t>ANIA MARITZA GARNICA</t>
  </si>
  <si>
    <t>830,024,737-4</t>
  </si>
  <si>
    <t>CARRERA 38 # 55-40</t>
  </si>
  <si>
    <t>3155322</t>
  </si>
  <si>
    <t>1274-2018</t>
  </si>
  <si>
    <t>CORPMED</t>
  </si>
  <si>
    <t>1275-2018</t>
  </si>
  <si>
    <t>HOSPITAL UNIVERSITARIO CLINICA SAN RAFAEL</t>
  </si>
  <si>
    <t>SUMINISTRO DE COMPONENTES SANGUINEOS PARA LA ATENCION DE PACIENTES DEL HOSPITAL MILITAR CENTRAL</t>
  </si>
  <si>
    <t>MIGUEL ANGEL MURCIA RODRIGUEZ</t>
  </si>
  <si>
    <t>860,015,888-9</t>
  </si>
  <si>
    <t>CARRERA 8 # 17-45</t>
  </si>
  <si>
    <t>2720604</t>
  </si>
  <si>
    <t>1276-2018</t>
  </si>
  <si>
    <t>CAJA COLOMBIANA DE SUBSIDIO FAMILIAR</t>
  </si>
  <si>
    <t>LA PRESTACION DEL SERVICIO PARA REALIZAR LA ACTIVIDAD DE FIN DE AÑO PARA LOS FUNCIONARIOS DEL HOSPITAL MILITAR CENTRAL</t>
  </si>
  <si>
    <t>NESTOR ALFONSO FERNANDEZ</t>
  </si>
  <si>
    <t>860,007,336-1</t>
  </si>
  <si>
    <t>CALLE 26 # 25-50</t>
  </si>
  <si>
    <t>6085010</t>
  </si>
  <si>
    <t>VICTOR.RAMOS@COLSUBSIDIO.COM</t>
  </si>
  <si>
    <t>1277-2018</t>
  </si>
  <si>
    <t>SUMINISTRO DE MASCARAS FACIALES PARA VENTILACION MECANICA PARA LA ATENCION DE PACIENTES DEL HOSPITAL MILITAR CENTRAL</t>
  </si>
  <si>
    <t>DIANA CRISTINA GARCIA</t>
  </si>
  <si>
    <t>4276868</t>
  </si>
  <si>
    <t>1278-2018</t>
  </si>
  <si>
    <t>MANTENIMIENTO PREVENTIVO Y LOS CORRECTIVOS QUE SEAN NECESARIOS INCLUIDOS KITS DE MANTENIMIENTO, REPUESTOS, ACCESORIOS Y CONSUMIBLES ORIGINALES NUEVOS NO REMANUFACTURADOS PARA LOS EQUIPOS DE MARCA DRAEGER (MAQUINAS DE ANESTESIA, INCUBADORAS, VENTILADORES,ILIRRUBINOMETROS, COLUMNAS, CENTRALES DE MONITOREO, MONITORES SIGNOS VITALES Y CAPNOGRFOS) DE LOS SERVICIOS DE UCIS ( NEONATAL, PEDIATRICA, MEDICA, POST QUIRURGICA CORONARIA)  TPR, MATERNIDAD, URGENCIAS, , TERAPIA RESPIRATORIA, HEMODINAMIA. RESONANCIA MAGNETICA y SALAS DE CIRUGIA DEL HOSPITAL MLITAR CENTRAL, INCLUYENDO UN INGENIERO ENTRENADO POR CASA MATRIZ PARA PRESTAR LOS SERVICIOS DE MANTENIMIENTO, ACOMPÑAMIENTO TECNICO, GESTION DOCUMENTAL Y DE  ACTIVOS CON SUS INDICADORES DE GESTION, RONDAS DE INSPECCION Y SEGURIDAD, GESTION DE INSUMOS Y ACCESORIOS, ACOMPAÑAMIENTO AL PÉRSONAL CLINICO Y DE SOPORTE DISPONIBLE EN SITIO PARA EL HOSPITAL, CON SISTEMAS DE COMUNICAICON TIPO RADIO PARA LOS SERVICIOS CRITICOS Y EQUIPOS EN APOYO TECNOLOGICO MARCA DRAGER CON SUS RESPECTIVOS ACCESORIOS, PARTES, MANTENIMIENTO  Y ACOMPAÑAMIENTO DE ESPECIALISTAS SIN COSTO PARA EL HOSPITAL MILITAR CCENTRAL DURANTE LA VIGENCIA DEL CONTRATO</t>
  </si>
  <si>
    <t>CALLE 93 B # 13-44 PISO 44</t>
  </si>
  <si>
    <t>1296-2018</t>
  </si>
  <si>
    <t>ASCESCA LTDA</t>
  </si>
  <si>
    <t>MANTENIMIENTO PREVENTICO Y LOS CORRECTIVOS NECESARIOS DE LOS OCHO ASCENSORES DE PASAJEROS, NUEVE ASCENSORES DE CARGA Y SEIS ESCALERAS ELECTRICAS INCLUIDO REPUESTOS NUEVOS NO REMANUFACTURADOS, TARJETAS ELECTRONICAS ACTUALIZACION DESOFTWARE Y REPUESTOS PARA LA ADECUACION DEL SISTEMA INTELIGENTE DE LOS ASCENSORES Y ESCALERAS ELECTRICAS DEL HOSPITAL  MILITAR CENTRAL</t>
  </si>
  <si>
    <t>RAFAEL ANTONIO MARTINEZ</t>
  </si>
  <si>
    <t>900,477,478-9</t>
  </si>
  <si>
    <t>CALLE 129 # 92-58</t>
  </si>
  <si>
    <t>asceca@hotmail.com</t>
  </si>
  <si>
    <t>1297-2018</t>
  </si>
  <si>
    <t>CORPORACION VISIONCORP</t>
  </si>
  <si>
    <t>PRESTACION DE SERVICIOS PROFESIONALES PARA EL SERVICIO DE INFECTOLOGIA Y EPIDEMIOLOGIA DEL HOSPITAL MILITAR CENTRAL</t>
  </si>
  <si>
    <t>RONALD ENRIQUE VIDES</t>
  </si>
  <si>
    <t>900,897,340-3</t>
  </si>
  <si>
    <t>visioncorp7@gmail.com</t>
  </si>
  <si>
    <t>1298-2018</t>
  </si>
  <si>
    <t>MANTENIMIENTO PREVENTIVO, CORRECTIVO MENOR CON INCLUSION DE REPUESTOS PARA EL SISTEMA DE AIRES ACONDICIONADOS Y REFRIGERACION, DEMAS REPARACIONES QUE SE PRESENTEN  Y QUE SEAN NECESARIOS PARA LA OPTIMA PRESTACION DE LOS SERVICIOS DE LA ENTIDAD HOSPITALARIA</t>
  </si>
  <si>
    <t>CINDY LORENA GACHARNA</t>
  </si>
  <si>
    <t>900,152,368-1</t>
  </si>
  <si>
    <t>1299-2018</t>
  </si>
  <si>
    <t>IMPULSORES INTERNACIONAES S.A.S</t>
  </si>
  <si>
    <t>ARRENDAMIENTO DE EQUIPO BIOMEDICO  DOS EQUIPOS DE RADIOLOGIA DIGITAL  UN MAMOGRAFO DIGITAL DIRECTO  QUE INCLUYA ADECUACION E INSTALACION, MANTENIMIENTO PREVENTIVO, PREDICTIVO, CORRECTIVO Y SOPORTE TECNICO</t>
  </si>
  <si>
    <t>CARRERA 45 # 147-66 BARRIO LAS MARGARITAS</t>
  </si>
  <si>
    <t>1300-2018</t>
  </si>
  <si>
    <t>AJOVECO S.A.S</t>
  </si>
  <si>
    <t>ADRIANA RENRIQUETA JIMENEZ</t>
  </si>
  <si>
    <t>860,010,268-1</t>
  </si>
  <si>
    <t>CALLE 93 B # 15-31</t>
  </si>
  <si>
    <t>2189200</t>
  </si>
  <si>
    <t>1301-2018</t>
  </si>
  <si>
    <t>UNION TEMPORAL BE -2018</t>
  </si>
  <si>
    <t>PRESTACION DE LOS SERVICIOS ESPECIALIZADOS DE VIGILANCIA Y SEGURIDAD PRIVADA PARA LA PROTECCION DE LAS PERSONAS Y BIENES QUE PERMANECEN DENTRO DE LAS INSTALACIONES DEL HOSPITAL MILITAR CENTRAL</t>
  </si>
  <si>
    <t>DANIEL ROJAS FRANCO</t>
  </si>
  <si>
    <t>901,238,467-7</t>
  </si>
  <si>
    <t>CARRERA 18 # 57-30</t>
  </si>
  <si>
    <t>5554802</t>
  </si>
  <si>
    <t>buhoseguridadltda@hotmail.com</t>
  </si>
  <si>
    <t>1302-2018</t>
  </si>
  <si>
    <t>UT ALIMENTOS Y SERVICIOS</t>
  </si>
  <si>
    <t>SUMINISTRO DE ALIMENTACION PARA PACIENTES HOSPITALIZADOS Y MEDICOS RESIDENTES E INTERNOS DEL HOSPITAL MILITAR CENTRAL</t>
  </si>
  <si>
    <t>FRANCISCO JAVIER SANDOVAL BUITRAGO</t>
  </si>
  <si>
    <t>901,237,329-6</t>
  </si>
  <si>
    <t>CARRERA 7 B # 116 A -74</t>
  </si>
  <si>
    <t>8059891</t>
  </si>
  <si>
    <t>grentecomercial@fjsb.com.co</t>
  </si>
  <si>
    <t>1304-2018</t>
  </si>
  <si>
    <t>MEDICINA DE REHABILITACION COLOMBIA S.A.S</t>
  </si>
  <si>
    <t>PRESTACION DE SERVICIOS PROFESIONALES MEDICOS ESPECIALIZADOS EN EL AREA DE MEDICINA FISICA Y REHABILITACION EN EL HOSPITAL MILITAR CENTRAL PARA LAS VIGENCIAS 2018, 2019, 2020, 2021 Y 2022</t>
  </si>
  <si>
    <t>ALBERTO JIMENEZ JULIAO</t>
  </si>
  <si>
    <t>OSCAR MAURICIO ALVAREZ</t>
  </si>
  <si>
    <t>901,232,617-8</t>
  </si>
  <si>
    <t>CARRERA 2 # 62 A 40 CASA 24</t>
  </si>
  <si>
    <t>7031206</t>
  </si>
  <si>
    <t>medirhbcolsa@gmail.com</t>
  </si>
  <si>
    <t>1305-2018</t>
  </si>
  <si>
    <t>GINECOLOGICOS S.A PROGYNE S.A</t>
  </si>
  <si>
    <t>MARTHA PATRICIA ROBAYO - GILBERTO ROMERO ARDILA</t>
  </si>
  <si>
    <t>CARRERA 50 # 64-51</t>
  </si>
  <si>
    <t>2711000</t>
  </si>
  <si>
    <t>progyne@gmail.com</t>
  </si>
  <si>
    <t>1306-2018</t>
  </si>
  <si>
    <t>MANTENIMIENTO PREVENTIVO Y CORRECTIVO INCLUIDO REPUESTOS ORIGINALES  PARA EQUIPOS BIOMEDICOS PARA EL SERVICIO UCI NEONATAL DEL HOSPITAL MILITAR CENTRAL</t>
  </si>
  <si>
    <t>NELLY CECILIA VEGA</t>
  </si>
  <si>
    <t>1307-2018</t>
  </si>
  <si>
    <t>1308-2018</t>
  </si>
  <si>
    <t>SUMINISTRO DE REACTIVOS E INSUMOS REQUERIDOS POR EL LABORATORIO DEL HOSPITAL MILITAR CENTRAL</t>
  </si>
  <si>
    <t>LIZABETH BENITEZ</t>
  </si>
  <si>
    <t>JUAN CARLOS MARTINEZ</t>
  </si>
  <si>
    <t>3484310</t>
  </si>
  <si>
    <t>quinberlab@etb.net.co</t>
  </si>
  <si>
    <t>1309-2018</t>
  </si>
  <si>
    <t>BIOMERIUX COLOMBIA S.A</t>
  </si>
  <si>
    <t>ANGELA PESCADOR</t>
  </si>
  <si>
    <t>ROCIO MENDEZ ALEMAN</t>
  </si>
  <si>
    <t>830,023,844-1</t>
  </si>
  <si>
    <t>CARRERA 7 # 127-48 OFICINA 806</t>
  </si>
  <si>
    <t>5932530</t>
  </si>
  <si>
    <t>1310-2018</t>
  </si>
  <si>
    <t>LAURA GUAVITA</t>
  </si>
  <si>
    <t>1311-2018</t>
  </si>
  <si>
    <t>STOCK PHARMACIA S.A.S</t>
  </si>
  <si>
    <t>LUZ JACKELINE RODRIGUEZ</t>
  </si>
  <si>
    <t>900,274,326-6</t>
  </si>
  <si>
    <t>CALLE 12 # 79 A -25</t>
  </si>
  <si>
    <t>4246288</t>
  </si>
  <si>
    <t>1312-2018</t>
  </si>
  <si>
    <t>BIOSCIENCES S.A.S</t>
  </si>
  <si>
    <t>CONSUELO ROMERO</t>
  </si>
  <si>
    <t>EDGARDO BULLA PINZON</t>
  </si>
  <si>
    <t>900,222,640-1</t>
  </si>
  <si>
    <t>CARRERA 18 A # 137-49</t>
  </si>
  <si>
    <t>6269608</t>
  </si>
  <si>
    <t>director@biosciencessas.com</t>
  </si>
  <si>
    <t>1338-2018</t>
  </si>
  <si>
    <t>ASA</t>
  </si>
  <si>
    <t>PRESTACION DE SERVICIOS DE ANESTESIOLOGIA EN EL HOSPITAL MILITAR CENTRAL, PARA EL CUBRIMIENTO DE CIRUGIA PROGRAMADA, CIRUGIA DE URGENCIAS, CONSULTA PREANESTESICA E INTERCONSULTAS, SALAS DE MAYTERNIDAD, CLINICA DEL DOLOR AGUDO Y CRONICO, UNIDAD DE CUIDADOS POST ANESTESICOS Y ANESTESIA PARA PROCEDIMIENTOS FUERA DE SALAS DE CIRUGIA, Y LOS DEMAS PROFESIONALES QUE SE REQUIERAN  EN LA CLINICA DEL DOLOR QUE PUEDEN SER UN MEDICO FISIATRA CON MAESTRIA O ESPECIALIZACION EN MANEJO DE DOLOR Y/O UN MEDICO GENERAL PARA APOYAR CON LAS LABORES ASISTENCIALES: DE VISITA DOMICILIARIA, CONSULTA, REVISTA DE PACIENTES DE DOLOR EN PISO Y UNA ENFERMERA JEFE PARA APOYAR CON LAS LABORES ASISTENCIALES</t>
  </si>
  <si>
    <t>CARLOS ALBERTO SEMIENTO</t>
  </si>
  <si>
    <t>900,477,822-1</t>
  </si>
  <si>
    <t>CARRERA 9 A  # 17-55 SUR APTO 201</t>
  </si>
  <si>
    <t>3665578</t>
  </si>
  <si>
    <t>ASOCIACION-ASA@HOTMAIL.COM</t>
  </si>
  <si>
    <t>1341-2018</t>
  </si>
  <si>
    <t>ruth.isnlda.gaviria@medtronic.com</t>
  </si>
  <si>
    <t>1343-2018</t>
  </si>
  <si>
    <t>EQUITRONIC S.A</t>
  </si>
  <si>
    <t>MANTENIMIENTO PREVENTIVO Y CORRECTIVO INCLUIDO REPUESTOS NUEVOS ORIGIANLES PARA LOS EQUIPOS DE VENTILADORES PEDIATRICOS  DEL SERVICIO DE UNIDAD PEDIATRICA Y NEONATAL</t>
  </si>
  <si>
    <t>CARRERA 49 # 61 SUR 68 LOCAL 103</t>
  </si>
  <si>
    <t>1344-2018</t>
  </si>
  <si>
    <t>LEON MENDEZ FABIO</t>
  </si>
  <si>
    <t>CARMEN TERESA ESQUIVIA</t>
  </si>
  <si>
    <t>FABIO LEON</t>
  </si>
  <si>
    <t>79,593,352-9</t>
  </si>
  <si>
    <t>CARRERA 67 A # 95-64</t>
  </si>
  <si>
    <t>2534393</t>
  </si>
  <si>
    <t>ventas@terapialeon.com</t>
  </si>
  <si>
    <t>1345-2018</t>
  </si>
  <si>
    <t>SET Y GAD S.A.S</t>
  </si>
  <si>
    <t>CALIBRACION, AJUSTE MANTENIMIENTO PREVENTIVO Y CORRECTIVO INCLUIDO REPUESTOS NUEVOS ORIGINALES PARA LOS EQUIPOS BIOMEDICOS DE LOS DIFERENTES SERVICIOS DEL HOSPITL MILITAR CENTRAL</t>
  </si>
  <si>
    <t xml:space="preserve">LUIS GUILLERMO URIBE </t>
  </si>
  <si>
    <t>830,065,092-2</t>
  </si>
  <si>
    <t>CARRERA 48 # 101 A -69</t>
  </si>
  <si>
    <t>5339232</t>
  </si>
  <si>
    <t>luis.uribe@selgad.com</t>
  </si>
  <si>
    <t>1346-2018</t>
  </si>
  <si>
    <t>MANTENIMIENTO PREVENTIVO Y CORRECTIVO INCLUIDO REPUESTOS NUEVOS ORIGIANLES PARA LOS EQUIPOS DE REFERENCIA GENERAL ELECTRIC (MONITOR SIGNS VITALES Y OTROS)</t>
  </si>
  <si>
    <t>elina.castro@gbarco.com.co</t>
  </si>
  <si>
    <t>1356-2018</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</si>
  <si>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MEDTRONIC DE LOS SERVICIOS DE SALAS DE CIRUGIA, UCIS DEL HOSPITAL MILITAR CENTRAL</t>
  </si>
  <si>
    <t>AC 116 # 7-15 OFICINA 1101</t>
  </si>
  <si>
    <t>1357-2018</t>
  </si>
  <si>
    <t>1358-2018</t>
  </si>
  <si>
    <t>MANTENIMIENTO PREVENTIVO Y CORRECTICO INCLUIDO RESPUESTOS NUEVOS ORIGINALES PARA LOS EQUIPOS DE REFERENCIA OLYMPUS PARA EL SERVICIO DE GASTROENTEROLOGIA</t>
  </si>
  <si>
    <t>1360-2018</t>
  </si>
  <si>
    <t>CORPORACION PARA LA SALUD, APRENDIZAJE, BIENESTAR E INTERES SOCIAL</t>
  </si>
  <si>
    <t>PRESTACION DE SERVICIOS MEDICOS ESPECIALIZADOS PARA LA ATENCION EN GINECOLOGIA Y OBSTETRICIA DE LAS DIFERENTES SUPRA ESPECIALIDADES DEL HOSPITAL MILITAR CENTRAL</t>
  </si>
  <si>
    <t>900,857,486-9</t>
  </si>
  <si>
    <t>CARRERA 9 A # 17-565 SUR PISO 2</t>
  </si>
  <si>
    <t>CORPORACIONCORSABI@GMAIL.COM</t>
  </si>
  <si>
    <t>1361-2018</t>
  </si>
  <si>
    <t>J TECHMED S.A.S</t>
  </si>
  <si>
    <t>CARRERA 6 # 45-25 APTO 403</t>
  </si>
  <si>
    <t>3143516063</t>
  </si>
  <si>
    <t>valenzuela10@gmail.com</t>
  </si>
  <si>
    <t>1363-2018</t>
  </si>
  <si>
    <t>GEMEDCO</t>
  </si>
  <si>
    <t>ARRENDAMIENTO DE UN EQUIPO RESONADOR MAGNETICO, INCLUYE INSTALACION, MANTENIMIENTO PREVENTIVO Y CORRECTIVO Y SOPORTE TECNICO</t>
  </si>
  <si>
    <t>LUZ STELLA GOMEZ</t>
  </si>
  <si>
    <t>860,527,377-4</t>
  </si>
  <si>
    <t>CALLE 103 # 14 A -43</t>
  </si>
  <si>
    <t>3902029</t>
  </si>
  <si>
    <t>contratacion@gemedco.com</t>
  </si>
  <si>
    <t>1364-2018</t>
  </si>
  <si>
    <t xml:space="preserve">CONTRATAR LA PRESTACION DE SERVICIOS  DE SALUD PARA LA ATENCION INTEGRAL EN SALUD MENTAL HOSPITALARIO PARA PACIENTES DEL SUBSISTEMA DE SALUD DE LAS FUERZAS MILITARES Y PACIENTEPARTOICULARES O USUARIOS  QUE POR MOTIVOS DE CONTRATOS INTERINSTITUCIONALES PUBLICOS O PRIVADOS CELEBRADOS CON EL HOSPITAL MILITAR CENTRAL CON OTRAS ENTIDADES HAGAN USO DE ESTOS SERVICIOS PUBLICOS </t>
  </si>
  <si>
    <t>REVERENDA HERMANA ANA MARIA LIZARRONDO</t>
  </si>
  <si>
    <t>3260920</t>
  </si>
  <si>
    <t>fnashos@yahoo.com</t>
  </si>
  <si>
    <t>1365-2018</t>
  </si>
  <si>
    <t>AMECRI</t>
  </si>
  <si>
    <t>PRESTACION DE SERVICIOS PROFESIONALES DE MEDICOS ESPECIALIZADOS EN EL AREA DE MEDICINA CRITICA Y CUIDADO INTENSIVO EN LAS UNIDADES DE CUIDADO INTENSIVO DEL HOSPITTAL MILITAR CENTRAL</t>
  </si>
  <si>
    <t>NELSON ANDRES PEREZ RODRIGUEZ</t>
  </si>
  <si>
    <t>900,667,685-2</t>
  </si>
  <si>
    <t>CARRERA 9 A # 17 SUR 55 PISO 2</t>
  </si>
  <si>
    <t>ASOCIACIONAMECRI@HOTMAIL.COM</t>
  </si>
  <si>
    <t>1367-2018</t>
  </si>
  <si>
    <t>VISIONCORP</t>
  </si>
  <si>
    <t>1368-2018</t>
  </si>
  <si>
    <t>SUMINITRO DE ELEMENTOS DE CURACION DESTINADOS A LA ATENCION DE PACIENTES DEL HOSPITAL MILITAR CENTRAL</t>
  </si>
  <si>
    <t>CALLE 23 # 116-31 BG 1  BARRIO FONTIBON</t>
  </si>
  <si>
    <t>4284003</t>
  </si>
  <si>
    <t>1369-2018</t>
  </si>
  <si>
    <t>EDGAR ALEXANDER RIVERA</t>
  </si>
  <si>
    <t>830,088,135-5</t>
  </si>
  <si>
    <t>CARRERA 88 A # 64 D -32</t>
  </si>
  <si>
    <t>4161199</t>
  </si>
  <si>
    <t>jorgecanon@pharmeuropea.com</t>
  </si>
  <si>
    <t>1370-2018</t>
  </si>
  <si>
    <t>830,119,221-1</t>
  </si>
  <si>
    <t>1371-2018</t>
  </si>
  <si>
    <t>GUSTAVO ADOLFO PRADA</t>
  </si>
  <si>
    <t>3568417</t>
  </si>
  <si>
    <t>gcmaria@lifesumimed.com</t>
  </si>
  <si>
    <t>1372-2018</t>
  </si>
  <si>
    <t>QUIRMEDICAS LTDA</t>
  </si>
  <si>
    <t>ADRIANA MARIÑO AGUILAR</t>
  </si>
  <si>
    <t>JOSE NOEL GARCIA</t>
  </si>
  <si>
    <t>860,047,163-5</t>
  </si>
  <si>
    <t>CALLE 128 A # 39-80</t>
  </si>
  <si>
    <t>2583088</t>
  </si>
  <si>
    <t>1373-2018</t>
  </si>
  <si>
    <t xml:space="preserve">CALLE 76 # 11-17 </t>
  </si>
  <si>
    <t>1374-2018</t>
  </si>
  <si>
    <t>VALERIA FRIGERI MORALES</t>
  </si>
  <si>
    <t>AV EL DORADO # 78 A -93</t>
  </si>
  <si>
    <t>1375-2018</t>
  </si>
  <si>
    <t>CARRERA 42 # 17 A 38 PISO 2</t>
  </si>
  <si>
    <t>2442054</t>
  </si>
  <si>
    <t>1376-2018</t>
  </si>
  <si>
    <t>INCOMEDICS LTDA</t>
  </si>
  <si>
    <t>RODRIGO ANTONIO SALAMANCA</t>
  </si>
  <si>
    <t>800,091,472-4</t>
  </si>
  <si>
    <t xml:space="preserve">CARRERA 13 A # 15-02 SUR </t>
  </si>
  <si>
    <t>4088686</t>
  </si>
  <si>
    <t>1377-2018</t>
  </si>
  <si>
    <t xml:space="preserve">CALLE 79 # 74-29 </t>
  </si>
  <si>
    <t>1378-2018</t>
  </si>
  <si>
    <t>LABORATORIOS BAXTER S.A</t>
  </si>
  <si>
    <t>OSCAR JAVIER PEREZ</t>
  </si>
  <si>
    <t>CALLE 36 # 2 C -22</t>
  </si>
  <si>
    <t>1379-2018</t>
  </si>
  <si>
    <t>MARTHA LUCIA PINZON</t>
  </si>
  <si>
    <t>CARRERA 90 A # 84 C -89</t>
  </si>
  <si>
    <t>GERENCIA@BIOPLASTSA.COM</t>
  </si>
  <si>
    <t>1380-2018</t>
  </si>
  <si>
    <t>CALE 13 # 68 B -26</t>
  </si>
  <si>
    <t>www.sherleg.com</t>
  </si>
  <si>
    <t>1381-2018</t>
  </si>
  <si>
    <t>MAURICIO ESCOBAR TRUJILLO</t>
  </si>
  <si>
    <t>CARRERA 11 # 98-07 OFICINA 203 B</t>
  </si>
  <si>
    <t>1382-2018</t>
  </si>
  <si>
    <t>CALLE 47  # 5-26 PISO 2</t>
  </si>
  <si>
    <t>3383816</t>
  </si>
  <si>
    <t>1383-2018</t>
  </si>
  <si>
    <t>PROASEPSIS S.A.S</t>
  </si>
  <si>
    <t>MANUEL ALBERTO SANCHEZ</t>
  </si>
  <si>
    <t>860,534,045-3</t>
  </si>
  <si>
    <t>AC 63 # 74 B - 42 BG 7</t>
  </si>
  <si>
    <t>4266607</t>
  </si>
  <si>
    <t>1384-2018</t>
  </si>
  <si>
    <t>BIOLORE LTDA</t>
  </si>
  <si>
    <t>FERNANDO BLANCO</t>
  </si>
  <si>
    <t>830,087,855-5</t>
  </si>
  <si>
    <t>CARRERA 18 A # 143-34 BARRIO CEDRITOS</t>
  </si>
  <si>
    <t>3687361</t>
  </si>
  <si>
    <t>1385-2018</t>
  </si>
  <si>
    <t>RONELLY S.A</t>
  </si>
  <si>
    <t>CARLOS ANDRES LOPEZ</t>
  </si>
  <si>
    <t>890,929,073-5</t>
  </si>
  <si>
    <t xml:space="preserve">CARRERA 49 # 46 A SUR 25 </t>
  </si>
  <si>
    <t>4125263</t>
  </si>
  <si>
    <t>ENVIGADO</t>
  </si>
  <si>
    <t>1386-2018</t>
  </si>
  <si>
    <t>CARRERA 68 D #V 25 B- 26 OFICINA 518 BARRIO SALITRE</t>
  </si>
  <si>
    <t>1387-2018</t>
  </si>
  <si>
    <t>JUAN PABLO AMADO ORDUZ</t>
  </si>
  <si>
    <t>1388-2018</t>
  </si>
  <si>
    <t>HEMATOONCOLOGOS ASOCIADOS S.A</t>
  </si>
  <si>
    <t>PRESTACION DE SERVICIOS PROFESIONALES MEDICOS ESPECIALIZADOS PARA EL SERVICIO DE HEMATOLOGIA ONCOLOGIA DEL HOSPITAL MILITAR CENTRAL</t>
  </si>
  <si>
    <t>WILLIAM ARMANDO MANTILLA</t>
  </si>
  <si>
    <t>900,328,271-3</t>
  </si>
  <si>
    <t>AVENIDA CALLE 134 # 7-83</t>
  </si>
  <si>
    <t>6274455</t>
  </si>
  <si>
    <t>administratcion@hemato-oncologos.com</t>
  </si>
  <si>
    <t>1389-2018</t>
  </si>
  <si>
    <t>TOP MEDICAL SYSTEM S.A</t>
  </si>
  <si>
    <t xml:space="preserve">ARRENDAMIENTO DE DOS EQUIPOS DE ANGIOGRAFIA Y TOMOGRAFIA PARA EL SERVICIO DE IMÁGENES DIAGNOSTICA, INCLUYENDO MANTENIMIENTO PREVENTIVO Y CORRECTIVO </t>
  </si>
  <si>
    <t>ALVARO TAFUR ANZOLA - JESUS ALBERTO ORTIZ</t>
  </si>
  <si>
    <t>JAIME JOSE CAMARGO</t>
  </si>
  <si>
    <t>contab@topmedical.com.co</t>
  </si>
  <si>
    <t>1390-2018</t>
  </si>
  <si>
    <t>INGENIERIA DE BOMBAS Y PLANTAS LTDA</t>
  </si>
  <si>
    <t>MANTENIMIENO PREVENTIVO Y CORRECTIVO DE LOS SISTEMAS INTERRUMPIBLES DE POTENCIA UPS INCLUYENDO REPUESTOS NUEVOS NO REMANUFACTURADOS QUE CONFORMAN LA RED REGULADA DEL HOSPITAL MILITAR CENTRAL</t>
  </si>
  <si>
    <t>INGRID PATRICIA EARANGO</t>
  </si>
  <si>
    <t>CARRERA 5 # 79-15</t>
  </si>
  <si>
    <t>6440410</t>
  </si>
  <si>
    <t>ingebombas@hotmail.com</t>
  </si>
  <si>
    <t>1391-2018</t>
  </si>
  <si>
    <t>SUMINISTRO DE LOS MEDICAMENTOS DE ALTO COSTO  ABATACEPT, NIVOLUMAB PARA PACIENTES DEL HOSPITAL MILITAR CENTRAL</t>
  </si>
  <si>
    <t>MARIO MENA BEJARANO</t>
  </si>
  <si>
    <t>MARIA GUADALUPE LEON</t>
  </si>
  <si>
    <t>6675014</t>
  </si>
  <si>
    <t>1392-2018</t>
  </si>
  <si>
    <t>PRESTACION DE SERVICIOS DE PERSONAL MEDICO ESPECIALIZADO PARA EL SERVICIO DE AUDIOLOGIA DEL HOSPITAL MILITAR CENTRAL</t>
  </si>
  <si>
    <t>900,789,981-7</t>
  </si>
  <si>
    <t>1393-2018</t>
  </si>
  <si>
    <t>CORPORACION COLOMBIANA DE COLOPROCTOLOGOS</t>
  </si>
  <si>
    <t>PRESTACION DE SERVICIOS ESPECIALZADOS PARA L SERVICIO DE COLOPROCTOLOGIA DEL HOSPITAL MILITAR CENTRAL</t>
  </si>
  <si>
    <t>ALICIA YOLANDA CASTILLO</t>
  </si>
  <si>
    <t>900,723,907-2</t>
  </si>
  <si>
    <t>colprocorp@hotmail.com</t>
  </si>
  <si>
    <t>1394-2018</t>
  </si>
  <si>
    <t>PRESTACION DE SERVICIOS PROFESIONALES Y DE APOYO A LA GESTION DE UN MEDICO CIRUJANO GENERAL CON ESPECIALIDAD EN CIRUGIA DE TORAX, CON EXPERIENCIA EN TORASCIOSCOPIA Y CIRUGIA MINIMAMENTE INVASIVA, PARA QUE PRESTE SUS SERVICIOS EN EL HOSPITAL MILITAR CENTRAL</t>
  </si>
  <si>
    <t>70464446</t>
  </si>
  <si>
    <t>1395-2018</t>
  </si>
  <si>
    <t>EMIUT ESPECIALISTAS EN MEDICINA</t>
  </si>
  <si>
    <t>PRESTACION DE SERVICIOS PROFESIONALES EN MEDICOS ESPECIALISTAS EN MEDICINA INTERNA PARA EL AREA DE MEDICINA INTERNA Y GERIATRIA DEL HOSPITAL MILITAR CENTRAL</t>
  </si>
  <si>
    <t>ROBIN RADA</t>
  </si>
  <si>
    <t>URIEL ANDRES RUIZ</t>
  </si>
  <si>
    <t>901,239,754-5</t>
  </si>
  <si>
    <t>CARRERA 59 A # 134-15 TORRE 4  APTO 601</t>
  </si>
  <si>
    <t>3706016</t>
  </si>
  <si>
    <t>emiut2019@gmail.com</t>
  </si>
  <si>
    <t>1396-2018</t>
  </si>
  <si>
    <t>CARDIO LATIDO LTDA</t>
  </si>
  <si>
    <t>PRESTACION DE SERVICIOS PROFESIONALES ESPECIALIZADOS EN CARDDIOLOGIA PARA EL SERVICIO DE CARDIOLOGIA DEL HOSPITAL MILITAR CENTRAL</t>
  </si>
  <si>
    <t>RUBEN DARIO DUQUE</t>
  </si>
  <si>
    <t>REINA MARIA OLARTE</t>
  </si>
  <si>
    <t>900,910,013-5</t>
  </si>
  <si>
    <t>CALLE 97 # 23-37 CASA 604</t>
  </si>
  <si>
    <t>6010606</t>
  </si>
  <si>
    <t>cardiolatidosas@gmail.com</t>
  </si>
  <si>
    <t>1397-2018</t>
  </si>
  <si>
    <t>SIEMENS HEALTHCARE S.A.S.</t>
  </si>
  <si>
    <t xml:space="preserve">MANTENIMIENTO PREVENTIVO Y CORRECTIVO INCLUIDO REPUESTOS NUEVOS PARA LOS EQUIPOS ACELERADOR LINEAL, MEVATRON PRIMUS, GAMACAMARAS Y OTROS DE DIFERENTES SERVICIOS </t>
  </si>
  <si>
    <t>FRANKLIN RUGE SANTANA</t>
  </si>
  <si>
    <t>4253124</t>
  </si>
  <si>
    <t>laura.palma_villareal@siemens.com</t>
  </si>
  <si>
    <t>1398-2018</t>
  </si>
  <si>
    <t>MARIA ALELI SANCHEZ</t>
  </si>
  <si>
    <t>860,518,574-0</t>
  </si>
  <si>
    <t>CARRERA 26 # 85 A -32 PISO 2</t>
  </si>
  <si>
    <t>6108824</t>
  </si>
  <si>
    <t>proyectos@cscltda.com</t>
  </si>
  <si>
    <t>1399-2018</t>
  </si>
  <si>
    <t>1400-2018</t>
  </si>
  <si>
    <t>PRESTACION DE SERVICIOS PROFESIONALES Y DE APOYO A LA GESTION ESPECILIZADOS EN EL SERVICIO DE CIRUGIA CARDIOVASCULAR DEL HOSPITAL MILITAR CENTRAL</t>
  </si>
  <si>
    <t>CARRERA 9 A # 17-55 SR P 2</t>
  </si>
  <si>
    <t>1401-2018</t>
  </si>
  <si>
    <t>AMGEM BIOTECNOLOGIA S.A.S</t>
  </si>
  <si>
    <t>SUMINISTRO DE MEDICAMENTOS DE ALTO COSTO VIGENCIAS 2018, 2019 Y 2020</t>
  </si>
  <si>
    <t>ANGELA MARIA CRUZ</t>
  </si>
  <si>
    <t>900,658,497-6</t>
  </si>
  <si>
    <t>CALLE 100 # 7 A  81 PISO 6</t>
  </si>
  <si>
    <t>5961649</t>
  </si>
  <si>
    <t>rgueva01@amgem.com</t>
  </si>
  <si>
    <t>1402-2018</t>
  </si>
  <si>
    <t>SUMINISTRO DE MEDICAMENTOS DE ALTO COSTO, AFLIBERCEPT, INTERFERON BETA, RIOCIGUAT MICRONIZADO, SORAFENIB MICRONIZADO PARA PACIENTES DEL HOSPITAL MILITRA CENTRAL VIGENCIAS 2018, 2019 Y 2020</t>
  </si>
  <si>
    <t>ALBERTO YOROSLAV VLASAK PEREZ</t>
  </si>
  <si>
    <t>AVENIDA AMERICAS 57-52</t>
  </si>
  <si>
    <t>1403-2018</t>
  </si>
  <si>
    <t>ABBVIE S.A.S</t>
  </si>
  <si>
    <t>SUMINISTRO DE LOS MEDICAMENTOS DE ALTO COSTO (OMBISTAVIR+PARITAPREVIR+RITONAVIR)(DASABUVIR), ADALIMUMAB, PALIVIZUMAB, PARA PACIENTES DEL HOSPITAL MILITAR CENTRAL</t>
  </si>
  <si>
    <t>CARMEN LUZ HUERTAS</t>
  </si>
  <si>
    <t>900,514,524-9</t>
  </si>
  <si>
    <t>6285704</t>
  </si>
  <si>
    <t>johana.gamboa@abbott.com</t>
  </si>
  <si>
    <t>1404-2018</t>
  </si>
  <si>
    <t>ARRENDAMIENTO DE UN EQUIPO SPEC-CT PARA EL SERVICIO DE RADIOLOGIA DEL HOSPITAL MILITAR CENTRAL</t>
  </si>
  <si>
    <t xml:space="preserve">LUZ STELLA GOMEZ </t>
  </si>
  <si>
    <t>CALLE 103 # 15-10</t>
  </si>
  <si>
    <t>6111288</t>
  </si>
  <si>
    <t>1405-2018</t>
  </si>
  <si>
    <t xml:space="preserve">FUNDARRITMIA </t>
  </si>
  <si>
    <t>DIEGO IGNACIO VANEGAS</t>
  </si>
  <si>
    <t>900,028,377-8</t>
  </si>
  <si>
    <t>CALLE 50 # 8-24 CS 203</t>
  </si>
  <si>
    <t>3100450</t>
  </si>
  <si>
    <t>fundarritmia@gmail.com</t>
  </si>
  <si>
    <t>1406-2018</t>
  </si>
  <si>
    <t>UNION TEMPORAL CIRUGIA PLASTICA</t>
  </si>
  <si>
    <t>PRESTACION DE SERVICIOS PROFESIONALES MEDICOS ESPECIALIZADOS PARA EL SERVICIO DE CIRUGIA PLASTICA DEL HOSPITAL MILITAR CENTRAL</t>
  </si>
  <si>
    <t>RICARDO MARIO GALAN SUAREZ</t>
  </si>
  <si>
    <t>901,239,359-4</t>
  </si>
  <si>
    <t>CALLE 127 A # 7-53 OFICINA 2002</t>
  </si>
  <si>
    <t>8051976</t>
  </si>
  <si>
    <t>sandramoralesch@gmail.com</t>
  </si>
  <si>
    <t>1407-2018</t>
  </si>
  <si>
    <t>PRESTACION DE SERVICIOS PROFESIONALES MEDICOS ESPECIALIZADOS PARA EL SERVICIO DE UROLOGIA DEL HOSPITAL MILITAR CENTRAL</t>
  </si>
  <si>
    <t>830,010,337-0</t>
  </si>
  <si>
    <t>copr-med@hotmail.com</t>
  </si>
  <si>
    <t>1408-2018</t>
  </si>
  <si>
    <t>PRESTACION DE SERVICIOS PROFESIONALES PARA EL AREA DE ORTOPEDIA Y TRAUMATOLOGIA INCLUYENDO EL SUMINISTRO DE MATERIAL DE OSTEOSINTESIS, PROTESIS ARTICULARES, INSUMOS PARA CIRUGIA ARTROSCOPICA Y SUSTITUTOS OSEOS Y ALQUILER DE EQUIPOS PARA LA REALIZACION DE PROCEDIMIENTOS QUIRURGICOS QUE REQUIERA EL HOSPITAL MILITAR CENTRAL</t>
  </si>
  <si>
    <t>hlpensas@gmail.com</t>
  </si>
  <si>
    <t>1409-2018</t>
  </si>
  <si>
    <t>PRESTACION DE SERVICIOS PROFESIONALES EN NEUROLOGIA EN EL HOSPITAL MILITAR CENTRAL</t>
  </si>
  <si>
    <t>1410-2018</t>
  </si>
  <si>
    <t>CORPORACION DE ESPECIALISTA EN PEDIATRIA</t>
  </si>
  <si>
    <t>PRESTACION DE SERVICIOS MEDICOS ESPECIALIZADOS PARA LA ATENCION PEDIATRICA Y DE DIFERENTES SUPRAESPECIALIDADES, UNIDAD DE CUIDADO INTENSIVO PEDIATRICO Y NEONATAL DEL HOSPITAL MILITAR CENTRAL</t>
  </si>
  <si>
    <t>YESSICA MARINA YASSIR FELFLE</t>
  </si>
  <si>
    <t>901,025,414-2</t>
  </si>
  <si>
    <t>CORPEDIMIL@GMAIL.COM</t>
  </si>
  <si>
    <t>1411-2018</t>
  </si>
  <si>
    <t>PRESTACION DE SERVICIOS POFESIONALES Y DE APOYO A LA GESTION ESPECIALIZADOS EN EL SERVICIO DE NEUROCIRUGIA DEL HOSPITAL MILITAR CENTRAL</t>
  </si>
  <si>
    <t>1412-2018</t>
  </si>
  <si>
    <t>OYN MEDICOS S.A.S</t>
  </si>
  <si>
    <t>PRESTACION DE SERVICIO DE PERSONAL MEDICO ESPECIALIZADO PARA EL SERVICIO DE HEMODINAMIA DEL HOSPITAL MILITAR CENTRAL</t>
  </si>
  <si>
    <t xml:space="preserve">ANA MARIA OROZCO </t>
  </si>
  <si>
    <t>901,235,031-6</t>
  </si>
  <si>
    <t>CALLE 22 # 66-44 CASA 1116 ED. CLINICA COLOMBIA</t>
  </si>
  <si>
    <t>3156040165</t>
  </si>
  <si>
    <t>oymmedicossas@gmail.com</t>
  </si>
  <si>
    <t>1413-2018</t>
  </si>
  <si>
    <t>UNION TEMPORAL MEDFEM 22</t>
  </si>
  <si>
    <t>ADQUISCICION, DISPENSACION, SUMINISTRO, DISTRIBUCION Y CONTROL DE MEDICAMENTOS A TRAVEZ DE UN OPERADOR LOGISTICO PARA LOS USUARIOS DEL HOSPITAL MILITAR CENTRAL BAJO LA MODALIDAD DE MONTO AGOTABLE</t>
  </si>
  <si>
    <t>EMILIO JOSE ALANDETE</t>
  </si>
  <si>
    <t>901,241,016-1</t>
  </si>
  <si>
    <t>CALLE 64 G  # 88 A - 88</t>
  </si>
  <si>
    <t>7422299</t>
  </si>
  <si>
    <t>ealandete@gmail.com</t>
  </si>
  <si>
    <t>1414-2018</t>
  </si>
  <si>
    <t>ASTRAZENECA COLOMBIA S.A.S</t>
  </si>
  <si>
    <t>SUMINISTRO DE MEDICAMENTOS DE ALTO COSTO PARA LAS VIGENCIAS 2018, 2019 Y 2020</t>
  </si>
  <si>
    <t>MARIA JOSE SANCHEZ</t>
  </si>
  <si>
    <t>830,039,568-1</t>
  </si>
  <si>
    <t>CARRERA 7 # 71-21 TORRE A PISO 19</t>
  </si>
  <si>
    <t>3257200</t>
  </si>
  <si>
    <t>sebastian.perilla@astrazeneca.com</t>
  </si>
  <si>
    <t>1415-2018</t>
  </si>
  <si>
    <t>COMCI LTDA</t>
  </si>
  <si>
    <t xml:space="preserve">SUMINISTRO DE MATERIAL RADIOACTIVO PARA REALIZAR ESTUDIOS DIAGNOSTICOS GAMAGRAFIAS DE LOS DIFERENTES ORGANOS Y SISTEMAS PARA ESTUDIOS DE TUMORES DIAGNOSTICOS Y TRATAMIENTO DE ENFERMEDADES TIROIDEAS </t>
  </si>
  <si>
    <t>MIGUEL ANGEL CHONA</t>
  </si>
  <si>
    <t>830,014,072-2</t>
  </si>
  <si>
    <t>CALLE 24 C # 24-10</t>
  </si>
  <si>
    <t>2445000</t>
  </si>
  <si>
    <t>gerencia@comci.com.co</t>
  </si>
  <si>
    <t>1416-2018</t>
  </si>
  <si>
    <t>CALLE 26 # 69 D -91 OFICINA 606 ED ARRECIFE</t>
  </si>
  <si>
    <t>7455208</t>
  </si>
  <si>
    <t>1417-2018</t>
  </si>
  <si>
    <t>SUMINISTRO DE ELEMENTOS PARA EL BANCO DE SANGRE Y  PARA EL TRANPORTE DE COMPONENETES SANGUINEOS A LOS DIFERENTES SERVICIOS DEL HOSPITAL MILITAR CENTRAL</t>
  </si>
  <si>
    <t>JACKELINE RODRIGUEZ SALAZAR</t>
  </si>
  <si>
    <t>CARRERA 43 # 6-40</t>
  </si>
  <si>
    <t>2687977</t>
  </si>
  <si>
    <t>stockph@outlook.com</t>
  </si>
  <si>
    <t>1423-2018</t>
  </si>
  <si>
    <t>GUSTAVO TRUJILO RUMIE</t>
  </si>
  <si>
    <t>900,589,178-5</t>
  </si>
  <si>
    <t>CARRERA 7 # 156-10 LOCAL 2 EDIFICIO TORRE DE KRISTAL</t>
  </si>
  <si>
    <t>3504270648</t>
  </si>
  <si>
    <t>asesorjuridico@remyips.com.co</t>
  </si>
  <si>
    <t>1424-2018</t>
  </si>
  <si>
    <t>SANOFI AVENTIS DE COLOMBIA</t>
  </si>
  <si>
    <t>CELEBRACION DEL CONVENIO  INTERADMINISTRATIVO CON EL FONDO ROTATORIO DE LA POLICIA NACIONAL PARA EL SUMINISTRO DE VESTIDOS DE LABOR PARA EL PRESONAL QUE DEVENGA ENTRE UNO Y DOS SALARIOS MINIMOS MENSUALES LEGALES Y QUE LABORA PARA EL HOSPITAL MILITAR CENTRAL</t>
  </si>
  <si>
    <t>JOSE IGNACIO VASQUEZ</t>
  </si>
  <si>
    <t>860,020,227-0</t>
  </si>
  <si>
    <t>CARRERA 66 A  # 43-18</t>
  </si>
  <si>
    <t>2207100</t>
  </si>
  <si>
    <t>forpo@forpo.gov.co</t>
  </si>
  <si>
    <t>1425-2018</t>
  </si>
  <si>
    <t>SUMINSTRO DE MEDICAMENTOS DE ALTO COSTO VIGENCIAS 2018, 2019 Y 2020</t>
  </si>
  <si>
    <t>MAURICIO BOTERO CAICEDO</t>
  </si>
  <si>
    <t>TRANSVERSAL 23 # 97-73 PISO 9</t>
  </si>
  <si>
    <t>7421454</t>
  </si>
  <si>
    <t>jennyaejandra.rojas@sanofi.com</t>
  </si>
  <si>
    <t>1427-2018</t>
  </si>
  <si>
    <t>PFIZER S.A</t>
  </si>
  <si>
    <t>CAROLINA VASQUEZ CORSO</t>
  </si>
  <si>
    <t>860,039,561-1</t>
  </si>
  <si>
    <t>AVENIDA SUBA # 95-66</t>
  </si>
  <si>
    <t>6002406</t>
  </si>
  <si>
    <t>rubendario.melo@pfizer.com</t>
  </si>
  <si>
    <t>1428-2018</t>
  </si>
  <si>
    <t>LABORATORIOS BIOPAS S.A</t>
  </si>
  <si>
    <t>OSCAR FERNANDO MAYORGA</t>
  </si>
  <si>
    <t>830,106,920-9</t>
  </si>
  <si>
    <t>CALLE 127 A # 57 A - 45 OFI 1202</t>
  </si>
  <si>
    <t>7432121</t>
  </si>
  <si>
    <t>ccardozo@biopasgroup.com</t>
  </si>
  <si>
    <t>1429-2018</t>
  </si>
  <si>
    <t>SUMINISTRO Y ADQUISISION DE INSUMOS Y REACTIVOS NECESARIOS PARA LA RECOLECCION Y PROCESAMIENTO DE LAS UNIDADES DE SANGRE COLECTADAS Y LA REALIZACION DE LAS PRUEBAS DE INMUNOSEROLOGIA PARA DONANTES Y PACIENTES ATENDIDOS EN EL BANCO DE SANGRE DEL HOSPITAL MILITAR CENTRAL</t>
  </si>
  <si>
    <t>860,309,020-6</t>
  </si>
  <si>
    <t>1430-2018</t>
  </si>
  <si>
    <t>ABBOT LABORATORIOS DE COLOMBIA</t>
  </si>
  <si>
    <t>CALLE 100 # 95 A -45 PISO 14</t>
  </si>
  <si>
    <t>1431-2018</t>
  </si>
  <si>
    <t>BIOCIENTIFICA LTDA</t>
  </si>
  <si>
    <t>ERNST ADLER</t>
  </si>
  <si>
    <t>860,065,795-6</t>
  </si>
  <si>
    <t>CARRERA 15 A # 121 -12 OFICINA 518</t>
  </si>
  <si>
    <t>6203382</t>
  </si>
  <si>
    <t>biocient@outlook.com</t>
  </si>
  <si>
    <t>1432-2018</t>
  </si>
  <si>
    <t>LABCARE DE COLOMBIA S.A</t>
  </si>
  <si>
    <t>CARLOS ALFREDO TORRES</t>
  </si>
  <si>
    <t>830,056,202-3</t>
  </si>
  <si>
    <t>AUTOPISTA MEDELLIN M  2,5 VIA PARCELAS PARQUE  EMP PORTOS SABANA 80 BODEGA 97</t>
  </si>
  <si>
    <t>8985201</t>
  </si>
  <si>
    <t>ventas@labcarecolombia.com</t>
  </si>
  <si>
    <t>1433-2018</t>
  </si>
  <si>
    <t>SUMINISTRO DE INSUMOS MEDICO QUIRURGICOS PARA LA RALIZACION DEL PROGRAMA QUIRURGICO EN SALAS DE CIRUGIA Y LOS DEMAS SERVICIOS QUE COMPONEN LA UNIDAD CLINICO QUIRIURGICA DEL HOSPITAL MILITAR CENTRAL</t>
  </si>
  <si>
    <t>800,091,472,-4</t>
  </si>
  <si>
    <t xml:space="preserve">CARRERA 12 F # 15-022 SUR </t>
  </si>
  <si>
    <t>incomedicsltda@hotmail.com</t>
  </si>
  <si>
    <t>1434-2018</t>
  </si>
  <si>
    <t>JHONSON &amp; JHONSON DE COLOMBIA</t>
  </si>
  <si>
    <t>GALO MIRCEA CUBILLOS</t>
  </si>
  <si>
    <t>890,101,815-9</t>
  </si>
  <si>
    <t>AVENIDA CALLE 26 # 69-76 EDIFICIO ELEMENTO TORRE 2 PISO 9</t>
  </si>
  <si>
    <t>2191200</t>
  </si>
  <si>
    <t>Ctorogar@its.jnj.com</t>
  </si>
  <si>
    <t>1435-2018</t>
  </si>
  <si>
    <t>ADRIANA PADILLA LEAL</t>
  </si>
  <si>
    <t>AVENIDA EL DORADO  # 75-93</t>
  </si>
  <si>
    <t>4161677</t>
  </si>
  <si>
    <t>1436-2018</t>
  </si>
  <si>
    <t>1437-2018</t>
  </si>
  <si>
    <t>ARTIUM S.A.S</t>
  </si>
  <si>
    <t>ANDREA IDARRAGA MANRIQUE</t>
  </si>
  <si>
    <t>900,607,032-7</t>
  </si>
  <si>
    <t>CARRERA 51 B # 80-58 OFICINA 1306</t>
  </si>
  <si>
    <t>3102477606</t>
  </si>
  <si>
    <t>gerencia@artiumsalud.com</t>
  </si>
  <si>
    <t>1438-2018</t>
  </si>
  <si>
    <t>6096000</t>
  </si>
  <si>
    <t>1439-2018</t>
  </si>
  <si>
    <t>1440-2018</t>
  </si>
  <si>
    <t xml:space="preserve">GENERAL MEDICA DE COLOMBIA </t>
  </si>
  <si>
    <t>1441-2018</t>
  </si>
  <si>
    <t>1442-2018</t>
  </si>
  <si>
    <t>BOSTON SCIENTIFIC COLOMBIA LTDA</t>
  </si>
  <si>
    <t>JULIETA DIAZGRANADOS</t>
  </si>
  <si>
    <t>830,039,229-1</t>
  </si>
  <si>
    <t>CALLE 113 # 7-45 TORRE B OFICINA 713</t>
  </si>
  <si>
    <t>6295045</t>
  </si>
  <si>
    <t>mateo.rodriguez@bsci.com</t>
  </si>
  <si>
    <t>1443-2018</t>
  </si>
  <si>
    <t>LUIS EDUARDO NIETO JARAMILLO</t>
  </si>
  <si>
    <t>CARRERA 19 # 82-85 OFICINA 302</t>
  </si>
  <si>
    <t>5082122</t>
  </si>
  <si>
    <t>servicioalcliente@fm-colombia.com</t>
  </si>
  <si>
    <t>1444-2018</t>
  </si>
  <si>
    <t>1445-2018</t>
  </si>
  <si>
    <t>PROKONTROL S.A.S</t>
  </si>
  <si>
    <t>YESID MARTIN</t>
  </si>
  <si>
    <t>900,339,972-5</t>
  </si>
  <si>
    <t>CALLE 92 # 15-48 OFICINA 306</t>
  </si>
  <si>
    <t>6360802</t>
  </si>
  <si>
    <t>asistentecomercial@prokontrol.com.co</t>
  </si>
  <si>
    <t>1446-2018</t>
  </si>
  <si>
    <t>CARLOS ALBERTO MURILAS</t>
  </si>
  <si>
    <t>CARRERA 43 A # 5 A -17</t>
  </si>
  <si>
    <t>5240015</t>
  </si>
  <si>
    <t>corporativo@tmmedicas.com</t>
  </si>
  <si>
    <t>1447-2018</t>
  </si>
  <si>
    <t>CALLE 79 # 74 -29</t>
  </si>
  <si>
    <t>1448-2018</t>
  </si>
  <si>
    <t>W LORENZ S.A</t>
  </si>
  <si>
    <t>1449-2018</t>
  </si>
  <si>
    <t>1450-2018</t>
  </si>
  <si>
    <t>GUILLERMO GOMEZ</t>
  </si>
  <si>
    <t xml:space="preserve">AUTOPITA MEDELLIN KM 8,5 COSTADO SUR </t>
  </si>
  <si>
    <t>TENJO</t>
  </si>
  <si>
    <t>1451-2018</t>
  </si>
  <si>
    <t>1452-2018</t>
  </si>
  <si>
    <t>SURGICON S.A</t>
  </si>
  <si>
    <t>MARIA FERNANDO OYUELA</t>
  </si>
  <si>
    <t>860,519,267-9</t>
  </si>
  <si>
    <t>KM 1 VIA SIBERIA COTA CENTRO  EMPRESARIAL DEL OCCIDENTE</t>
  </si>
  <si>
    <t>8966555</t>
  </si>
  <si>
    <t>info@surgicon.com.co</t>
  </si>
  <si>
    <t>1453-2018</t>
  </si>
  <si>
    <t>gerenciainstituciones@alfratrading.com.co</t>
  </si>
  <si>
    <t>1454-2018</t>
  </si>
  <si>
    <t>4059179</t>
  </si>
  <si>
    <t>1455-2018</t>
  </si>
  <si>
    <t>MYM EQUIPOS MEDICOS S.A</t>
  </si>
  <si>
    <t>MANUEL GONZALEZ</t>
  </si>
  <si>
    <t>1456-2018</t>
  </si>
  <si>
    <t>1457-2018</t>
  </si>
  <si>
    <t>BIOCLINICOS DE COLOMBIA LTDA</t>
  </si>
  <si>
    <t>ALFONSO CASTRO</t>
  </si>
  <si>
    <t>830,054,700-0</t>
  </si>
  <si>
    <t>CARRERA 59 # 94 B -11</t>
  </si>
  <si>
    <t>5334340</t>
  </si>
  <si>
    <t>comercial@bioclinicos.com</t>
  </si>
  <si>
    <t>1458-2018</t>
  </si>
  <si>
    <t>CTP MEDICAS S.A</t>
  </si>
  <si>
    <t>CAROLINA PERDOMO MEZA</t>
  </si>
  <si>
    <t>800,121,151-5</t>
  </si>
  <si>
    <t>KM 1,5 VIA SIBERIA COTA PARQUE INDUSTRIAL POTRERO CHICO INTERIOR SANMIGUEL BODEGA</t>
  </si>
  <si>
    <t>8773979</t>
  </si>
  <si>
    <t>servicioalcliente@ctpmedica.com</t>
  </si>
  <si>
    <t>1459-2018</t>
  </si>
  <si>
    <t>1460-2018</t>
  </si>
  <si>
    <t>MEDIREX S.A.S</t>
  </si>
  <si>
    <t>YENNY CARRANZA</t>
  </si>
  <si>
    <t>830,091,676-9</t>
  </si>
  <si>
    <t>CALLE 85 A # 24-26</t>
  </si>
  <si>
    <t>3214931095</t>
  </si>
  <si>
    <t>licitaciones@medirexsas.com</t>
  </si>
  <si>
    <t>1461-2018</t>
  </si>
  <si>
    <t>UCIPHARMA S.A</t>
  </si>
  <si>
    <t>830,070,192-6</t>
  </si>
  <si>
    <t>1462-2018</t>
  </si>
  <si>
    <t>angelica.huertas@kci1.com</t>
  </si>
  <si>
    <t>1463-2018</t>
  </si>
  <si>
    <t>CALLE 36 # 2C -22</t>
  </si>
  <si>
    <t>EDGAR HUMBERTO GARZON</t>
  </si>
  <si>
    <t>900,810,245-8</t>
  </si>
  <si>
    <t>AVENIDA TRONCAL DE OCCIDENTE # 1-59 BODECAL 2</t>
  </si>
  <si>
    <t>8299708</t>
  </si>
  <si>
    <t>1465-2018</t>
  </si>
  <si>
    <t>ADQUISICION DE REPUESTOS PARA EL SISTEMA DE CONTROL DE ACCESO DEL HOSPITAL MILITAR CENTRAL</t>
  </si>
  <si>
    <t>900,034,347-2</t>
  </si>
  <si>
    <t>1466-2018</t>
  </si>
  <si>
    <t>NOVARTIS DE COLOMBIA S.A</t>
  </si>
  <si>
    <t>SUMINISTRO DE MEDICAMENTOS DE ALTO COSTO PARA PACIENTES HOSPITALIZADOS Y AMBULATORIOS DEL HOSPITAL MILITAR CENTRAL</t>
  </si>
  <si>
    <t>XIMENA MARGARITA FORERO</t>
  </si>
  <si>
    <t>860,002,538-1</t>
  </si>
  <si>
    <t>4206100 EXT 436</t>
  </si>
  <si>
    <t>1467-2018</t>
  </si>
  <si>
    <t>PRESTACION DE SERVICIOS DE SALUD PARA LA REALIZACION DE EXAMENES EXTRAHOSPITALARIOS PARA EL SERVICIO DE MEDICIN NUCLEAR DEL HOSPITAL MILITAR CENTRAL</t>
  </si>
  <si>
    <t>1468-2018</t>
  </si>
  <si>
    <t>1469-2018</t>
  </si>
  <si>
    <t xml:space="preserve">MERCK SHARP </t>
  </si>
  <si>
    <t>SUMINISTRO DE MEDICAMENROS DE ALTO COSTO PARA PACIENTES DEL HOSPITAL MILITAR CENTRAL</t>
  </si>
  <si>
    <t>JAIME ANDRES MUÑOZ</t>
  </si>
  <si>
    <t>860,002,392-1</t>
  </si>
  <si>
    <t>CALLE 127 A # 53 A -45 PISO 8 EDIFICIO 3</t>
  </si>
  <si>
    <t>5924400</t>
  </si>
  <si>
    <t>mauricio.arango@merck.com</t>
  </si>
  <si>
    <t>1470-2018</t>
  </si>
  <si>
    <t>RODRIGO GOMEZ BURBANO</t>
  </si>
  <si>
    <t>4178660</t>
  </si>
  <si>
    <t>1471-2018</t>
  </si>
  <si>
    <t>SUMINISTRO DE REACTIVOS E INSUMOS DESTINADOS PARA EL LABORATORIO CLINICO DEL HOSPITAL MILITAR CENTRAL</t>
  </si>
  <si>
    <t>800,005,736-1</t>
  </si>
  <si>
    <t>1473-2018</t>
  </si>
  <si>
    <t>1474-2018</t>
  </si>
  <si>
    <t>1475-2018</t>
  </si>
  <si>
    <t>AUTOPISTA MEDELLIN KM 2,5 VIA SIBERIA  PORTOS SABANA 80 BODEGA 87</t>
  </si>
  <si>
    <t>8759011</t>
  </si>
  <si>
    <t>biolore@hotmail.com</t>
  </si>
  <si>
    <t>1476-2018</t>
  </si>
  <si>
    <t>7561731</t>
  </si>
  <si>
    <t>1477-2018</t>
  </si>
  <si>
    <t>OTTOBOCK HEALTHCARE</t>
  </si>
  <si>
    <t>SUMINISTRO DE MATERIALES Y COMPONENETES PARA LA ELABORACION Y ADAPTACION DE DISPOSITIVOS MEDICOS SOBRE MEDIDAS TIPO PROTESIS EXTERNA PARA EXTREMIDADES Y OERTESIS ORTOPEDICAS PARA EL HOSPITAL MILITAR CENTRAL</t>
  </si>
  <si>
    <t>CARLOS ROBERTO GARCES</t>
  </si>
  <si>
    <t>830,109,997-9</t>
  </si>
  <si>
    <t>CARRERA 22 # 164-34</t>
  </si>
  <si>
    <t>8610850</t>
  </si>
  <si>
    <t>alberto.marulanda@ottobock.com.co</t>
  </si>
  <si>
    <t>1478-2018</t>
  </si>
  <si>
    <t>CENTRO INTEGRAL DE REHABILITACION</t>
  </si>
  <si>
    <t>DANIEL GOMEZ PERICO</t>
  </si>
  <si>
    <t>860,066,767-4</t>
  </si>
  <si>
    <t>CARRERA 54 # 65-25</t>
  </si>
  <si>
    <t>9536000</t>
  </si>
  <si>
    <t>catherine.guarin@cirec.org</t>
  </si>
  <si>
    <t>1480-2018</t>
  </si>
  <si>
    <t>SERVIDIAGNOSTICS S.A.S</t>
  </si>
  <si>
    <t>ARRENDAMIENTO DE UN SISTEMA DE INFORMACION PAC-RISK QUE INCKUYA INTALACION MANTENIMIENTO PREVENTIVO CORRECTIVO Y SOPORTE TECNICO</t>
  </si>
  <si>
    <t>EDWIN CUBIDES NIÑO</t>
  </si>
  <si>
    <t>900,545,507-6</t>
  </si>
  <si>
    <t>CALLE 25 F # 85 C -57 OFICINA 201</t>
  </si>
  <si>
    <t>4326882</t>
  </si>
  <si>
    <t>servidiagnostics@gmail.com</t>
  </si>
  <si>
    <r>
      <t xml:space="preserve">CONTRATACION DE PERSONAL QUE CUBRIRA TODAS LAS NECESIDADES DE LAS AREAS ADMINISTRATIVAS </t>
    </r>
    <r>
      <rPr>
        <sz val="10"/>
        <color indexed="8"/>
        <rFont val="Calibri"/>
        <family val="2"/>
        <scheme val="minor"/>
      </rPr>
      <t>DRA. CLAUDIA ARROYAVE</t>
    </r>
  </si>
  <si>
    <r>
      <t xml:space="preserve">CONTRATACION DE PERSONAL QUE CUBRIRA TODAS LAS NECESIDADES DE LAS AREAS ADMINISTRATIVAS </t>
    </r>
    <r>
      <rPr>
        <sz val="10"/>
        <color indexed="8"/>
        <rFont val="Calibri"/>
        <family val="2"/>
        <scheme val="minor"/>
      </rPr>
      <t>DR. RICARDO ESCUDERO TORRES</t>
    </r>
  </si>
  <si>
    <r>
      <t xml:space="preserve">ACTUALIZACION Y SOPORTE PARA EL SISTEMA DE INFORMACION DINAMICA GERENCIAL HOSPITALARIA .NET WEBSERVICE 2018 PARA ORACLE 12C. </t>
    </r>
    <r>
      <rPr>
        <sz val="10"/>
        <color indexed="10"/>
        <rFont val="Calibri"/>
        <family val="2"/>
        <scheme val="minor"/>
      </rPr>
      <t>(MEJORAMIENTO SISTEMA DE INFORMACION)</t>
    </r>
  </si>
  <si>
    <r>
      <t xml:space="preserve">RENOVACION, ACTUALIZACION Y SOPORTE TECNICO DEL SOFTWARE SUITE VISION EMPRESARIAL DEL HOSPITAL MILITAR CENTRAL PARA LA VIGENCIA 2018  </t>
    </r>
    <r>
      <rPr>
        <sz val="10"/>
        <color indexed="10"/>
        <rFont val="Calibri"/>
        <family val="2"/>
        <scheme val="minor"/>
      </rPr>
      <t>(PROYECTO DE INVERSION)</t>
    </r>
  </si>
  <si>
    <r>
      <t>RENOVACION DE LAS POLIZAS DE SOPORTE  DE FABRICA  MANTENIMIENTO Y ACTUALIZACION  DE KAS 977 LICENCIAS DISCOVER ADVANTAGE+SERVICEDESK DURANTE LA VIGENCIA 208 PARA E HOSPITAL MILITAR CENTRAL</t>
    </r>
    <r>
      <rPr>
        <sz val="10"/>
        <color indexed="10"/>
        <rFont val="Calibri"/>
        <family val="2"/>
        <scheme val="minor"/>
      </rPr>
      <t>(MEJORAMIENTO SISTEMA DE INFORMACION)</t>
    </r>
  </si>
  <si>
    <r>
      <t>ADQUISICION INSTALACION Y PUESTA EN FUNCIONAMIENTO DE 200 LICENCIAS DE ANTIVIRUS PARA LA PROTECCION DE LOS EQUIPOS DE COMPUTO DE USUARIO FINAL DE LA ENTIDAD CONFORME A LAS ESPECIFIACIONES TECNICAS</t>
    </r>
    <r>
      <rPr>
        <sz val="10"/>
        <color indexed="10"/>
        <rFont val="Calibri"/>
        <family val="2"/>
        <scheme val="minor"/>
      </rPr>
      <t xml:space="preserve"> (PROYECTO DE INVERSION)</t>
    </r>
  </si>
  <si>
    <r>
      <t>LICENCIAMIENTO DE USO DE PLATAFORMA, ADMINISTRADOR DE SERVIDORES Y SOPORTE PARA EL SISTEMA DE GESTION ACADEMICA DE LA ESCUELA DE ENFERMERIA Y SISTEMA DE ADMISIONES DE PRACTICAS UNIVERSITARIAS DEL HOSPITAL MILITAR CENTRAL</t>
    </r>
    <r>
      <rPr>
        <sz val="10"/>
        <color indexed="10"/>
        <rFont val="Calibri"/>
        <family val="2"/>
        <scheme val="minor"/>
      </rPr>
      <t xml:space="preserve"> (PROYECTO DE INVERSION)</t>
    </r>
  </si>
  <si>
    <r>
      <t xml:space="preserve">SERVICIO DE MANTENIMIENTO Y SOPORTE A DISTANCIA DEL SISTEMA DE GESTION DOCUMENTAL CONTROL DOC </t>
    </r>
    <r>
      <rPr>
        <sz val="10"/>
        <color indexed="10"/>
        <rFont val="Calibri"/>
        <family val="2"/>
        <scheme val="minor"/>
      </rPr>
      <t>(PROYECTO DE INVERSION)</t>
    </r>
  </si>
  <si>
    <r>
      <t xml:space="preserve">SUMINISTRO DE INSUMO Y/O DISPOSITIVOS MEDICO-QUIRURGICO PARA LOS SERVICIOS QUIRURGICOS DE LA CLINICA DEL DOLOR, CIRUGIA PEDIATRICA, CIRUGIA GENERAL, QUE COMPONEN LA UNIDAD CLINICO QUIRURGICA ETC. </t>
    </r>
    <r>
      <rPr>
        <sz val="10"/>
        <color indexed="10"/>
        <rFont val="Calibri"/>
        <family val="2"/>
        <scheme val="minor"/>
      </rPr>
      <t>(DESIERTOS DE LA MC.012 LOS GRUPOS N°2-3-4)</t>
    </r>
  </si>
  <si>
    <t>N° CONTRATO</t>
  </si>
  <si>
    <t>933-2018</t>
  </si>
  <si>
    <t>NESTOR RICARDO GONZALEZ MARIN</t>
  </si>
  <si>
    <t>PRESTACION DE SERVICIOS PROFESIONALES Y APOYO A LA GESTUON DE UN MEDICO OTORRINOLARINGOLOGO PARA CUBRIR LAS NECESIDADE ASISTENCIALES PARA EL SERVICIO DE OTORRINOLARINGOLOGIA DEL HOSPITAL MILITAR CENTRAL</t>
  </si>
  <si>
    <t>80,769,186</t>
  </si>
  <si>
    <t>CALLE 130 C # 59 D - 75 TORRE 2 APTO 2401</t>
  </si>
  <si>
    <t>3108064797</t>
  </si>
  <si>
    <t>934-2018</t>
  </si>
  <si>
    <t>CAROLINA MORA DIAZ</t>
  </si>
  <si>
    <t>52,812,079</t>
  </si>
  <si>
    <t>CARRERA 36 # 53-56 APTO 503</t>
  </si>
  <si>
    <t>9208044</t>
  </si>
  <si>
    <t>285-2018</t>
  </si>
  <si>
    <t>ZANNA S.A.S</t>
  </si>
  <si>
    <t>SUMINISTRO DE INSUMOS PARA EL SERVICIO DE MEDICINA FISICA Y REHBIITACION DEL HOSPITAL MILITAR CENTRA</t>
  </si>
  <si>
    <t xml:space="preserve"> NANCY PATRICIA VEGA</t>
  </si>
  <si>
    <t>800,123,415-3</t>
  </si>
  <si>
    <t>CALLE 93 # 48-11</t>
  </si>
  <si>
    <t>6110828 EXT 106</t>
  </si>
  <si>
    <t>coordinacion@licitarasesorias.com</t>
  </si>
  <si>
    <t>1334-2018</t>
  </si>
  <si>
    <t>PRESTACION DE SERVICIOS DE UN MEDICO ESPECIALISTA EN RADIOLOGIA CON ENTRANAMINTO EN INTERVENCIONISMO GENERA PARA EL SERVICIO DE RADIOLOGIA</t>
  </si>
  <si>
    <t>CALLE 147 # 12-80 INT 1 APTO 402</t>
  </si>
  <si>
    <t>3486868</t>
  </si>
  <si>
    <t>1479-2018</t>
  </si>
  <si>
    <t>800,250,382</t>
  </si>
  <si>
    <t>1472-2018</t>
  </si>
  <si>
    <t>AUTOPISTA MEDELIN KM 2,5 VIA PARCELAS PARQUE  EMP PORTOS  SABANA 80 BODEGA 97</t>
  </si>
  <si>
    <t>8985201-02-03</t>
  </si>
  <si>
    <t>1421-2018</t>
  </si>
  <si>
    <t>SUMINISTRO DE INSUMOS Y REACTIVOS  PARA REALIZAR TECNICAS DE INMUNOHISTOQUIMICA AUTOMATIZADA, CITOMETRIA DE FLUJO Y REALIZACION DE AUTOPSIAS</t>
  </si>
  <si>
    <t>6354327</t>
  </si>
  <si>
    <t>830,056,102-3</t>
  </si>
  <si>
    <t>1422-2018</t>
  </si>
  <si>
    <t>CALLE 103 # 45 a -29</t>
  </si>
  <si>
    <t>MAROSEARCHLTDA@YAHOO.COM</t>
  </si>
  <si>
    <t>1419-2018</t>
  </si>
  <si>
    <t>1418-2018</t>
  </si>
  <si>
    <t>PRESTACION DE SERVICIOS PROFESIONALES ESPECIALIZADOS  EN CIRUGIA VASCULAR Y ANGIOLOGIA  CON CUBRIMIENTO EN LAS AREAS DE CONSULTA EXTERNA, HOSPITALIZADOS, URGENCIAS, CIRRUGIA ABIERTA Y ENDOVASCULAR  TANTO ELECTIVA COMO DE URGENCIAS, PROCEDIMIENTOS DIAGNOSTICOS INVASIVOS Y NO INVASIVOS DE APOYO TERAPEUTICO, ACTIVIDAD DOCENTE Y DE INVESTIGACION</t>
  </si>
  <si>
    <t>DOUGLAS OMAR ORTIZ ESPINEL</t>
  </si>
  <si>
    <t>830,079,051-7</t>
  </si>
  <si>
    <t>CALLE 45 C BIS # 23-37 CONSULTORIO 203</t>
  </si>
  <si>
    <t>2450411</t>
  </si>
  <si>
    <t>CIRUGESP.LTDA@YAHOO.ES</t>
  </si>
  <si>
    <t>1420-2018</t>
  </si>
  <si>
    <t>75660060</t>
  </si>
  <si>
    <t>1340-2018</t>
  </si>
  <si>
    <t>OFTALMOCENTER LTDA</t>
  </si>
  <si>
    <t>DORA CAROLINA ORDUY</t>
  </si>
  <si>
    <t>CALLE 97 # 93-37</t>
  </si>
  <si>
    <t>6426033</t>
  </si>
  <si>
    <t>gerencia@oftalmocenter.com.co</t>
  </si>
  <si>
    <t>900,159,763-1</t>
  </si>
  <si>
    <t>985-2018</t>
  </si>
  <si>
    <t>FRESENIUS KABI COLOMBIA S.A.S</t>
  </si>
  <si>
    <t>AMIT KATARIA</t>
  </si>
  <si>
    <t>AV CARRERA 7  # 155 C - 20 PISO 40 NORT POINT TORRE E</t>
  </si>
  <si>
    <t>7560404</t>
  </si>
  <si>
    <t>kabi.col.sac@fesenius-kabi.com</t>
  </si>
  <si>
    <t>900,402,080-1</t>
  </si>
  <si>
    <t>1339-2018</t>
  </si>
  <si>
    <t>1366-2018</t>
  </si>
  <si>
    <t>PRESTACION DE SERVICIOS PROFESIONALES PARA EL SERVICIO MEDICO DEL GRUPO DE HOSPITALIZACION DEL HOSPITAL MILITAR CENTRAL</t>
  </si>
  <si>
    <t>1262-2018</t>
  </si>
  <si>
    <t>PRESTACION DE SERVICIOS PROFESIONALES DE UN MEDICO RADIOLOGO PARA REALIZACION DE ANALISIS E INTERPRETACION DE LAS IMÁGENES OBTENIDAS MEDIANTE RESONANCIA, MAGNETICA, TOMOGRAFIA COMPUTARIZADA , ECOGRAFIA, RADIOLOGIA CONVENCIONAL, ESTUDIOS ESPECIALES, BIOPSIAS, DENSITOMETRIAS Y REALIZACION DE PROCEDIMIENTOS ECOGRAFICOS</t>
  </si>
  <si>
    <t>CATALINA CORREA</t>
  </si>
  <si>
    <t>1464-2018</t>
  </si>
  <si>
    <t>MARIA VICTORIA ACOSTA</t>
  </si>
  <si>
    <t>FONDO ROTATORIO DE LA POLICIA</t>
  </si>
  <si>
    <t>PRESTACION DE SERVICIOS DE PERSONAL MEDICO ESPECIALIZADO PARA EL SERVICIO DE OFTALMOLOGIA  DEL HOSPITAL MILITAR CENTRAL</t>
  </si>
  <si>
    <t>1362-2018</t>
  </si>
  <si>
    <t>PRESTACION DE SERVICIOS PROFESIONALES Y DE APOYO A LA GESTION ESPECIALIZADOS EN EL SERVICIO DE CIRUGIA GENERAL DEL HOSPITAL MILITAR CENTRAL</t>
  </si>
  <si>
    <t>licitaciones@solucionesecomil.com</t>
  </si>
  <si>
    <t>gerenciacontractuallegal@gmail.com</t>
  </si>
  <si>
    <t>nestorgm79@gmail.com</t>
  </si>
  <si>
    <t>caromorad@gmail.com</t>
  </si>
  <si>
    <t>9236085</t>
  </si>
  <si>
    <t>mmreyessr@hotmail.com</t>
  </si>
  <si>
    <t>angiefrnacom03@gmail.com</t>
  </si>
  <si>
    <t>3105616271</t>
  </si>
  <si>
    <t>ROGERMS.RMS@GMAIL.COM</t>
  </si>
  <si>
    <t>3114710029</t>
  </si>
  <si>
    <t>cristian.or92@hotmail.com</t>
  </si>
  <si>
    <t>dgmedina1990@gmail.com</t>
  </si>
  <si>
    <t>3127379733</t>
  </si>
  <si>
    <t>sebastian.gomez@hotmail.com</t>
  </si>
  <si>
    <t>pablomd88@hotmail.com</t>
  </si>
  <si>
    <t>paulajulianav24_08@hotmail.com</t>
  </si>
  <si>
    <t>3004922962</t>
  </si>
  <si>
    <t>maya0416@hotmail.com</t>
  </si>
  <si>
    <t>3164107358</t>
  </si>
  <si>
    <t>bittertears26@yahoo.com</t>
  </si>
  <si>
    <t>gerencia@elite.com.co</t>
  </si>
  <si>
    <t>jeimy.arciniegas@bayer.com</t>
  </si>
  <si>
    <t>4142277</t>
  </si>
  <si>
    <t>info@quimiolab.com</t>
  </si>
  <si>
    <t>direcciongeneral1@nsanrafael.com.co</t>
  </si>
  <si>
    <t>comercial@ajoveco.com.co</t>
  </si>
  <si>
    <t>nubia.martinez@biomerieux.com</t>
  </si>
  <si>
    <t>maika.ramirez@quirumedicas.com.co</t>
  </si>
  <si>
    <t>blinares@proasepsis.com</t>
  </si>
  <si>
    <t>licitaciones@renelly.com</t>
  </si>
  <si>
    <t>271-2018</t>
  </si>
  <si>
    <t xml:space="preserve">AYB EQUIPOS MEDICOS </t>
  </si>
  <si>
    <t>SUMINISTRO DE ELEMENTOS, INSUMOS Y DISPOSITIVOS PARA LOS PROCEDIMIENTOS  DEL SERVICIO DE NEUROLOGIA (LABORATORIOS DE  NEUROFISIOLOGIA  Y ELECTROENCEFALOGRAMAS) DEL HOSPITAL MILITAR CENTRAL</t>
  </si>
  <si>
    <t>GABRIEL CENTENARO MESA</t>
  </si>
  <si>
    <t>JUAN CARLOS BERNAL</t>
  </si>
  <si>
    <t>830,005,860-1</t>
  </si>
  <si>
    <t>CARRERA 19 C # 86-14 OFICINA 602</t>
  </si>
  <si>
    <t>6184188</t>
  </si>
  <si>
    <t>VENTAS@AYB MEDICA.COM</t>
  </si>
  <si>
    <t>305-2018</t>
  </si>
  <si>
    <t>ADMINISTRACION NACIONAL DE SERVICIOS S.A.S</t>
  </si>
  <si>
    <t>MIRIAM LUCIA AVILA GUZMAN</t>
  </si>
  <si>
    <t>JULIAN CAMILO MONTEALEGRE</t>
  </si>
  <si>
    <t>900,555,995-1</t>
  </si>
  <si>
    <t>CARRERA 9 # 16-79 OFICINA 402</t>
  </si>
  <si>
    <t>3043838180</t>
  </si>
  <si>
    <t>anscontractual@gmail.com</t>
  </si>
  <si>
    <t>CAROLINA SANCHEZ</t>
  </si>
  <si>
    <t>LA PRESTACION DE LOS SERVICIOS PROFESIONALES  Y DE APOYO A LA GESTION PARA EL SERVICIO DE NEUROCIENCIAS DEL HOSPITAL MILITAR CENTRAL, CON EL FIN DE DAR ATENCION A LAS NECESIDADES DE CONSULTA EXTERNA Y ATENCION PRIORITARIA QUE SE PRESENTE EN EL SERVICIO DE URGENCIAS DEL HOSPITAL MILITAR CENTRAL Y A SU VEZ DE PACIENTES HOSPITALIZADOS, SITUACIONES ENMARCADAS DENTRO DE LOS PRECEPTOS DE CALIDAD ASISTENCIAL, ETICA, DOCENCIA E INVSTIGACION Y GESTION ADMINISTRATIVA EN LAS INSTALACIONES DEL HOSPITAL MILITAR CENTRAL</t>
  </si>
  <si>
    <t>3214642455</t>
  </si>
  <si>
    <t>3212074454</t>
  </si>
  <si>
    <t>3003678844</t>
  </si>
  <si>
    <t>3142432808</t>
  </si>
  <si>
    <t>3229444998</t>
  </si>
  <si>
    <t>3188422547</t>
  </si>
  <si>
    <t>3004009851</t>
  </si>
  <si>
    <t>3174909304</t>
  </si>
  <si>
    <t>3143002535</t>
  </si>
  <si>
    <t>3123220169</t>
  </si>
  <si>
    <t>2116654</t>
  </si>
  <si>
    <t>3142354905</t>
  </si>
  <si>
    <t>SUMINISTRO DE INSUMOS MEDICO QUIRURGICOS PARA EL SERVICIO DE CIRUGIA CARDIOVASCULAR Y TORAX, SERVICIO QUE HACE PARTE DE LA UNIDAD CLINICO QUIRURGICA DEL HOSPITAL MILITAR CENTRAL</t>
  </si>
  <si>
    <t>ADQUISICION, PREINSTALACION, INSTALACION  Y PUESTA EN FUNCIONAMIENTO DE LOS EQUIPOS BIOMEDICOS CON DESTINO A LOS DIFERENTES SERVICIOS DEL HOSPITAL MILITAR CENTRAL</t>
  </si>
  <si>
    <t>ADQUSICION DE INSTRUMENTAL QUIRURGICO PARA LA UNIDAD CLINICO QUIRURGICA DEL HOSPITAL MILITAR CENTRAL</t>
  </si>
  <si>
    <t>ADQUISICION DE INSTRUMENTAL QUIRURGICO PARA LA UNIDAD CLINICO QUIRURGICA DEL HOSPITAL MILITAR CENTRAL</t>
  </si>
  <si>
    <t>ADQUISIcION DE INTRUMENTAL QUIRURGICO PARA LA UNIDAD CLINICO QUIRURGICA DEL HOSPITAL MILITAR CENTRAL</t>
  </si>
  <si>
    <t>PRESTACION DE SERVICIOS PROFESIONALES Y APOYO A LA GESTION DE UN MEDICO OTORRINOLARINGOLOGO PARA CUBRIR LAS NECESIDADE ASISTENCIALES PARA EL SERVICIO DE OTORRINOLARINGOLOGIA DEL HOSPITAL MILITAR CENTRAL</t>
  </si>
  <si>
    <t>286-2018</t>
  </si>
  <si>
    <t xml:space="preserve">ORTOPEDICOS FUTURO DE COLOMBIA </t>
  </si>
  <si>
    <t xml:space="preserve">SUMINISTTRO DE INSUMOS PARA EL SERVICIO DE MEDICINA FISICA Y REHABILITACION PARA EL HOSPITAL MILITAR </t>
  </si>
  <si>
    <t xml:space="preserve">  J TECHMED S.A.S</t>
  </si>
  <si>
    <t>ADQUISICION E INSTALACION DE PUESTOS DE TRABAJO EN AREAS AISTENCIALES Y ADMINISTRATIVAS DEL HOSPITAL MILITAR CENTRAL</t>
  </si>
  <si>
    <t>ADQUISCION ADECUACION Y PUESTA EN FUNCIONAMIENTO DE DOS AUTOCLAVES A VAPOR PARA LOS SERVICIOS DE LACTARIO Y LABORATORIO CLINICO DE HOSPITAL MILITAR CENTRAL</t>
  </si>
  <si>
    <t>1365-GE-2018</t>
  </si>
  <si>
    <t>MANTENIMIENTO PREVENTIVO Y CORRECTIVO QUE SEAN NECESARIOS INCLUYENDO REPUESTOS ORIGINALES Y NUEVOS NO REMANOFACTURADOS PARA LOS EQUIPOS DE MARCA GENRAL ELECTRIC (ECOCARDIOGRAFOS Y DENSITROMETROS ) DE LOS SERVICIOS DE CARDIOLOGÍA CLINICA UROLOGIA Y DENSITOMETRIA DEL HOSPITAL MILITAR</t>
  </si>
  <si>
    <t>GE HEALTHCARE</t>
  </si>
  <si>
    <t>CARLOS CASTRO</t>
  </si>
  <si>
    <t>CARRERA 72nO.80-94</t>
  </si>
  <si>
    <t>900,757,947-3</t>
  </si>
  <si>
    <t>SUMINISTRO DE MEDICAMENTOS DE ALTO COSTO "NIVOLUMAB VIAL" PARA PACIENTE DEL SUBSISTEMA DE SALUD DE LAS FUERZAS MILITARES DEL HOSPITAL MILITAR CENTRAL</t>
  </si>
  <si>
    <t>SUMINISTRO DE ELEMENTOS, INSUMOS Y DISPOSITIVOS MEDICOS (LENTE FAQUICO DE IMPLANTE RETRO-IRIDISNO-PRELENTICULAR TORICO Y LENTE FAQUICO DE IMPLANTE RETRO-IRIDIANO PRELENTICULAR ESFERICO) PARA LOS PROCEDIMIENTOS QUIRURGIVOS DEL SERVICIO DE OFTALMOLOGIA DEL HOSPITAL MILITAR CENTRAL</t>
  </si>
  <si>
    <t xml:space="preserve">SERVICIO DE CAFETERIA POR SUMINISTRO PARA EL HOSPITAL MILITAR CENTRAL </t>
  </si>
  <si>
    <t>PRESTACION DE SERVICIO DE LECTURA DE DOSIMETRIAS PERSONAL PARA EL SEGUIMIENTO DE LAS DOSIS RECIBIDAS POR LOS TRABAJADORES OCUPACIONALES EXPUESTOS A RADIACIONES</t>
  </si>
  <si>
    <t>ADQUISICION, PREINSTALACION, INTALACION Y PUESTA EN FUNCIONAMIENTO  DE LOS EQUIPOS BIOMEDICOS (LASER Y AG SLT 7 YAG/IRIDOTOMIA) CON DESTINO AL SERVICIO DE OFTALMOLOGIA DEL HOSPITAL MILITAR CENTRAL</t>
  </si>
  <si>
    <t>PRESTACION DE SERVICIOS PROFESIONALES, INCLUIDO SUMINISTRO DE INSUMOS PARA PROCEDIMIENTOS EN EL SERVICIO DE ELECTROFISIOLOGIA DEL HOSPITAL MILITAR CENTRAL</t>
  </si>
  <si>
    <t>SUMINISTRO DE CONECTORES CHEMETRON PARA OXIGENO Y CONECTORES PARA AIRE PARA EL HOSPITAL MILITAR CENTRAL</t>
  </si>
  <si>
    <t>SUMINISTRO DE MATERIAL DE CURACION (BARRERAS DE OSTOMIA 57 A 60 MM) DESTINADOS A LA ATENCION DE PACIENTES DEL HOSPITAL MILITAR CENTRAL</t>
  </si>
  <si>
    <t>SUMINISTRO DE INSUMOS Y REACTIVOS PARA REALIZAR TECNICAS DE INMUNOHISTOQUIMICA DEL HOSPITAL MILITAR CENTRAL</t>
  </si>
  <si>
    <t>MANTENIMIENTO PREVENTIVO Y CORRECTIVO INCLUIDO REPUESTOS NUEVOS NO REMANUFACTURADOS AL CIRCUITO CERRADO DE TELEVISION DEL HOSPITAL MILITAR CENTRAL</t>
  </si>
  <si>
    <t>MANTENIMIENTO PREVENTIVO Y CORRECTICO INCLUIDO RESPUESTOS PARA EQUIPOS BIOMEDICOS MARCA CARLS ZEIS  (MICROSCOPIOS, TOMOGRAFO ) Y OTROS</t>
  </si>
  <si>
    <t>ADQUISICION DE COLCHONES ANTIESCARAS PARA LA UNIDAD DE CUIDADO INTENSIVOS DEL HOSPITAL MILITAR CENTRAL</t>
  </si>
  <si>
    <t>DISEÑO Y ADECUACION DE LOS AMBIENTES Y ESPACIOS FUNCIONALES QUE CONFORMAN EL AREA DE PRODUCCION DE ALIMENTOS  DEL HOSPITAL MILITAR CENTRAL INCLUIDA LA DOTACION DE EQUIPOS Y TODAS LAS GESTIONES NECESARIAS PARA QUE CUMPLA CON REQUISITOS FITOSANITARIOS Y DEMAS NORMATIVIDAD VIGENTE</t>
  </si>
  <si>
    <t>CONTRATAR LA PRESTACION DE SERVICIO DE SALUD PARA LA REHABILITACION EN FARMACODEPENDECIA PARA PACIENTES DEL SUBSISTEMADE SALUD DE LAS FUERZAS MILITARES</t>
  </si>
  <si>
    <t>BIOTRONTECH COLOMBIA S.A.</t>
  </si>
  <si>
    <t>COLCAN S.A.S.</t>
  </si>
  <si>
    <t>PROTESIS OCULAR</t>
  </si>
  <si>
    <t>EQUITRONIC S.A.</t>
  </si>
  <si>
    <t>FUNDACION DEPORTIVA ADAI</t>
  </si>
  <si>
    <t>TECNOLOGIA EN HADWARE Y SOFTWARE PCTECHSOFT S.A.S</t>
  </si>
  <si>
    <t>1242-2018</t>
  </si>
  <si>
    <t>ANDRES FELIPE SANCHEZ ALFONSO</t>
  </si>
  <si>
    <t>1303-2018</t>
  </si>
  <si>
    <t>ARRENDAMIENTO DE LAS AREAS FISICAS ASIGNADAS AL ALIADO ESTRATEGICO UT ALIMENTOS Y SERVICIOS PARA EFECTUAR LAS ACTIVIDADES RELACIONADAS CON EL SUMINISTRO DE ALIMENTACIONA APACIENTES HOSPITALIZADOS Y MEDICOS RESIDENTES E INTERNOS DEL HOSPITAL MILITAR CENTRAL ´PARA LOS USUARIOS DEL HOSPITAL MILITAR CENTRAL</t>
  </si>
  <si>
    <t>CHAVELY RODRIGUEZ</t>
  </si>
  <si>
    <t>PRESTACION DE SERVICIOS DE UN MEDICO GENERAL DEL SERVICIO DE URGENCIAS</t>
  </si>
  <si>
    <t>MATHIEU PIEROTTY CARVAJAL</t>
  </si>
  <si>
    <t>PRESTACION DE SERVICIOS PROFESIONALES DE UN MEDICO ESPECIALISTA EN RADIOLOGIA CON ENTRENAMIENTO EN INTERVENCIONISMO GENERAL Y VASCULAR</t>
  </si>
  <si>
    <t>CIRUGESP LTDA</t>
  </si>
  <si>
    <t>1426-2018</t>
  </si>
  <si>
    <t xml:space="preserve">ARRENDAMIENTO  DE AREAS FISICAS PARA LAS UNIDADES DE FARMACIA PARA </t>
  </si>
  <si>
    <t>ADQUISICION DE UN SISTEMA OPERATIVO INTERACTIVO DE SOLUCION VIDEO CONFERENCIA ONESCREEN H34"/58 PARA USO COMO HERRAMIENTA DE APOYO AL PROCESO ACADEMICO E INVESTIGATIVO DE LA SUBDIRECCION DE DOCECNIA DEL HOSPITAL MILITAR CENTRAL</t>
  </si>
  <si>
    <t>ADQUISICION E INSTALACION DE MUEBLES PARA ALMACENAMIENTO DE INSUMOS Y ROPA PARA EL SERVICIO DE MEDICINA NUCLEAR DEL HOSPITAL MILITA CENTRAL</t>
  </si>
  <si>
    <t>ADQUISICION DE UN SISTEMA COMPRESOR DINAMICO DE ESTERNON PARA CORRECCION DE PECTUS CARINATUM PARA PACIENTE BENEFICIARIO DEL HOSPITAL MILITAR CENTRAL</t>
  </si>
  <si>
    <t>ADQUISICION DE MONTACARGA ELECTRICO PASILLO PARA EL HOSPITAL MILITAR CENTRAL</t>
  </si>
  <si>
    <t>ADQUISICION, PREINSTALACION, INSTALACION DEL EQUIPO DE FACOEMULSIFICACION Y VITRECTOMIA ANTERIOR CON SISTEMA DE ENERGIA BALANCEADA Y FACO TORSIONAL PARA EL SERVICIO DE OFTALMOLOGIA DEL HOSPITAL MILITAR CENTRAL</t>
  </si>
  <si>
    <t>ADQUISICION DE BALONES HIDROSTATICOS BAKRI PARA EL SERVICIO DE GINECOLOGIA DEL HOSPITAL MILITAR CENTRAL</t>
  </si>
  <si>
    <t>ADQUISICION DE SENSORES DE PULSIOXIMETRIA PARA MONITORES DE SIGNOS VITALES PARA LA UNIDAD DE CUIDADO INTENSIVO DEL HOSPITAL MILITAR CENTRAL</t>
  </si>
  <si>
    <t>ADQUISICION DE INSTRUMENTAL QUIRURGICO (PUNTO ANGULO 45 GRADOS) PARA EL HOSPITAL MILITAR CENTRAL</t>
  </si>
  <si>
    <t>ADQUISICION E INSTALACION DE CAMBIADORES DE BEBE PARA EL HOSPITAL MILITAR CENTRAL</t>
  </si>
  <si>
    <t>ADQUISICION DE CANDADOS PARA CARRO DE PARO DEL HOSPITAL MILITAR CENTRAL</t>
  </si>
  <si>
    <t>ADQUISICION DE INSTRUMENTAL QUIRURGICO PARA LA UNIDAD CLINICO QUIRURGIC DEL HOSPITAL MILITAR CENTRAL</t>
  </si>
  <si>
    <t>ADQUISICION DE INTRUMENTAL QUIRURGICO PARA LA UNIDAD CLINICO QUIRURGICA DEL HOSPITAL MILITAR CENTRAL</t>
  </si>
  <si>
    <t>ADQUISICION E INSTALACION DE CARROS DE TRANSPORTE  DE UNIDADDES DE SANGRE,  PARA EL BANCO DE SANGRE DEL HOSPITAL MILITAR CENTRAL</t>
  </si>
  <si>
    <t>ADQUISICION DE NUEVAS LICENCIAS, RENOVACION, INSTALACION Y CONFIGURACION DE UNA HERRAMIENTA  DE SEGURIDAD INFORMATICA DEDICADA A LOS EQUIPOS DE USUARIO FINAL DE LA RED DEL HOSPITAL MILITAR CENTRAL</t>
  </si>
  <si>
    <t>ADQUISICION , PREINSTALACION, INSTALACION Y PUESTA EN FUNCIONAMIENTO DE LOS EQUIPOS BIOMEDICOS (CAMARA DE FOTOTERAPIA COMBIANDA) CON DESTINO AL SERVICIO DE DERMATOLOGIA DEL HOSPITAL MILITAR CENTRAL</t>
  </si>
  <si>
    <t xml:space="preserve">ADQUISICION DE ELEMENTOS NECESARIOS PARA ENFERMERIA CONSULTA EXTERNA Y URGENCIAS (MESA DE LIMPIEZA CON DOS CUERPOS, CARROS PARA SUMINISTRO DE MEDICAMENTOS Y ATRIL CON RODACHINES </t>
  </si>
  <si>
    <t>ADQUISICION DE UN NEUROMODULADOR SACRAL UNILATERAL PARPACIENTES QUE HACEN PARTE DEL SUBSISTEMA DE SALUD</t>
  </si>
  <si>
    <t>ADQUISICION DE INSUMOS DEL SERVICIO DE MEDICINA FISICA Y REHABILITACION PARA LAS AREAS DE TERAPIA OCUPACIONAL, FISICA, FONOAUDIOLOGIA Y REHABILITACION CARDIACA</t>
  </si>
  <si>
    <t>ADQUISICION DE ELEMENTOS PARA EL SERVICIO DE RADIOLOGIA DEL HOSPITAL MILITAR CENTRAL</t>
  </si>
  <si>
    <t>ADQUISISION DE ELEMENTOS PARA LA REDUCCION, RESPUESTA Y RECUPERACION DE EMERGENCIAS, CALAMIDAD PUBLICA Y DESASTRES DENTRO Y FUERA DE LAS INSTALACIONES DEL HOSPITAL MILITAR CENTRAL</t>
  </si>
  <si>
    <t>CLINICA INMACULADA</t>
  </si>
  <si>
    <t>PEDRO HERRERA ABOGADOS S.A.S</t>
  </si>
  <si>
    <t>PRESTACION DE SERVICIOS PRFESIONALES DE MEDICOS ESPECIALISTAS EN MEDICINA DE URGENCIAS Y EMERGENCIAS PARA EL AREA DE URGENCIAS DEL HOSPITAL MILITAR CENTRAL</t>
  </si>
  <si>
    <t>900789891</t>
  </si>
  <si>
    <t>CARRERA 9 A No 17-55 SUR PISO 2</t>
  </si>
  <si>
    <t>COR-MED@HOTMAIL.com</t>
  </si>
  <si>
    <t>MARIA CLAUDIA ARIZA</t>
  </si>
  <si>
    <t>MARIA CONSUELO ROMERO       MARTHA MEDINA CADENA                   LUZ ANGELA PESCADOR</t>
  </si>
  <si>
    <t>MARIA CONSUELO ROMERO</t>
  </si>
  <si>
    <t>MANTENIMIENTO PREVENTIVO Y CORRECTIVO QUE SEAN NECESARIOS INCLUIDOS REPUESTOS SERVICIO DE OFTALMOLOGIA DEL HOSPITAL MILITAR CENTRAL</t>
  </si>
  <si>
    <t>SUMINISTRO DE ELEMENTOS DE CURACION DESTINADOS A LA ATENCION DE LOS PACIENTES DEL HOSPITAL MILITRA CENTRAL</t>
  </si>
  <si>
    <t xml:space="preserve"> CAROLINA GUARIN</t>
  </si>
  <si>
    <t>JEANETH TOQUICA -  IVONNE  LOPEZ</t>
  </si>
  <si>
    <r>
      <rPr>
        <sz val="10"/>
        <color rgb="FFFF0000"/>
        <rFont val="Calibri"/>
        <family val="2"/>
        <scheme val="minor"/>
      </rPr>
      <t xml:space="preserve">   </t>
    </r>
    <r>
      <rPr>
        <sz val="10"/>
        <color theme="1"/>
        <rFont val="Calibri"/>
        <family val="2"/>
        <scheme val="minor"/>
      </rPr>
      <t>JEFE MIRYAM LUCIA</t>
    </r>
    <r>
      <rPr>
        <sz val="10"/>
        <color rgb="FFFF0000"/>
        <rFont val="Calibri"/>
        <family val="2"/>
        <scheme val="minor"/>
      </rPr>
      <t xml:space="preserve"> </t>
    </r>
  </si>
  <si>
    <t>GABRIEL HERNANDEZ KUNZEL</t>
  </si>
  <si>
    <r>
      <rPr>
        <sz val="10"/>
        <color rgb="FFFF0000"/>
        <rFont val="Calibri"/>
        <family val="2"/>
        <scheme val="minor"/>
      </rPr>
      <t xml:space="preserve">                  </t>
    </r>
    <r>
      <rPr>
        <sz val="10"/>
        <rFont val="Calibri"/>
        <family val="2"/>
        <scheme val="minor"/>
      </rPr>
      <t>GUILLERMO CHACON</t>
    </r>
  </si>
  <si>
    <t>CP. LUIS QUIROGA</t>
  </si>
  <si>
    <t>LUIS CARLOS RINCON LARROTA</t>
  </si>
  <si>
    <t>CARRANZA MEDICAL S.A.S - ALEMKO S.A.S</t>
  </si>
  <si>
    <t>PRESTACION DE SERVICIOS Y DE APOYO A LA GESTION ESPECIALIZADOS EN EL SERVICIO DE ORTOPEDIA Y TRAUMATOLOGIA EN URGENCIAS DEL HOSPITAL MILITAR CENTRAL</t>
  </si>
  <si>
    <t>ALVARO TAFUR ANZOLA  JESUS ALBERTO ORTIZ CLAROS</t>
  </si>
  <si>
    <t>LILIANA GOMEZ SANTOFIMIO ANTONIO MELO  DANILO BENTIA CESAR AUGUSTO CASTILLO</t>
  </si>
  <si>
    <t>LAURA GUAVITA                               ELIZABETH BENITEZ</t>
  </si>
  <si>
    <t>MIGUEL ANGEL GUTIERREZ</t>
  </si>
  <si>
    <t>JORGE HERNANDO ROJAS GONZALEZ</t>
  </si>
  <si>
    <t>GERMAN GODOY GODOY</t>
  </si>
  <si>
    <t>LA INSTRUMENTADORA S.A.S</t>
  </si>
  <si>
    <t>PRESTACION DE SERVICIOS PROFESIONALES DE UN MEDICO ESPECIALISTA EN PATOLOGIA CON SUBESPECIALIDAD EN DERMAPATOLOGIA PARA EL SERVICIO DE PATOLOGIA  DRA. VARGAS MANRIQUE</t>
  </si>
  <si>
    <t>SUMINISTRO DE CINTAS RIBBON YMCKY-KT BIODEGRADABLE PARA LAS IMPRESORAS DATA-CARD CP60 Y CD800 INCLUYENDO TARJETAS PVC PREMIER DE LA OFICINA DE SEGURIDAD</t>
  </si>
  <si>
    <t>COMERCIAL RINO LTDA</t>
  </si>
  <si>
    <t xml:space="preserve"> ANGEL DONATO RONDON</t>
  </si>
  <si>
    <t xml:space="preserve"> JUAN MANUEL BELLO</t>
  </si>
  <si>
    <t xml:space="preserve"> JEANETH TOQUICA</t>
  </si>
  <si>
    <t>ALEJANDRA CORTES</t>
  </si>
  <si>
    <t xml:space="preserve">RENOVACION LICENCIAMIENTO AUTODESK  AUTOCAD 2013 MULTI-LANG 11 </t>
  </si>
  <si>
    <t xml:space="preserve"> GIOVANNY ALCALA</t>
  </si>
  <si>
    <t>MAPRESTACION DE SERVICIOS DE EXAMENES  DE MICROSCOPIA ELECTRONICA EN BIOPSIAS EXAMENES EXTRAHOSPITALARIOS</t>
  </si>
  <si>
    <t xml:space="preserve">SUMINISTRO, INSUMOS Y MATERIA PRIMA DE IMPRETA PARA LA ELABORACION DE PAPELERIA REQUERIDA EN EL HOSPITAL MILITAR CENTRAL </t>
  </si>
  <si>
    <t xml:space="preserve">ADQUISICION, DISTRIBUCION INSTALACION, CERTIFICACION Y RECERTIFICACION DE  LOS PUNTOS DE ANCLAJE PARA LAS EDIFICACIONES DEL HOSPITAL MILITAR CENTRAL </t>
  </si>
  <si>
    <t>SUMINISTRO DE CONTENEDORES HERMETICOS, RIGIDOS Y DESECHABLES CON SOPORTE DE PARED Y MESA , PARA EL DESCARTE DE RECOLECCION DE MATERIAL PELIGROSO CORTOPUNZANTE</t>
  </si>
  <si>
    <t>IVONNE ARIZA</t>
  </si>
  <si>
    <t>PRESTACION DE SERVICIO PROFESIONAL EN TERAPIAS INTEGRADAS E INTERDISCIPLINARIAS MENSUALES PARA TRATAMIENTO DE DISCAPACIDAD MOTORA, COGNITIVA Y SENSORIAL PARA UN PACIENTE DEL HOSPITAL MILITAR CENTRAL</t>
  </si>
  <si>
    <t>ARRENDAMIENTO DE UN EQUIPO DE RADIOLOGIA CONVENCIONAL  QUE INCLUYA ADECUACION, MANTENIMIENTO PREVENTIVO CORRECTIVO Y SOPORTE TECNICO</t>
  </si>
  <si>
    <t>GESCOM LTDA</t>
  </si>
  <si>
    <t>SUMINISTRO DE ELEMENTOS DE ELEMENTOS DE  NEUMOLOGIA DESTINADOS A LA ATENCIÓN DE PACIENTES DEL HOSPITAL MILITAR CENTRAL</t>
  </si>
  <si>
    <t xml:space="preserve">SUMINISTRO DE INSUMOS PARA LOS PROCEDIMIENTOS DE RADIOLOGÍA INTERVENCIONISTA DEL SERVICIO DE IMÁGENES DIAGNOSTICAS DEL HOSPITAL MILITAR CENTRAL </t>
  </si>
  <si>
    <t>WORLD MEDICAL SAS</t>
  </si>
  <si>
    <t>SUMINISTRO DE INSUMO PARA LA EVALUACION Y DIAGNOSTICOS OFTALMOLOGICOS DE PACIENTES DEL AREA DE CONSULTA EXTERNA  DEL HOSPITAL MILITAR CENTRAL</t>
  </si>
  <si>
    <t>ALL TECHNOLOGICAL SERVICES ATS SAS</t>
  </si>
  <si>
    <t>SUMINISTRO DE REPUESTOS E INSUMOS  ORIGINALES PARA EL MANTENIMIENTO CORRECTIVO Y PREVENTIVO NECESARIO PARA GARANTIZAR EL CORRECTO FUNCIONAMIENTO DE LOS QUIPOS DE LAVANDERIA</t>
  </si>
  <si>
    <t>PRESTACION DE SERVICIO DE UN MEDICO RADIOLOGO QUE REALICE ECOGRAFIAS, BIOPSIA DE SENO, DOOPLER, BACAF DE SENO, BACAF DE TIROIDES, MARCACION CON ARPON, GALACTOGRAFIA, BIOPSIA PERCUTANEA Y OTROS ESTUDIOS RADIOLOGICOS QUE SE REQUIERAN POR NECESIDAD DEL SERVICIO EN EL HOSPITAL MILITAR CENTRAL</t>
  </si>
  <si>
    <t>TOYOCARS INGENIERIA AUTOMOTIRZ LTDA</t>
  </si>
  <si>
    <t xml:space="preserve">MANTENIMIENTO PREVENTIVO Y CORRECTIVO SUMINISTRO REPUESTOS ORIGINALES, NUEVOS  PARA EQUIPO DE TRANSPORTE DEL HOSPITAL MIITAR CENTRAL </t>
  </si>
  <si>
    <t>KAESER COMPRESORES DE COLOMBIA LTDA</t>
  </si>
  <si>
    <t>MANTENIMIENTO PREVENTIVO Y CORRECTIVO GENERAL CON SUMINISTRO DE REPUESTOS AL SISTEMA DE VACIO MARCA KAESER DEL HOSPITAL MILITAR CENTRAL Y DEMAS REPARACIONES QUE SE PRECENTEN Y SEAN NECESARIAS PARA LA OPTIMA PRESTACION DE LOS SERVICIOS DE LA ENTIDAD HOSPITALARIA</t>
  </si>
  <si>
    <t>MANTENIMIENTO PREVENTIVO Y LOS CORRECTIVO QUE SEAN NECESARIOS INCLUIDO REPUESTOS ORIGINALES NUEVOS NO REMANUFACTURADOS  PARA LOS EQUIPOS MARCA MEDRAD (MONITOR DE SIGNOS VITALES PARA RESONANCIA MAGNETICA) DEL SERVICIO DE IMÁGENES DIAGNOSTICAS DEL  HOSPITAL MILITAR CENTRAL</t>
  </si>
  <si>
    <t xml:space="preserve">MANTENIMIENTO PREVENTIVO Y CORRECTIVOS QUE SEAN NECESARIOS INCLUIDO REPUESTOS RIGINALES NUENOS NO REMANUFACTURADOS  PARA LAS CABINAS DE FLUJO LAMINAR MARCA NUAIRE Y C 4 RESPECTIVAMENTE </t>
  </si>
  <si>
    <t>REALIZACION DE SESIONES DE FOTOTERAPIA UVA - 1, PARA LOS PACIENTES REMITIDOS DEL SERVICIO DE DERMATOLOGIA DEL HOSPITAL MILITAR CENTRAL (EXAMENES EXTRA HOSPITALARIOS)</t>
  </si>
  <si>
    <t xml:space="preserve">ADQUSICION DE UN EQUIPO DETECTOR DE RADIACION Y UN EQUIPO MONITOR DE SUPERFICIE PARA EL SERVICIO DE MEDICINA NUCLEAR DEL HOSPITAL MILITAR CENTRAL </t>
  </si>
  <si>
    <t xml:space="preserve">SUMINISTRO DE ELEMENTOS, INSUMOS Y DISPOSITIVOS MEDICOS PARA LOS PROCEDIMIENTOS QURIRUGICOS DEL SERVICIO DE OFTALMOLOGIA DEL HOSPITAL MILITAR CENTRAL </t>
  </si>
  <si>
    <t>SUMINISTRO DE ELEMENTOS INSUMOS Y DISPOSITIVOS MEDICOS PARA LOS PROCEDIMIENTOS QUIRUGICOS DEL SERVICIO DE OFTALMOLOGIA</t>
  </si>
  <si>
    <t>GASTROMEDICS SAS</t>
  </si>
  <si>
    <t>PRESTACION DE SERVICIO DE SALUD PARA REALIZACION DE EXAMENES DE ULTRASONOGRAFIA ENDOSCOPICA DIGESTIVA PARA LOS BENEFISIARIOS DEL SUBSISTEMA DE SALUD DE LAS FUERZAS MILITARES</t>
  </si>
  <si>
    <t>BIOQUIMICOS COLOMBIANOS LTDA</t>
  </si>
  <si>
    <t>MILENIUM MEDICAL SAS</t>
  </si>
  <si>
    <t xml:space="preserve">MANTENIMIENTO PREVENTIVO Y LOS CORRECTIVOS QUE SEAN NECESARIOS INCLUIDOS REPUESTOS ORIGINALES NUEVOS NO REMANUFACTURADOS  PARA EL EQUIPO TROMBOELASTOGRAFO TEG 5000 DEL SERVICO DE SALS DE CIRUGIA DEL HOSPITAL MILITAR CENTRAL </t>
  </si>
  <si>
    <t>ADQUSICION E INSTALACION DE REPUESTOS PARA LA PUESTA EN FUNCIONAMIENTO DEL EQUIPOS SISTEMA DE HIPOTERMIA CORPORAL MARCA MTRE DEL SERVICO DE UCI NEONATAL DEL HOSPITAL MILITAR CENTRAL</t>
  </si>
  <si>
    <t xml:space="preserve">MANTENIMIENTO PREVENTIVO Y LOS CORRECTIVOS QUE SEAN NECESARIOS INCLUIDO REPUESTOS ORIGINALES NUEVOS NO REMANAFACTURADOS   PARA LOS EQUIPOS MARCA THERMO FISHER SCIENTIFIC (PROCESADOR AUTOMATICO DE TEJIDOS, ESTACION DE MACROSCOPIA, CITOCENTRIFUGA, CRIOSTATO ELECTRONICO Y REFRIGERADOR PARA CADAVERES) DEL SERVICIO DE PATOLOGIA DEL HOSPITAL MILITAR CENTRAL </t>
  </si>
  <si>
    <t>MANTENIMIENTO PREVENTIVO Y CORRECTIVO DEL SISTEMA DE CORREO NEUMATICO MARCA SWISSLOG MODELO 2.TRANSPONET TIPO: 2 VIAS CON INCLUCION DE REPUESTOS NUEVOS NO REMANUFACTURADOS PARA OPTIMA PRESTACION DE LOS SERVICIOS DEL HOSPITAL MILITAR CENTRAL.</t>
  </si>
  <si>
    <t>SUMINISTRO DE FORMULAS LACTEAS INFANTILES, COMPLEMENTOS Y SUPLEMENTOS NUTRICIONALES, BIBERONES Y MEZCLAS ENTERALES VIA SONDA PARA LOS PACIENTES HOSPITALIZADOS EN EL HOSPITAL MILITAR CENTRAL</t>
  </si>
  <si>
    <t>373-2018</t>
  </si>
  <si>
    <t>E-DA NETWORKS S.A</t>
  </si>
  <si>
    <t xml:space="preserve">PRESTACION DE SERVICIOS PARA LA RENOVACION DEL SOPORTE Y MANTENIMIENTO DEL SOFWARE DE MONITOREO DEL HOSPITAL MILITAR CENTRAL </t>
  </si>
  <si>
    <t>PEDRO ANDRES ECHEVERRI GOMEZ</t>
  </si>
  <si>
    <t>900,265,026-3</t>
  </si>
  <si>
    <t>CRA 7 No 156 - 10 ofi 1906</t>
  </si>
  <si>
    <t>5188433</t>
  </si>
  <si>
    <t>WWW.E-DEANETWOR.COM</t>
  </si>
  <si>
    <t xml:space="preserve">UNION TEMPORAL CAFÉ K-BITO </t>
  </si>
  <si>
    <t>JOSE EDUARDO GUZMAN</t>
  </si>
  <si>
    <t>LUIS JORGE MORALES</t>
  </si>
  <si>
    <t>JOHN EDWIN VEGA</t>
  </si>
  <si>
    <t>325.000.000               19.426.623</t>
  </si>
  <si>
    <t>CONTROL SISTEMAS COMUNICACIONES</t>
  </si>
  <si>
    <t>VALOR INICIAL DEL CONTRATO</t>
  </si>
  <si>
    <t>$ 46188980             $  23508807
$ 70,526,421</t>
  </si>
  <si>
    <t xml:space="preserve">REMI IPS S.A.S CEDIO A FUNDAR </t>
  </si>
  <si>
    <t>LILIANA GOMEZ SANTOFIMIO - ANTONIO MELO SANTANDER  ANDRES COLLAZOS</t>
  </si>
  <si>
    <t>ANDRES COLLAZOS</t>
  </si>
  <si>
    <t>1313-2018</t>
  </si>
  <si>
    <t>1333-2018</t>
  </si>
  <si>
    <t>SUMINISTRO DE MEDICAMENTOS DE ALTO COSTO "SOUCION PARA PRESERVAR ORGANOS DE TRANSPLANTE  PARA PACIENTES DEL SUBSISTEMA DE SALUD DE LAS FUERZAS MILITARES"</t>
  </si>
  <si>
    <t>SANDRA CELIS - MARIO MENA BEJARANO - LIESEL RAMIREZ</t>
  </si>
  <si>
    <t>JUAN CARLOS LUQUE - SERGIO CASTELLANOS - RICARDO SILVA - WILLIAM ARBELAEZ - MAURICIO SABOGAL</t>
  </si>
  <si>
    <t>JORGE ENRIQUE ECHEVERRY GUZMAN</t>
  </si>
  <si>
    <t xml:space="preserve">MANTENIMIENTO PREVENTIVO Y CORRECTIVO DE LOS SISTEMAS INTERRUMPIBLES DE POTENCIA UPS INCLUYENDO REPUESTOS NUEVOS NO REMANUFACTURADOS QUE CONFORMAN LA RED REGULADA DEL HOSPITAL MILITAR CENTRAL </t>
  </si>
  <si>
    <t>Loui Rafael Berrio Silgado</t>
  </si>
  <si>
    <t>JUAN CARLOS LUQUE</t>
  </si>
  <si>
    <t>VALOR REDUCCION</t>
  </si>
  <si>
    <t>VALOR ADICION</t>
  </si>
  <si>
    <t xml:space="preserve">GIOVANNY ANDRES PORRAS - ADRIANA MARIÑO - LIESEL RAMIREZ </t>
  </si>
  <si>
    <t>MAURICIO GARZON - EDGAR JIMENEZ</t>
  </si>
  <si>
    <t>RAMON BUENO</t>
  </si>
  <si>
    <t>CORONEL LUIS FERNANDO NUÑEZ</t>
  </si>
  <si>
    <t>CORONEL JUAN CARLOS LUQUE</t>
  </si>
  <si>
    <t xml:space="preserve">DRA CAROLINA BLANCO </t>
  </si>
  <si>
    <t>DRA CAROLINA GARCIA TORRES</t>
  </si>
  <si>
    <t>DR MIGUEL FERNANDO PRADA TOVAR</t>
  </si>
  <si>
    <t>DR MAURICIO PEREZ</t>
  </si>
  <si>
    <t>ANDRES JIMENEZ MONTEALEGRE</t>
  </si>
  <si>
    <t>CONRADO ANDRES JIMENEZ MONTEALEGRE</t>
  </si>
  <si>
    <t>LUIS FERNANDO NUÑEZ</t>
  </si>
  <si>
    <t>DOCTOR EDUARDO MEDINA</t>
  </si>
  <si>
    <t>KEVIN ADOLFO GUZMAN</t>
  </si>
  <si>
    <t>DR MIGUEL ANGEL LUENGAS</t>
  </si>
  <si>
    <t>CT KATHERINE CASTRO</t>
  </si>
  <si>
    <t>LUSI CARLOS RINCON LARROTA</t>
  </si>
  <si>
    <t>KAROLINA BLANCO</t>
  </si>
  <si>
    <t>CAROLINA SILVA</t>
  </si>
  <si>
    <t>VALOR TOTAL</t>
  </si>
  <si>
    <t>CONTRATACION DE SERVICIOS PROFESIONALES DE RADIOLOGIA URGENCIAS PARA EL SERVICIO DE IMÁGENES DIAGNOSTICAS</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</si>
</sst>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_-&quot;$&quot;* #,##0_-;\-&quot;$&quot;* #,##0_-;_-&quot;$&quot;* &quot;-&quot;_-;_-@_-"/>
    <numFmt numFmtId="165" formatCode="_-&quot;$&quot;* #,##0.00_-;\-&quot;$&quot;* #,##0.00_-;_-&quot;$&quot;* &quot;-&quot;??_-;_-@_-"/>
    <numFmt numFmtId="166" formatCode="[$$-240A]\ #,##0"/>
    <numFmt numFmtId="167" formatCode="&quot;$&quot;\ #,##0"/>
    <numFmt numFmtId="168" formatCode="dd\-mm\-yy;@"/>
    <numFmt numFmtId="169" formatCode="dd/mm/yyyy;@"/>
    <numFmt numFmtId="170" formatCode="[$-C0A]d\-mmm\-yy;@"/>
  </numFmts>
  <fonts count="16"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sz val="10"/>
      <color indexed="8"/>
      <name val="Calibri"/>
      <family val="2"/>
      <scheme val="minor"/>
    </font>
    <font>
      <u/>
      <sz val="10"/>
      <color theme="10"/>
      <name val="Calibri"/>
      <family val="2"/>
      <scheme val="minor"/>
    </font>
    <font>
      <sz val="10"/>
      <color indexed="10"/>
      <name val="Calibri"/>
      <family val="2"/>
      <scheme val="minor"/>
    </font>
    <font>
      <sz val="10"/>
      <color rgb="FF000000"/>
      <name val="Calibri"/>
      <family val="2"/>
      <scheme val="minor"/>
    </font>
    <font>
      <b/>
      <sz val="10"/>
      <color rgb="FFFF0000"/>
      <name val="Calibri"/>
      <family val="2"/>
      <scheme val="minor"/>
    </font>
    <font>
      <sz val="10"/>
      <color rgb="FFFF0000"/>
      <name val="Calibri"/>
      <family val="2"/>
      <scheme val="minor"/>
    </font>
    <font>
      <u/>
      <sz val="10"/>
      <color theme="10"/>
      <name val="Calibri"/>
      <family val="2"/>
    </font>
    <font>
      <u/>
      <sz val="10"/>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16">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medium">
        <color indexed="64"/>
      </right>
      <top style="medium">
        <color indexed="64"/>
      </top>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108">
    <xf numFmtId="0" fontId="0" fillId="0" borderId="0" xfId="0"/>
    <xf numFmtId="0" fontId="6" fillId="0" borderId="0" xfId="0" applyFont="1"/>
    <xf numFmtId="49" fontId="5" fillId="2" borderId="11" xfId="0" applyNumberFormat="1" applyFont="1" applyFill="1" applyBorder="1" applyAlignment="1">
      <alignment horizontal="center" vertical="center" wrapText="1"/>
    </xf>
    <xf numFmtId="0" fontId="7" fillId="2" borderId="12" xfId="0" applyFont="1" applyFill="1" applyBorder="1" applyAlignment="1">
      <alignment vertical="center" wrapText="1"/>
    </xf>
    <xf numFmtId="0" fontId="6" fillId="2" borderId="12" xfId="0" applyFont="1" applyFill="1" applyBorder="1" applyAlignment="1">
      <alignment horizontal="justify" vertical="center" wrapText="1"/>
    </xf>
    <xf numFmtId="167" fontId="6" fillId="2" borderId="11" xfId="0" applyNumberFormat="1" applyFont="1" applyFill="1" applyBorder="1" applyAlignment="1">
      <alignment horizontal="center" vertical="center"/>
    </xf>
    <xf numFmtId="167" fontId="6" fillId="2" borderId="11" xfId="1" applyNumberFormat="1" applyFont="1" applyFill="1" applyBorder="1" applyAlignment="1">
      <alignment horizontal="center" vertical="center"/>
    </xf>
    <xf numFmtId="167" fontId="6" fillId="2" borderId="12" xfId="0" applyNumberFormat="1" applyFont="1" applyFill="1" applyBorder="1" applyAlignment="1">
      <alignment horizontal="center" vertical="center" wrapText="1"/>
    </xf>
    <xf numFmtId="167" fontId="6" fillId="2" borderId="11" xfId="0" applyNumberFormat="1" applyFont="1" applyFill="1" applyBorder="1" applyAlignment="1">
      <alignment horizontal="center" vertical="center" wrapText="1"/>
    </xf>
    <xf numFmtId="169" fontId="6" fillId="3" borderId="11" xfId="0" applyNumberFormat="1" applyFont="1" applyFill="1" applyBorder="1" applyAlignment="1">
      <alignment horizontal="center" vertical="center" wrapText="1"/>
    </xf>
    <xf numFmtId="14" fontId="6" fillId="3" borderId="11" xfId="0" applyNumberFormat="1" applyFont="1" applyFill="1" applyBorder="1" applyAlignment="1">
      <alignment horizontal="center" vertical="center" wrapText="1"/>
    </xf>
    <xf numFmtId="0" fontId="6" fillId="0" borderId="11" xfId="0" applyFont="1" applyBorder="1" applyAlignment="1">
      <alignment horizontal="center" vertical="center" wrapText="1"/>
    </xf>
    <xf numFmtId="14" fontId="6" fillId="0" borderId="12" xfId="0" applyNumberFormat="1" applyFont="1" applyBorder="1" applyAlignment="1">
      <alignment horizontal="center" vertical="center" wrapText="1"/>
    </xf>
    <xf numFmtId="0" fontId="6" fillId="0" borderId="12" xfId="0" applyFont="1" applyBorder="1" applyAlignment="1">
      <alignment horizontal="center" vertical="center" wrapText="1"/>
    </xf>
    <xf numFmtId="49" fontId="6" fillId="2" borderId="11" xfId="0" applyNumberFormat="1" applyFont="1" applyFill="1" applyBorder="1" applyAlignment="1">
      <alignment horizontal="center" vertical="center" wrapText="1"/>
    </xf>
    <xf numFmtId="49" fontId="9" fillId="2" borderId="11" xfId="2" applyNumberFormat="1" applyFont="1" applyFill="1" applyBorder="1" applyAlignment="1" applyProtection="1">
      <alignment horizontal="center" vertical="center" wrapText="1"/>
    </xf>
    <xf numFmtId="0" fontId="7" fillId="2" borderId="12" xfId="0" applyFont="1" applyFill="1" applyBorder="1" applyAlignment="1">
      <alignment horizontal="justify" vertical="center" wrapText="1"/>
    </xf>
    <xf numFmtId="49" fontId="5" fillId="2" borderId="13" xfId="0" applyNumberFormat="1" applyFont="1" applyFill="1" applyBorder="1" applyAlignment="1">
      <alignment horizontal="center" vertical="center" wrapText="1"/>
    </xf>
    <xf numFmtId="167" fontId="6" fillId="2" borderId="13" xfId="0" applyNumberFormat="1" applyFont="1" applyFill="1" applyBorder="1" applyAlignment="1">
      <alignment horizontal="center" vertical="center" wrapText="1"/>
    </xf>
    <xf numFmtId="167" fontId="6" fillId="2" borderId="13" xfId="1" applyNumberFormat="1" applyFont="1" applyFill="1" applyBorder="1" applyAlignment="1">
      <alignment horizontal="center" vertical="center"/>
    </xf>
    <xf numFmtId="167" fontId="6" fillId="2" borderId="14" xfId="0" applyNumberFormat="1" applyFont="1" applyFill="1" applyBorder="1" applyAlignment="1">
      <alignment horizontal="center" vertical="center" wrapText="1"/>
    </xf>
    <xf numFmtId="169" fontId="6" fillId="3" borderId="13" xfId="0" applyNumberFormat="1" applyFont="1" applyFill="1" applyBorder="1" applyAlignment="1">
      <alignment horizontal="center" vertical="center" wrapText="1"/>
    </xf>
    <xf numFmtId="14" fontId="6" fillId="3" borderId="13" xfId="0" applyNumberFormat="1" applyFont="1" applyFill="1" applyBorder="1" applyAlignment="1">
      <alignment horizontal="center" vertical="center" wrapText="1"/>
    </xf>
    <xf numFmtId="14" fontId="6" fillId="0" borderId="14" xfId="0" applyNumberFormat="1" applyFont="1" applyBorder="1" applyAlignment="1">
      <alignment horizontal="center" vertical="center" wrapText="1"/>
    </xf>
    <xf numFmtId="49" fontId="6" fillId="2" borderId="13" xfId="0" applyNumberFormat="1" applyFont="1" applyFill="1" applyBorder="1" applyAlignment="1">
      <alignment horizontal="center" vertical="center" wrapText="1"/>
    </xf>
    <xf numFmtId="49" fontId="9" fillId="2" borderId="13" xfId="2" applyNumberFormat="1" applyFont="1" applyFill="1" applyBorder="1" applyAlignment="1" applyProtection="1">
      <alignment horizontal="center" vertical="center" wrapText="1"/>
    </xf>
    <xf numFmtId="49" fontId="6" fillId="2" borderId="12" xfId="0" applyNumberFormat="1" applyFont="1" applyFill="1" applyBorder="1" applyAlignment="1">
      <alignment horizontal="center" vertical="center" wrapText="1"/>
    </xf>
    <xf numFmtId="49" fontId="5" fillId="2" borderId="12" xfId="0" applyNumberFormat="1" applyFont="1" applyFill="1" applyBorder="1" applyAlignment="1">
      <alignment horizontal="center" vertical="center" wrapText="1"/>
    </xf>
    <xf numFmtId="167" fontId="6" fillId="2" borderId="12" xfId="1" applyNumberFormat="1" applyFont="1" applyFill="1" applyBorder="1" applyAlignment="1">
      <alignment horizontal="center" vertical="center"/>
    </xf>
    <xf numFmtId="169" fontId="6" fillId="3" borderId="12" xfId="0" applyNumberFormat="1" applyFont="1" applyFill="1" applyBorder="1" applyAlignment="1">
      <alignment horizontal="center" vertical="center" wrapText="1"/>
    </xf>
    <xf numFmtId="14" fontId="6" fillId="3" borderId="12" xfId="0" applyNumberFormat="1" applyFont="1" applyFill="1" applyBorder="1" applyAlignment="1">
      <alignment horizontal="center" vertical="center" wrapText="1"/>
    </xf>
    <xf numFmtId="168" fontId="6" fillId="3" borderId="12" xfId="0" applyNumberFormat="1" applyFont="1" applyFill="1" applyBorder="1" applyAlignment="1">
      <alignment horizontal="center" vertical="center"/>
    </xf>
    <xf numFmtId="49" fontId="9" fillId="2" borderId="12" xfId="2" applyNumberFormat="1" applyFont="1" applyFill="1" applyBorder="1" applyAlignment="1" applyProtection="1">
      <alignment horizontal="center" vertical="center" wrapText="1"/>
    </xf>
    <xf numFmtId="170" fontId="7" fillId="2" borderId="12" xfId="0" applyNumberFormat="1" applyFont="1" applyFill="1" applyBorder="1" applyAlignment="1">
      <alignment vertical="center"/>
    </xf>
    <xf numFmtId="0" fontId="7" fillId="2" borderId="11" xfId="0" applyFont="1" applyFill="1" applyBorder="1" applyAlignment="1">
      <alignment horizontal="justify" vertical="center" wrapText="1"/>
    </xf>
    <xf numFmtId="0" fontId="7" fillId="2" borderId="11" xfId="0" applyFont="1" applyFill="1" applyBorder="1" applyAlignment="1">
      <alignment vertical="center" wrapText="1"/>
    </xf>
    <xf numFmtId="0" fontId="7" fillId="2" borderId="14" xfId="0" applyFont="1" applyFill="1" applyBorder="1" applyAlignment="1">
      <alignment horizontal="justify" vertical="center" wrapText="1"/>
    </xf>
    <xf numFmtId="170" fontId="7" fillId="2" borderId="11" xfId="0" applyNumberFormat="1" applyFont="1" applyFill="1" applyBorder="1" applyAlignment="1">
      <alignment vertical="center" wrapText="1"/>
    </xf>
    <xf numFmtId="170" fontId="7" fillId="2" borderId="12" xfId="0" applyNumberFormat="1" applyFont="1" applyFill="1" applyBorder="1" applyAlignment="1">
      <alignment vertical="center" wrapText="1"/>
    </xf>
    <xf numFmtId="170" fontId="7" fillId="2" borderId="14" xfId="0" applyNumberFormat="1" applyFont="1" applyFill="1" applyBorder="1" applyAlignment="1">
      <alignment vertical="center" wrapText="1"/>
    </xf>
    <xf numFmtId="165" fontId="7" fillId="2" borderId="12" xfId="1" applyFont="1" applyFill="1" applyBorder="1" applyAlignment="1">
      <alignment vertical="center" wrapText="1"/>
    </xf>
    <xf numFmtId="0" fontId="7" fillId="2" borderId="12" xfId="3" applyFont="1" applyFill="1" applyBorder="1" applyAlignment="1">
      <alignment horizontal="justify" vertical="center" wrapText="1"/>
    </xf>
    <xf numFmtId="170" fontId="7" fillId="2" borderId="12" xfId="3" applyNumberFormat="1" applyFont="1" applyFill="1" applyBorder="1" applyAlignment="1">
      <alignment vertical="center"/>
    </xf>
    <xf numFmtId="0" fontId="7" fillId="2" borderId="12" xfId="0" applyFont="1" applyFill="1" applyBorder="1" applyAlignment="1">
      <alignment vertical="center"/>
    </xf>
    <xf numFmtId="0" fontId="7" fillId="0" borderId="12" xfId="0" applyFont="1" applyFill="1" applyBorder="1" applyAlignment="1">
      <alignment horizontal="justify" vertical="center" wrapText="1"/>
    </xf>
    <xf numFmtId="0" fontId="7" fillId="0" borderId="12" xfId="0" applyFont="1" applyBorder="1" applyAlignment="1">
      <alignment vertical="center"/>
    </xf>
    <xf numFmtId="0" fontId="11" fillId="0" borderId="12" xfId="0" applyFont="1" applyBorder="1" applyAlignment="1">
      <alignment horizontal="justify" vertical="center" wrapText="1"/>
    </xf>
    <xf numFmtId="0" fontId="11" fillId="0" borderId="12" xfId="0" applyFont="1" applyBorder="1" applyAlignment="1">
      <alignment vertical="center" wrapText="1"/>
    </xf>
    <xf numFmtId="0" fontId="11" fillId="0" borderId="12" xfId="0" applyFont="1" applyBorder="1" applyAlignment="1">
      <alignment vertical="center"/>
    </xf>
    <xf numFmtId="170" fontId="7" fillId="2" borderId="11" xfId="3" applyNumberFormat="1" applyFont="1" applyFill="1" applyBorder="1" applyAlignment="1">
      <alignment vertical="center"/>
    </xf>
    <xf numFmtId="0" fontId="7" fillId="2" borderId="11" xfId="3" applyFont="1" applyFill="1" applyBorder="1" applyAlignment="1">
      <alignment horizontal="justify" vertical="center" wrapText="1"/>
    </xf>
    <xf numFmtId="0" fontId="11" fillId="2" borderId="0" xfId="0" applyFont="1" applyFill="1" applyBorder="1" applyAlignment="1">
      <alignment vertical="center" wrapText="1"/>
    </xf>
    <xf numFmtId="0" fontId="11" fillId="0" borderId="12" xfId="0" applyFont="1" applyBorder="1" applyAlignment="1">
      <alignment horizontal="justify" vertical="center"/>
    </xf>
    <xf numFmtId="170" fontId="7" fillId="2" borderId="12" xfId="3" applyNumberFormat="1" applyFont="1" applyFill="1" applyBorder="1" applyAlignment="1">
      <alignment vertical="center" wrapText="1"/>
    </xf>
    <xf numFmtId="49" fontId="12" fillId="2" borderId="12" xfId="0" applyNumberFormat="1" applyFont="1" applyFill="1" applyBorder="1" applyAlignment="1">
      <alignment horizontal="center" vertical="center" wrapText="1"/>
    </xf>
    <xf numFmtId="167" fontId="13" fillId="2" borderId="12" xfId="0" applyNumberFormat="1" applyFont="1" applyFill="1" applyBorder="1" applyAlignment="1">
      <alignment horizontal="center" vertical="center" wrapText="1"/>
    </xf>
    <xf numFmtId="167" fontId="13" fillId="2" borderId="12" xfId="1" applyNumberFormat="1" applyFont="1" applyFill="1" applyBorder="1" applyAlignment="1">
      <alignment horizontal="center" vertical="center"/>
    </xf>
    <xf numFmtId="169" fontId="13" fillId="2" borderId="12" xfId="0" applyNumberFormat="1" applyFont="1" applyFill="1" applyBorder="1" applyAlignment="1">
      <alignment horizontal="center" vertical="center" wrapText="1"/>
    </xf>
    <xf numFmtId="170" fontId="7" fillId="2" borderId="11" xfId="3" applyNumberFormat="1" applyFont="1" applyFill="1" applyBorder="1" applyAlignment="1">
      <alignment vertical="center" wrapText="1"/>
    </xf>
    <xf numFmtId="49" fontId="6" fillId="2" borderId="12" xfId="0" applyNumberFormat="1" applyFont="1" applyFill="1" applyBorder="1" applyAlignment="1">
      <alignment horizontal="justify" vertical="center" wrapText="1"/>
    </xf>
    <xf numFmtId="49" fontId="6" fillId="2" borderId="12" xfId="0" applyNumberFormat="1" applyFont="1" applyFill="1" applyBorder="1" applyAlignment="1">
      <alignment vertical="center" wrapText="1"/>
    </xf>
    <xf numFmtId="0" fontId="6" fillId="2" borderId="12" xfId="0" applyFont="1" applyFill="1" applyBorder="1" applyAlignment="1">
      <alignment horizontal="center" vertical="center" wrapText="1"/>
    </xf>
    <xf numFmtId="14" fontId="6" fillId="2" borderId="12" xfId="0" applyNumberFormat="1" applyFont="1" applyFill="1" applyBorder="1" applyAlignment="1">
      <alignment horizontal="center" vertical="center" wrapText="1"/>
    </xf>
    <xf numFmtId="49" fontId="6" fillId="2" borderId="12" xfId="0" applyNumberFormat="1" applyFont="1" applyFill="1" applyBorder="1" applyAlignment="1">
      <alignment horizontal="left" vertical="center" wrapText="1"/>
    </xf>
    <xf numFmtId="49" fontId="14" fillId="2" borderId="12" xfId="2" applyNumberFormat="1" applyFont="1" applyFill="1" applyBorder="1" applyAlignment="1" applyProtection="1">
      <alignment horizontal="center" vertical="center" wrapText="1"/>
    </xf>
    <xf numFmtId="49" fontId="2" fillId="2" borderId="12" xfId="2" applyNumberFormat="1" applyFill="1" applyBorder="1" applyAlignment="1" applyProtection="1">
      <alignment horizontal="center" vertical="center" wrapText="1"/>
    </xf>
    <xf numFmtId="0" fontId="6" fillId="2" borderId="0" xfId="0" applyFont="1" applyFill="1"/>
    <xf numFmtId="170" fontId="6" fillId="2" borderId="12" xfId="0" applyNumberFormat="1" applyFont="1" applyFill="1" applyBorder="1" applyAlignment="1">
      <alignment vertical="center" wrapText="1"/>
    </xf>
    <xf numFmtId="0" fontId="6" fillId="2" borderId="11" xfId="0" applyFont="1" applyFill="1" applyBorder="1" applyAlignment="1">
      <alignment horizontal="justify" vertical="center" wrapText="1"/>
    </xf>
    <xf numFmtId="49" fontId="15" fillId="2" borderId="12" xfId="2" applyNumberFormat="1" applyFont="1" applyFill="1" applyBorder="1" applyAlignment="1" applyProtection="1">
      <alignment horizontal="center" vertical="center" wrapText="1"/>
    </xf>
    <xf numFmtId="49" fontId="5" fillId="0" borderId="12" xfId="0" applyNumberFormat="1" applyFont="1" applyFill="1" applyBorder="1" applyAlignment="1">
      <alignment horizontal="center" vertical="center" wrapText="1"/>
    </xf>
    <xf numFmtId="49" fontId="6" fillId="0" borderId="12" xfId="0" applyNumberFormat="1" applyFont="1" applyFill="1" applyBorder="1" applyAlignment="1">
      <alignment vertical="center" wrapText="1"/>
    </xf>
    <xf numFmtId="0" fontId="6" fillId="0" borderId="12" xfId="0" applyFont="1" applyFill="1" applyBorder="1" applyAlignment="1">
      <alignment horizontal="center" vertical="center" wrapText="1"/>
    </xf>
    <xf numFmtId="49" fontId="6" fillId="0" borderId="12" xfId="0" applyNumberFormat="1" applyFont="1" applyFill="1" applyBorder="1" applyAlignment="1">
      <alignment horizontal="justify" vertical="center" wrapText="1"/>
    </xf>
    <xf numFmtId="167" fontId="6" fillId="0" borderId="12" xfId="0" applyNumberFormat="1" applyFont="1" applyFill="1" applyBorder="1" applyAlignment="1">
      <alignment horizontal="center" vertical="center" wrapText="1"/>
    </xf>
    <xf numFmtId="167" fontId="6" fillId="0" borderId="12" xfId="1" applyNumberFormat="1" applyFont="1" applyFill="1" applyBorder="1" applyAlignment="1">
      <alignment horizontal="center" vertical="center"/>
    </xf>
    <xf numFmtId="49" fontId="6" fillId="0" borderId="12" xfId="0" applyNumberFormat="1" applyFont="1" applyFill="1" applyBorder="1" applyAlignment="1">
      <alignment horizontal="center" vertical="center" wrapText="1"/>
    </xf>
    <xf numFmtId="49" fontId="14" fillId="0" borderId="12" xfId="2" applyNumberFormat="1" applyFont="1" applyFill="1" applyBorder="1" applyAlignment="1" applyProtection="1">
      <alignment horizontal="center" vertical="center" wrapText="1"/>
    </xf>
    <xf numFmtId="0" fontId="6" fillId="0" borderId="0" xfId="0" applyFont="1" applyFill="1"/>
    <xf numFmtId="14" fontId="13" fillId="3" borderId="12" xfId="0" applyNumberFormat="1" applyFont="1" applyFill="1" applyBorder="1" applyAlignment="1">
      <alignment horizontal="center" vertical="center" wrapText="1"/>
    </xf>
    <xf numFmtId="167" fontId="6" fillId="2" borderId="12" xfId="1" applyNumberFormat="1" applyFont="1" applyFill="1" applyBorder="1" applyAlignment="1">
      <alignment horizontal="center" vertical="center" wrapText="1"/>
    </xf>
    <xf numFmtId="167" fontId="12" fillId="2" borderId="12" xfId="1" applyNumberFormat="1" applyFont="1" applyFill="1" applyBorder="1" applyAlignment="1">
      <alignment horizontal="center" vertical="center"/>
    </xf>
    <xf numFmtId="167" fontId="12" fillId="2" borderId="12" xfId="1" applyNumberFormat="1" applyFont="1" applyFill="1" applyBorder="1" applyAlignment="1">
      <alignment horizontal="center" vertical="center" wrapText="1"/>
    </xf>
    <xf numFmtId="167" fontId="5" fillId="2" borderId="12" xfId="0" applyNumberFormat="1" applyFont="1" applyFill="1" applyBorder="1" applyAlignment="1">
      <alignment horizontal="center" vertical="center" wrapText="1"/>
    </xf>
    <xf numFmtId="0" fontId="6" fillId="4" borderId="0" xfId="0" applyFont="1" applyFill="1"/>
    <xf numFmtId="166" fontId="4" fillId="4" borderId="10" xfId="0" applyNumberFormat="1" applyFont="1" applyFill="1" applyBorder="1" applyAlignment="1">
      <alignment horizontal="center" vertical="center" wrapText="1"/>
    </xf>
    <xf numFmtId="167" fontId="5" fillId="4" borderId="10" xfId="1" applyNumberFormat="1" applyFont="1" applyFill="1" applyBorder="1" applyAlignment="1">
      <alignment horizontal="center" vertical="center" wrapText="1"/>
    </xf>
    <xf numFmtId="4" fontId="4" fillId="4" borderId="10" xfId="0"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0" fontId="4" fillId="4" borderId="10" xfId="0" applyNumberFormat="1" applyFont="1" applyFill="1" applyBorder="1" applyAlignment="1">
      <alignment horizontal="center" vertical="center" wrapText="1"/>
    </xf>
    <xf numFmtId="49" fontId="4" fillId="4" borderId="10" xfId="0" applyNumberFormat="1" applyFont="1" applyFill="1" applyBorder="1" applyAlignment="1">
      <alignment horizontal="center" vertical="center" wrapText="1"/>
    </xf>
    <xf numFmtId="169" fontId="13" fillId="3" borderId="12" xfId="0" applyNumberFormat="1" applyFont="1" applyFill="1" applyBorder="1" applyAlignment="1">
      <alignment horizontal="center" vertical="center" wrapText="1"/>
    </xf>
    <xf numFmtId="167" fontId="5" fillId="4" borderId="6" xfId="1" applyNumberFormat="1" applyFont="1" applyFill="1" applyBorder="1" applyAlignment="1">
      <alignment horizontal="center" vertical="center" wrapText="1"/>
    </xf>
    <xf numFmtId="164" fontId="6" fillId="2" borderId="11" xfId="1" applyNumberFormat="1" applyFont="1" applyFill="1" applyBorder="1" applyAlignment="1">
      <alignment horizontal="center" vertical="center"/>
    </xf>
    <xf numFmtId="167" fontId="5" fillId="2" borderId="12" xfId="1" applyNumberFormat="1" applyFont="1" applyFill="1" applyBorder="1" applyAlignment="1">
      <alignment horizontal="center" vertical="center"/>
    </xf>
    <xf numFmtId="4" fontId="4" fillId="4" borderId="5"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0" fontId="5" fillId="4" borderId="6" xfId="0" applyFont="1" applyFill="1" applyBorder="1" applyAlignment="1">
      <alignment horizontal="center"/>
    </xf>
    <xf numFmtId="0" fontId="5" fillId="4" borderId="3" xfId="0" applyFont="1" applyFill="1" applyBorder="1" applyAlignment="1">
      <alignment horizontal="center"/>
    </xf>
    <xf numFmtId="49" fontId="4" fillId="4" borderId="1" xfId="0" applyNumberFormat="1" applyFont="1" applyFill="1" applyBorder="1" applyAlignment="1">
      <alignment horizontal="center" vertical="center" wrapText="1"/>
    </xf>
    <xf numFmtId="49" fontId="4" fillId="4" borderId="8" xfId="0" applyNumberFormat="1" applyFont="1" applyFill="1" applyBorder="1" applyAlignment="1">
      <alignment horizontal="center" vertical="center" wrapText="1"/>
    </xf>
    <xf numFmtId="49" fontId="4" fillId="4" borderId="9"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166" fontId="4" fillId="4" borderId="5" xfId="0" applyNumberFormat="1" applyFont="1" applyFill="1" applyBorder="1" applyAlignment="1">
      <alignment horizontal="center" vertical="center" wrapText="1"/>
    </xf>
    <xf numFmtId="166" fontId="4" fillId="4" borderId="15" xfId="0" applyNumberFormat="1" applyFont="1" applyFill="1" applyBorder="1" applyAlignment="1">
      <alignment horizontal="center" vertical="center" wrapText="1"/>
    </xf>
    <xf numFmtId="4" fontId="4" fillId="4" borderId="5" xfId="0" applyNumberFormat="1" applyFont="1" applyFill="1" applyBorder="1" applyAlignment="1">
      <alignment horizontal="center" vertical="center" wrapText="1"/>
    </xf>
    <xf numFmtId="49" fontId="4" fillId="4" borderId="7" xfId="0" applyNumberFormat="1" applyFont="1" applyFill="1" applyBorder="1" applyAlignment="1">
      <alignment horizontal="center" vertical="center" wrapText="1"/>
    </xf>
    <xf numFmtId="49" fontId="4" fillId="4" borderId="0" xfId="0" applyNumberFormat="1" applyFont="1" applyFill="1" applyBorder="1" applyAlignment="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informacion@fndcolombia.org" TargetMode="External"/><Relationship Id="rId21" Type="http://schemas.openxmlformats.org/officeDocument/2006/relationships/hyperlink" Target="mailto:catalinaa64@hotmail.com" TargetMode="External"/><Relationship Id="rId63" Type="http://schemas.openxmlformats.org/officeDocument/2006/relationships/hyperlink" Target="mailto:mednucbogota@gmail.com" TargetMode="External"/><Relationship Id="rId159" Type="http://schemas.openxmlformats.org/officeDocument/2006/relationships/hyperlink" Target="mailto:gposada@icontec.org" TargetMode="External"/><Relationship Id="rId324" Type="http://schemas.openxmlformats.org/officeDocument/2006/relationships/hyperlink" Target="mailto:corp-med@hotmail.com" TargetMode="External"/><Relationship Id="rId366" Type="http://schemas.openxmlformats.org/officeDocument/2006/relationships/hyperlink" Target="mailto:licitaciones@pinelec.com" TargetMode="External"/><Relationship Id="rId170" Type="http://schemas.openxmlformats.org/officeDocument/2006/relationships/hyperlink" Target="mailto:docufilesasas@gmail.com" TargetMode="External"/><Relationship Id="rId226" Type="http://schemas.openxmlformats.org/officeDocument/2006/relationships/hyperlink" Target="mailto:rodriguez.sandra@abbott.com" TargetMode="External"/><Relationship Id="rId433" Type="http://schemas.openxmlformats.org/officeDocument/2006/relationships/hyperlink" Target="mailto:flor.quintero@grupoamarey.com" TargetMode="External"/><Relationship Id="rId268" Type="http://schemas.openxmlformats.org/officeDocument/2006/relationships/hyperlink" Target="mailto:MAURICIO.ESCOBAR@KCII.COM" TargetMode="External"/><Relationship Id="rId475" Type="http://schemas.openxmlformats.org/officeDocument/2006/relationships/hyperlink" Target="mailto:angiefrnacom03@gmail.com" TargetMode="External"/><Relationship Id="rId32" Type="http://schemas.openxmlformats.org/officeDocument/2006/relationships/hyperlink" Target="mailto:carlosr@andreccorporation.com" TargetMode="External"/><Relationship Id="rId74" Type="http://schemas.openxmlformats.org/officeDocument/2006/relationships/hyperlink" Target="mailto:digitalworlds.a.s@hotmail.com" TargetMode="External"/><Relationship Id="rId128" Type="http://schemas.openxmlformats.org/officeDocument/2006/relationships/hyperlink" Target="mailto:gerencia@productosplasticos.co" TargetMode="External"/><Relationship Id="rId335" Type="http://schemas.openxmlformats.org/officeDocument/2006/relationships/hyperlink" Target="mailto:MARCELOMENDIVELSO@HOTMAIL.COM" TargetMode="External"/><Relationship Id="rId377" Type="http://schemas.openxmlformats.org/officeDocument/2006/relationships/hyperlink" Target="mailto:aslicitacion2@lminstruments.com.co" TargetMode="External"/><Relationship Id="rId500" Type="http://schemas.openxmlformats.org/officeDocument/2006/relationships/hyperlink" Target="mailto:incomedicsltda@hotmail.com" TargetMode="External"/><Relationship Id="rId5" Type="http://schemas.openxmlformats.org/officeDocument/2006/relationships/hyperlink" Target="mailto:mjvm943@hotmail.cpm" TargetMode="External"/><Relationship Id="rId181" Type="http://schemas.openxmlformats.org/officeDocument/2006/relationships/hyperlink" Target="mailto:rafaragon2@hotmail.com" TargetMode="External"/><Relationship Id="rId237" Type="http://schemas.openxmlformats.org/officeDocument/2006/relationships/hyperlink" Target="mailto:comercial@mmequiposmedicos.com.co" TargetMode="External"/><Relationship Id="rId402" Type="http://schemas.openxmlformats.org/officeDocument/2006/relationships/hyperlink" Target="mailto:rodriguez.sandra@abbott.com" TargetMode="External"/><Relationship Id="rId279" Type="http://schemas.openxmlformats.org/officeDocument/2006/relationships/hyperlink" Target="mailto:gerenciarb@productosplasticos.co" TargetMode="External"/><Relationship Id="rId444" Type="http://schemas.openxmlformats.org/officeDocument/2006/relationships/hyperlink" Target="mailto:rodriguez.sandra@abbott.com" TargetMode="External"/><Relationship Id="rId486" Type="http://schemas.openxmlformats.org/officeDocument/2006/relationships/hyperlink" Target="mailto:info@quimiolab.com" TargetMode="External"/><Relationship Id="rId43" Type="http://schemas.openxmlformats.org/officeDocument/2006/relationships/hyperlink" Target="mailto:inmaculada@clinicainmaculada.org" TargetMode="External"/><Relationship Id="rId139" Type="http://schemas.openxmlformats.org/officeDocument/2006/relationships/hyperlink" Target="mailto:gustavo.rodriguez@wlorenz.com.co" TargetMode="External"/><Relationship Id="rId290" Type="http://schemas.openxmlformats.org/officeDocument/2006/relationships/hyperlink" Target="mailto:oscarfernandoserranoortiz@gmail.com" TargetMode="External"/><Relationship Id="rId304" Type="http://schemas.openxmlformats.org/officeDocument/2006/relationships/hyperlink" Target="mailto:michelle.vasquez@roche.com" TargetMode="External"/><Relationship Id="rId346" Type="http://schemas.openxmlformats.org/officeDocument/2006/relationships/hyperlink" Target="mailto:ANDREOSK12011@GMAIL.COM" TargetMode="External"/><Relationship Id="rId388" Type="http://schemas.openxmlformats.org/officeDocument/2006/relationships/hyperlink" Target="mailto:hlpensas@gmail.com" TargetMode="External"/><Relationship Id="rId511" Type="http://schemas.openxmlformats.org/officeDocument/2006/relationships/hyperlink" Target="mailto:VENTAS@AYB%20MEDICA.COM" TargetMode="External"/><Relationship Id="rId85" Type="http://schemas.openxmlformats.org/officeDocument/2006/relationships/hyperlink" Target="mailto:info@colabdai.com" TargetMode="External"/><Relationship Id="rId150" Type="http://schemas.openxmlformats.org/officeDocument/2006/relationships/hyperlink" Target="mailto:licitaciones@aspreseg.com" TargetMode="External"/><Relationship Id="rId192" Type="http://schemas.openxmlformats.org/officeDocument/2006/relationships/hyperlink" Target="mailto:info@proyns.com" TargetMode="External"/><Relationship Id="rId206" Type="http://schemas.openxmlformats.org/officeDocument/2006/relationships/hyperlink" Target="mailto:compras@panamericaninstruments.com.co" TargetMode="External"/><Relationship Id="rId413" Type="http://schemas.openxmlformats.org/officeDocument/2006/relationships/hyperlink" Target="mailto:gerencia@biotronitech.com.co" TargetMode="External"/><Relationship Id="rId248" Type="http://schemas.openxmlformats.org/officeDocument/2006/relationships/hyperlink" Target="mailto:gerencia@biotronitech.com.co" TargetMode="External"/><Relationship Id="rId455" Type="http://schemas.openxmlformats.org/officeDocument/2006/relationships/hyperlink" Target="mailto:flor.quintero@grupoamarey.com" TargetMode="External"/><Relationship Id="rId497" Type="http://schemas.openxmlformats.org/officeDocument/2006/relationships/hyperlink" Target="mailto:jhon.tellez@convatec.com" TargetMode="External"/><Relationship Id="rId12" Type="http://schemas.openxmlformats.org/officeDocument/2006/relationships/hyperlink" Target="mailto:LIBAR1982@HOTMAIL.COM" TargetMode="External"/><Relationship Id="rId108" Type="http://schemas.openxmlformats.org/officeDocument/2006/relationships/hyperlink" Target="mailto:gerencia@bio-molecular.com" TargetMode="External"/><Relationship Id="rId315" Type="http://schemas.openxmlformats.org/officeDocument/2006/relationships/hyperlink" Target="mailto:sandramoralesch@gmail.com" TargetMode="External"/><Relationship Id="rId357" Type="http://schemas.openxmlformats.org/officeDocument/2006/relationships/hyperlink" Target="mailto:PAOLA.ARCEPENE@OUTLOOK.COM" TargetMode="External"/><Relationship Id="rId54" Type="http://schemas.openxmlformats.org/officeDocument/2006/relationships/hyperlink" Target="mailto:comercial@gammaingenieros.com" TargetMode="External"/><Relationship Id="rId96" Type="http://schemas.openxmlformats.org/officeDocument/2006/relationships/hyperlink" Target="mailto:asistente2@labgothaplast.com.co" TargetMode="External"/><Relationship Id="rId161" Type="http://schemas.openxmlformats.org/officeDocument/2006/relationships/hyperlink" Target="mailto:comercial@mundovending.com.co" TargetMode="External"/><Relationship Id="rId217" Type="http://schemas.openxmlformats.org/officeDocument/2006/relationships/hyperlink" Target="mailto:adiaz@brandcenter.com.co" TargetMode="External"/><Relationship Id="rId399" Type="http://schemas.openxmlformats.org/officeDocument/2006/relationships/hyperlink" Target="mailto:rubendario.melo@pfizer.com" TargetMode="External"/><Relationship Id="rId259" Type="http://schemas.openxmlformats.org/officeDocument/2006/relationships/hyperlink" Target="mailto:jasmina.salamanca@ddb.com.co" TargetMode="External"/><Relationship Id="rId424" Type="http://schemas.openxmlformats.org/officeDocument/2006/relationships/hyperlink" Target="mailto:info@surgicon.com.co" TargetMode="External"/><Relationship Id="rId466" Type="http://schemas.openxmlformats.org/officeDocument/2006/relationships/hyperlink" Target="mailto:javier@jtechmed.com.co" TargetMode="External"/><Relationship Id="rId23" Type="http://schemas.openxmlformats.org/officeDocument/2006/relationships/hyperlink" Target="mailto:cortizaciones@satinastec.com" TargetMode="External"/><Relationship Id="rId119" Type="http://schemas.openxmlformats.org/officeDocument/2006/relationships/hyperlink" Target="mailto:mangel@vygon.com.co" TargetMode="External"/><Relationship Id="rId270" Type="http://schemas.openxmlformats.org/officeDocument/2006/relationships/hyperlink" Target="mailto:administracion@sindromededown.org" TargetMode="External"/><Relationship Id="rId326" Type="http://schemas.openxmlformats.org/officeDocument/2006/relationships/hyperlink" Target="mailto:johana.gamboa@abbott.com" TargetMode="External"/><Relationship Id="rId65" Type="http://schemas.openxmlformats.org/officeDocument/2006/relationships/hyperlink" Target="mailto:servicioalcliente@rpmedicas.co" TargetMode="External"/><Relationship Id="rId130" Type="http://schemas.openxmlformats.org/officeDocument/2006/relationships/hyperlink" Target="mailto:aslicitacion2@lminstruments.com.co" TargetMode="External"/><Relationship Id="rId368" Type="http://schemas.openxmlformats.org/officeDocument/2006/relationships/hyperlink" Target="mailto:aslicitacion2@lminstruments.com.co" TargetMode="External"/><Relationship Id="rId172" Type="http://schemas.openxmlformats.org/officeDocument/2006/relationships/hyperlink" Target="mailto:adriana.santana@draeger.com" TargetMode="External"/><Relationship Id="rId228" Type="http://schemas.openxmlformats.org/officeDocument/2006/relationships/hyperlink" Target="mailto:dreddyestrada.arq@gmail.com" TargetMode="External"/><Relationship Id="rId435" Type="http://schemas.openxmlformats.org/officeDocument/2006/relationships/hyperlink" Target="mailto:luisa_quintero@baxter.com" TargetMode="External"/><Relationship Id="rId477" Type="http://schemas.openxmlformats.org/officeDocument/2006/relationships/hyperlink" Target="mailto:cristian.or92@hotmail.com" TargetMode="External"/><Relationship Id="rId281" Type="http://schemas.openxmlformats.org/officeDocument/2006/relationships/hyperlink" Target="mailto:carranza.medical@gmail.com" TargetMode="External"/><Relationship Id="rId337" Type="http://schemas.openxmlformats.org/officeDocument/2006/relationships/hyperlink" Target="mailto:mna051@hotmail.com" TargetMode="External"/><Relationship Id="rId502" Type="http://schemas.openxmlformats.org/officeDocument/2006/relationships/hyperlink" Target="mailto:luisa_quintero@baxter.com" TargetMode="External"/><Relationship Id="rId34" Type="http://schemas.openxmlformats.org/officeDocument/2006/relationships/hyperlink" Target="mailto:eliana.castro@gbarco.com.co" TargetMode="External"/><Relationship Id="rId76" Type="http://schemas.openxmlformats.org/officeDocument/2006/relationships/hyperlink" Target="mailto:omar.rivera@aconpiexpress.com.co" TargetMode="External"/><Relationship Id="rId141" Type="http://schemas.openxmlformats.org/officeDocument/2006/relationships/hyperlink" Target="mailto:javier@jtechmed.com.co" TargetMode="External"/><Relationship Id="rId379" Type="http://schemas.openxmlformats.org/officeDocument/2006/relationships/hyperlink" Target="mailto:administratcion@hemato-oncologos.com" TargetMode="External"/><Relationship Id="rId7" Type="http://schemas.openxmlformats.org/officeDocument/2006/relationships/hyperlink" Target="mailto:comercial@syac.net.co" TargetMode="External"/><Relationship Id="rId183" Type="http://schemas.openxmlformats.org/officeDocument/2006/relationships/hyperlink" Target="mailto:licitaciones@tecnicaelectromedica.com" TargetMode="External"/><Relationship Id="rId239" Type="http://schemas.openxmlformats.org/officeDocument/2006/relationships/hyperlink" Target="mailto:banyakcol@gmail.com" TargetMode="External"/><Relationship Id="rId390" Type="http://schemas.openxmlformats.org/officeDocument/2006/relationships/hyperlink" Target="mailto:oymmedicossas@gmail.com" TargetMode="External"/><Relationship Id="rId404" Type="http://schemas.openxmlformats.org/officeDocument/2006/relationships/hyperlink" Target="mailto:ventas@labcarecolombia.com" TargetMode="External"/><Relationship Id="rId446" Type="http://schemas.openxmlformats.org/officeDocument/2006/relationships/hyperlink" Target="mailto:licitaciones.col@bd.com" TargetMode="External"/><Relationship Id="rId250" Type="http://schemas.openxmlformats.org/officeDocument/2006/relationships/hyperlink" Target="mailto:gerencia@hospioffice.com" TargetMode="External"/><Relationship Id="rId292" Type="http://schemas.openxmlformats.org/officeDocument/2006/relationships/hyperlink" Target="mailto:haroldherr@hotmail.com" TargetMode="External"/><Relationship Id="rId306" Type="http://schemas.openxmlformats.org/officeDocument/2006/relationships/hyperlink" Target="mailto:visioncorp7@gmail.com" TargetMode="External"/><Relationship Id="rId488" Type="http://schemas.openxmlformats.org/officeDocument/2006/relationships/hyperlink" Target="mailto:adriana.santana@draeger.com" TargetMode="External"/><Relationship Id="rId45" Type="http://schemas.openxmlformats.org/officeDocument/2006/relationships/hyperlink" Target="mailto:dreddyestrada.arq@gmail.com" TargetMode="External"/><Relationship Id="rId87" Type="http://schemas.openxmlformats.org/officeDocument/2006/relationships/hyperlink" Target="mailto:mvasquez@micrositios.net" TargetMode="External"/><Relationship Id="rId110" Type="http://schemas.openxmlformats.org/officeDocument/2006/relationships/hyperlink" Target="mailto:galmeciga@ciacomeq.com" TargetMode="External"/><Relationship Id="rId348" Type="http://schemas.openxmlformats.org/officeDocument/2006/relationships/hyperlink" Target="mailto:MCCUBIDES@UNIBOYACA.EDU.DO" TargetMode="External"/><Relationship Id="rId513" Type="http://schemas.openxmlformats.org/officeDocument/2006/relationships/hyperlink" Target="mailto:ealandete@gmail.com" TargetMode="External"/><Relationship Id="rId152" Type="http://schemas.openxmlformats.org/officeDocument/2006/relationships/hyperlink" Target="mailto:instrumentacion@instrumentacion.com.co" TargetMode="External"/><Relationship Id="rId194" Type="http://schemas.openxmlformats.org/officeDocument/2006/relationships/hyperlink" Target="mailto:acardenas@medihumana.com" TargetMode="External"/><Relationship Id="rId208" Type="http://schemas.openxmlformats.org/officeDocument/2006/relationships/hyperlink" Target="mailto:sefanyac2412@gmail.com" TargetMode="External"/><Relationship Id="rId415" Type="http://schemas.openxmlformats.org/officeDocument/2006/relationships/hyperlink" Target="mailto:servicioalcliente@fm-colombia.com" TargetMode="External"/><Relationship Id="rId457" Type="http://schemas.openxmlformats.org/officeDocument/2006/relationships/hyperlink" Target="mailto:comercial@labtronics.net" TargetMode="External"/><Relationship Id="rId261" Type="http://schemas.openxmlformats.org/officeDocument/2006/relationships/hyperlink" Target="mailto:luisa_quintero@baxter.com" TargetMode="External"/><Relationship Id="rId499" Type="http://schemas.openxmlformats.org/officeDocument/2006/relationships/hyperlink" Target="mailto:ordenesysuministros@outlook.com" TargetMode="External"/><Relationship Id="rId14" Type="http://schemas.openxmlformats.org/officeDocument/2006/relationships/hyperlink" Target="mailto:idcbis@idcbis.org.co" TargetMode="External"/><Relationship Id="rId56" Type="http://schemas.openxmlformats.org/officeDocument/2006/relationships/hyperlink" Target="mailto:juan.paez@comercialrino.com" TargetMode="External"/><Relationship Id="rId317" Type="http://schemas.openxmlformats.org/officeDocument/2006/relationships/hyperlink" Target="mailto:CORPORACIONCORSABI@GMAIL.COM" TargetMode="External"/><Relationship Id="rId359" Type="http://schemas.openxmlformats.org/officeDocument/2006/relationships/hyperlink" Target="mailto:visioncorp7@gmail.com" TargetMode="External"/><Relationship Id="rId98" Type="http://schemas.openxmlformats.org/officeDocument/2006/relationships/hyperlink" Target="mailto:gerenciainfo@mediortoedicos.com" TargetMode="External"/><Relationship Id="rId121" Type="http://schemas.openxmlformats.org/officeDocument/2006/relationships/hyperlink" Target="mailto:TECNOINDUSTRUAL_DEEXTINTORES@YAHOO.COM" TargetMode="External"/><Relationship Id="rId163" Type="http://schemas.openxmlformats.org/officeDocument/2006/relationships/hyperlink" Target="mailto:cbc_ingenieriacivil@hotmail.com" TargetMode="External"/><Relationship Id="rId219" Type="http://schemas.openxmlformats.org/officeDocument/2006/relationships/hyperlink" Target="mailto:hidroquialitysas@gmail.com" TargetMode="External"/><Relationship Id="rId370" Type="http://schemas.openxmlformats.org/officeDocument/2006/relationships/hyperlink" Target="mailto:samitoca@hotmail.com" TargetMode="External"/><Relationship Id="rId426" Type="http://schemas.openxmlformats.org/officeDocument/2006/relationships/hyperlink" Target="mailto:ventas@sherleg.net" TargetMode="External"/><Relationship Id="rId230" Type="http://schemas.openxmlformats.org/officeDocument/2006/relationships/hyperlink" Target="mailto:info@unimaq.cm" TargetMode="External"/><Relationship Id="rId468" Type="http://schemas.openxmlformats.org/officeDocument/2006/relationships/hyperlink" Target="mailto:licitaciones@solucionesecomil.com" TargetMode="External"/><Relationship Id="rId25" Type="http://schemas.openxmlformats.org/officeDocument/2006/relationships/hyperlink" Target="mailto:soportec@kaika.com.co" TargetMode="External"/><Relationship Id="rId67" Type="http://schemas.openxmlformats.org/officeDocument/2006/relationships/hyperlink" Target="mailto:gerencia@pronuclear.com.co" TargetMode="External"/><Relationship Id="rId272" Type="http://schemas.openxmlformats.org/officeDocument/2006/relationships/hyperlink" Target="mailto:elizabeth.vega@alcon.com" TargetMode="External"/><Relationship Id="rId328" Type="http://schemas.openxmlformats.org/officeDocument/2006/relationships/hyperlink" Target="mailto:valenzuela10@gmail.com" TargetMode="External"/><Relationship Id="rId132" Type="http://schemas.openxmlformats.org/officeDocument/2006/relationships/hyperlink" Target="mailto:liliana.ramirez@milmedical.net" TargetMode="External"/><Relationship Id="rId174" Type="http://schemas.openxmlformats.org/officeDocument/2006/relationships/hyperlink" Target="mailto:mbotero@vlezlab.com.co" TargetMode="External"/><Relationship Id="rId381" Type="http://schemas.openxmlformats.org/officeDocument/2006/relationships/hyperlink" Target="mailto:corp-med@hotmail.com" TargetMode="External"/><Relationship Id="rId241" Type="http://schemas.openxmlformats.org/officeDocument/2006/relationships/hyperlink" Target="mailto:liderlicitaciones@hospimedics.com" TargetMode="External"/><Relationship Id="rId437" Type="http://schemas.openxmlformats.org/officeDocument/2006/relationships/hyperlink" Target="mailto:proyectos@proxelcolombia.com" TargetMode="External"/><Relationship Id="rId479" Type="http://schemas.openxmlformats.org/officeDocument/2006/relationships/hyperlink" Target="mailto:sebastian.gomez@hotmail.com" TargetMode="External"/><Relationship Id="rId36" Type="http://schemas.openxmlformats.org/officeDocument/2006/relationships/hyperlink" Target="mailto:ruth.isneld.gaviria@medtronic.com" TargetMode="External"/><Relationship Id="rId283" Type="http://schemas.openxmlformats.org/officeDocument/2006/relationships/hyperlink" Target="mailto:ehilarion@aicweb.org" TargetMode="External"/><Relationship Id="rId339" Type="http://schemas.openxmlformats.org/officeDocument/2006/relationships/hyperlink" Target="mailto:ANDRE_893@HOTMAIL.COM" TargetMode="External"/><Relationship Id="rId490" Type="http://schemas.openxmlformats.org/officeDocument/2006/relationships/hyperlink" Target="mailto:comercial@ajoveco.com.co" TargetMode="External"/><Relationship Id="rId504" Type="http://schemas.openxmlformats.org/officeDocument/2006/relationships/hyperlink" Target="mailto:blinares@proasepsis.com" TargetMode="External"/><Relationship Id="rId78" Type="http://schemas.openxmlformats.org/officeDocument/2006/relationships/hyperlink" Target="mailto:gilbertogarciab@axon360.co" TargetMode="External"/><Relationship Id="rId101" Type="http://schemas.openxmlformats.org/officeDocument/2006/relationships/hyperlink" Target="mailto:comercial@mmequiposmedicos.com.co" TargetMode="External"/><Relationship Id="rId143" Type="http://schemas.openxmlformats.org/officeDocument/2006/relationships/hyperlink" Target="mailto:gerenciagingenieria@gmail.com" TargetMode="External"/><Relationship Id="rId185" Type="http://schemas.openxmlformats.org/officeDocument/2006/relationships/hyperlink" Target="mailto:GYC.MEDICALS@GMAIL.COM" TargetMode="External"/><Relationship Id="rId350" Type="http://schemas.openxmlformats.org/officeDocument/2006/relationships/hyperlink" Target="mailto:mavellac94@gmail.com" TargetMode="External"/><Relationship Id="rId406" Type="http://schemas.openxmlformats.org/officeDocument/2006/relationships/hyperlink" Target="mailto:Ctorogar@its.jnj.com" TargetMode="External"/><Relationship Id="rId9" Type="http://schemas.openxmlformats.org/officeDocument/2006/relationships/hyperlink" Target="mailto:ricardoescuderot@hotmail.com" TargetMode="External"/><Relationship Id="rId210" Type="http://schemas.openxmlformats.org/officeDocument/2006/relationships/hyperlink" Target="mailto:galmeciga@ciacomeq.com" TargetMode="External"/><Relationship Id="rId392" Type="http://schemas.openxmlformats.org/officeDocument/2006/relationships/hyperlink" Target="mailto:sebastian.perilla@astrazeneca.com" TargetMode="External"/><Relationship Id="rId448" Type="http://schemas.openxmlformats.org/officeDocument/2006/relationships/hyperlink" Target="mailto:catherine.guarin@cirec.org" TargetMode="External"/><Relationship Id="rId252" Type="http://schemas.openxmlformats.org/officeDocument/2006/relationships/hyperlink" Target="mailto:info@hospimedics.com" TargetMode="External"/><Relationship Id="rId294" Type="http://schemas.openxmlformats.org/officeDocument/2006/relationships/hyperlink" Target="mailto:angie_tama@yahoo.com" TargetMode="External"/><Relationship Id="rId308" Type="http://schemas.openxmlformats.org/officeDocument/2006/relationships/hyperlink" Target="mailto:ASOCIACION-ASA@HOTMAIL.COM" TargetMode="External"/><Relationship Id="rId515" Type="http://schemas.openxmlformats.org/officeDocument/2006/relationships/hyperlink" Target="mailto:grentecomercial@fjsb.com.co" TargetMode="External"/><Relationship Id="rId47" Type="http://schemas.openxmlformats.org/officeDocument/2006/relationships/hyperlink" Target="mailto:logiatres@gmail.com" TargetMode="External"/><Relationship Id="rId89" Type="http://schemas.openxmlformats.org/officeDocument/2006/relationships/hyperlink" Target="mailto:yyo.directorcomercial@gmail.com" TargetMode="External"/><Relationship Id="rId112" Type="http://schemas.openxmlformats.org/officeDocument/2006/relationships/hyperlink" Target="mailto:cmercial@semcar.com" TargetMode="External"/><Relationship Id="rId154" Type="http://schemas.openxmlformats.org/officeDocument/2006/relationships/hyperlink" Target="mailto:d.ventas@renal-medical.com" TargetMode="External"/><Relationship Id="rId361" Type="http://schemas.openxmlformats.org/officeDocument/2006/relationships/hyperlink" Target="mailto:CORPEDIMIL@GMAIL.COM" TargetMode="External"/><Relationship Id="rId196" Type="http://schemas.openxmlformats.org/officeDocument/2006/relationships/hyperlink" Target="mailto:servicioalcliente@rpmedicas.co" TargetMode="External"/><Relationship Id="rId417" Type="http://schemas.openxmlformats.org/officeDocument/2006/relationships/hyperlink" Target="mailto:asistentecomercial@prokontrol.com.co" TargetMode="External"/><Relationship Id="rId459" Type="http://schemas.openxmlformats.org/officeDocument/2006/relationships/hyperlink" Target="mailto:michelle.vasquez@roche.com" TargetMode="External"/><Relationship Id="rId16" Type="http://schemas.openxmlformats.org/officeDocument/2006/relationships/hyperlink" Target="mailto:colombia_atc@edwards%20&#191;.com" TargetMode="External"/><Relationship Id="rId221" Type="http://schemas.openxmlformats.org/officeDocument/2006/relationships/hyperlink" Target="mailto:ventas@sherleg.net" TargetMode="External"/><Relationship Id="rId263" Type="http://schemas.openxmlformats.org/officeDocument/2006/relationships/hyperlink" Target="mailto:MACROSEARCHLTDA.VENTAS@YAHOO.COM" TargetMode="External"/><Relationship Id="rId319" Type="http://schemas.openxmlformats.org/officeDocument/2006/relationships/hyperlink" Target="mailto:veyalthigroup@yahoo.com" TargetMode="External"/><Relationship Id="rId470" Type="http://schemas.openxmlformats.org/officeDocument/2006/relationships/hyperlink" Target="mailto:ingrid.rangel@bbraun.com" TargetMode="External"/><Relationship Id="rId58" Type="http://schemas.openxmlformats.org/officeDocument/2006/relationships/hyperlink" Target="mailto:lenicordero@controdoc.com.co" TargetMode="External"/><Relationship Id="rId123" Type="http://schemas.openxmlformats.org/officeDocument/2006/relationships/hyperlink" Target="mailto:soporte@radproct.com" TargetMode="External"/><Relationship Id="rId330" Type="http://schemas.openxmlformats.org/officeDocument/2006/relationships/hyperlink" Target="mailto:NATORRES1972@HOTMAIL.COM" TargetMode="External"/><Relationship Id="rId165" Type="http://schemas.openxmlformats.org/officeDocument/2006/relationships/hyperlink" Target="mailto:ventasmedicos@impulmedicos.com" TargetMode="External"/><Relationship Id="rId372" Type="http://schemas.openxmlformats.org/officeDocument/2006/relationships/hyperlink" Target="mailto:comercial@equitronic.com.co" TargetMode="External"/><Relationship Id="rId428" Type="http://schemas.openxmlformats.org/officeDocument/2006/relationships/hyperlink" Target="mailto:cverdiguer@quirurgicosltda.com" TargetMode="External"/><Relationship Id="rId232" Type="http://schemas.openxmlformats.org/officeDocument/2006/relationships/hyperlink" Target="mailto:publicidadencuero@gmail.com" TargetMode="External"/><Relationship Id="rId274" Type="http://schemas.openxmlformats.org/officeDocument/2006/relationships/hyperlink" Target="mailto:jhon.tellez@convatec.com" TargetMode="External"/><Relationship Id="rId481" Type="http://schemas.openxmlformats.org/officeDocument/2006/relationships/hyperlink" Target="mailto:paulajulianav24_08@hotmail.com" TargetMode="External"/><Relationship Id="rId27" Type="http://schemas.openxmlformats.org/officeDocument/2006/relationships/hyperlink" Target="mailto:meditec@meditecsa.com" TargetMode="External"/><Relationship Id="rId69" Type="http://schemas.openxmlformats.org/officeDocument/2006/relationships/hyperlink" Target="mailto:miguelc@compusertec.com" TargetMode="External"/><Relationship Id="rId134" Type="http://schemas.openxmlformats.org/officeDocument/2006/relationships/hyperlink" Target="mailto:asistentecomercial@armocsa.com" TargetMode="External"/><Relationship Id="rId80" Type="http://schemas.openxmlformats.org/officeDocument/2006/relationships/hyperlink" Target="mailto:gerencia.redexpei@etp.net.co" TargetMode="External"/><Relationship Id="rId176" Type="http://schemas.openxmlformats.org/officeDocument/2006/relationships/hyperlink" Target="mailto:alexanderbernaln@gmail.com" TargetMode="External"/><Relationship Id="rId341" Type="http://schemas.openxmlformats.org/officeDocument/2006/relationships/hyperlink" Target="mailto:chiolu47@hotmail.com" TargetMode="External"/><Relationship Id="rId383" Type="http://schemas.openxmlformats.org/officeDocument/2006/relationships/hyperlink" Target="mailto:laura.palma_villareal@siemens.com" TargetMode="External"/><Relationship Id="rId439" Type="http://schemas.openxmlformats.org/officeDocument/2006/relationships/hyperlink" Target="mailto:jhon.espinosa@idime.comco" TargetMode="External"/><Relationship Id="rId201" Type="http://schemas.openxmlformats.org/officeDocument/2006/relationships/hyperlink" Target="mailto:ventas@vjcardiosistemas.com" TargetMode="External"/><Relationship Id="rId243" Type="http://schemas.openxmlformats.org/officeDocument/2006/relationships/hyperlink" Target="mailto:elizabeth.vega@alcon.com" TargetMode="External"/><Relationship Id="rId285" Type="http://schemas.openxmlformats.org/officeDocument/2006/relationships/hyperlink" Target="mailto:sgomez@colsoft.com.co" TargetMode="External"/><Relationship Id="rId450" Type="http://schemas.openxmlformats.org/officeDocument/2006/relationships/hyperlink" Target="mailto:emiut2019@gmail.com" TargetMode="External"/><Relationship Id="rId506" Type="http://schemas.openxmlformats.org/officeDocument/2006/relationships/hyperlink" Target="mailto:licitaciones@renelly.com" TargetMode="External"/><Relationship Id="rId38" Type="http://schemas.openxmlformats.org/officeDocument/2006/relationships/hyperlink" Target="mailto:jhon.tellez@convatec.com" TargetMode="External"/><Relationship Id="rId103" Type="http://schemas.openxmlformats.org/officeDocument/2006/relationships/hyperlink" Target="mailto:servicioalcliente@endosurgical.com.co" TargetMode="External"/><Relationship Id="rId310" Type="http://schemas.openxmlformats.org/officeDocument/2006/relationships/hyperlink" Target="mailto:quinberlab@etb.net.co" TargetMode="External"/><Relationship Id="rId492" Type="http://schemas.openxmlformats.org/officeDocument/2006/relationships/hyperlink" Target="mailto:ventas@annardx.com" TargetMode="External"/><Relationship Id="rId91" Type="http://schemas.openxmlformats.org/officeDocument/2006/relationships/hyperlink" Target="mailto:fundeporadai@gmail.com" TargetMode="External"/><Relationship Id="rId145" Type="http://schemas.openxmlformats.org/officeDocument/2006/relationships/hyperlink" Target="mailto:ingrid.rangel@bbraun.com" TargetMode="External"/><Relationship Id="rId187" Type="http://schemas.openxmlformats.org/officeDocument/2006/relationships/hyperlink" Target="mailto:asistentecomercial@armocsa.com" TargetMode="External"/><Relationship Id="rId352" Type="http://schemas.openxmlformats.org/officeDocument/2006/relationships/hyperlink" Target="mailto:KATTYBON@HOTMAIL.COM" TargetMode="External"/><Relationship Id="rId394" Type="http://schemas.openxmlformats.org/officeDocument/2006/relationships/hyperlink" Target="mailto:cverdiguer@quirurgicosltda.com" TargetMode="External"/><Relationship Id="rId408" Type="http://schemas.openxmlformats.org/officeDocument/2006/relationships/hyperlink" Target="mailto:ruth.isnlda.gaviria@medtronic.com" TargetMode="External"/><Relationship Id="rId212" Type="http://schemas.openxmlformats.org/officeDocument/2006/relationships/hyperlink" Target="mailto:biocol@outlook.com" TargetMode="External"/><Relationship Id="rId254" Type="http://schemas.openxmlformats.org/officeDocument/2006/relationships/hyperlink" Target="mailto:INFO@GSE.COM.CO" TargetMode="External"/><Relationship Id="rId49" Type="http://schemas.openxmlformats.org/officeDocument/2006/relationships/hyperlink" Target="mailto:proyectos@proxelcolombia.com" TargetMode="External"/><Relationship Id="rId114" Type="http://schemas.openxmlformats.org/officeDocument/2006/relationships/hyperlink" Target="mailto:subdireccincomercial@cayre.co" TargetMode="External"/><Relationship Id="rId296" Type="http://schemas.openxmlformats.org/officeDocument/2006/relationships/hyperlink" Target="mailto:haroldcuervo@hotmail.com" TargetMode="External"/><Relationship Id="rId461" Type="http://schemas.openxmlformats.org/officeDocument/2006/relationships/hyperlink" Target="mailto:licitaciones.col@bd.com" TargetMode="External"/><Relationship Id="rId60" Type="http://schemas.openxmlformats.org/officeDocument/2006/relationships/hyperlink" Target="mailto:chicamochaeventos@hotmail.com" TargetMode="External"/><Relationship Id="rId156" Type="http://schemas.openxmlformats.org/officeDocument/2006/relationships/hyperlink" Target="mailto:ventas@opimed.com.co" TargetMode="External"/><Relationship Id="rId198" Type="http://schemas.openxmlformats.org/officeDocument/2006/relationships/hyperlink" Target="mailto:jefe.licitacion@kamexinternational.com.co" TargetMode="External"/><Relationship Id="rId321" Type="http://schemas.openxmlformats.org/officeDocument/2006/relationships/hyperlink" Target="mailto:GERENCIA@BIOPLASTSA.COM" TargetMode="External"/><Relationship Id="rId363" Type="http://schemas.openxmlformats.org/officeDocument/2006/relationships/hyperlink" Target="mailto:corp-med@hotmail.com" TargetMode="External"/><Relationship Id="rId419" Type="http://schemas.openxmlformats.org/officeDocument/2006/relationships/hyperlink" Target="mailto:mangel@vygon.com.co" TargetMode="External"/><Relationship Id="rId223" Type="http://schemas.openxmlformats.org/officeDocument/2006/relationships/hyperlink" Target="mailto:licitaciones.col@bd.com" TargetMode="External"/><Relationship Id="rId430" Type="http://schemas.openxmlformats.org/officeDocument/2006/relationships/hyperlink" Target="mailto:servicioalcliente@ctpmedica.com" TargetMode="External"/><Relationship Id="rId18" Type="http://schemas.openxmlformats.org/officeDocument/2006/relationships/hyperlink" Target="mailto:gerencia@biotronitech.com.co" TargetMode="External"/><Relationship Id="rId265" Type="http://schemas.openxmlformats.org/officeDocument/2006/relationships/hyperlink" Target="mailto:jhon.espinosa@idime.comco" TargetMode="External"/><Relationship Id="rId472" Type="http://schemas.openxmlformats.org/officeDocument/2006/relationships/hyperlink" Target="mailto:nestorgm79@gmail.com" TargetMode="External"/><Relationship Id="rId125" Type="http://schemas.openxmlformats.org/officeDocument/2006/relationships/hyperlink" Target="mailto:licitacion@solucionesecomil.com" TargetMode="External"/><Relationship Id="rId167" Type="http://schemas.openxmlformats.org/officeDocument/2006/relationships/hyperlink" Target="mailto:info.colombia@kaeser.com" TargetMode="External"/><Relationship Id="rId332" Type="http://schemas.openxmlformats.org/officeDocument/2006/relationships/hyperlink" Target="mailto:mna051@hotmail.com" TargetMode="External"/><Relationship Id="rId374" Type="http://schemas.openxmlformats.org/officeDocument/2006/relationships/hyperlink" Target="mailto:luis.uribe@selgad.com" TargetMode="External"/><Relationship Id="rId71" Type="http://schemas.openxmlformats.org/officeDocument/2006/relationships/hyperlink" Target="mailto:jdavila@gns.com.co" TargetMode="External"/><Relationship Id="rId234" Type="http://schemas.openxmlformats.org/officeDocument/2006/relationships/hyperlink" Target="mailto:mangel@vygon.com.co" TargetMode="External"/><Relationship Id="rId2" Type="http://schemas.openxmlformats.org/officeDocument/2006/relationships/hyperlink" Target="mailto:notificaciones@legis.com.co" TargetMode="External"/><Relationship Id="rId29" Type="http://schemas.openxmlformats.org/officeDocument/2006/relationships/hyperlink" Target="mailto:jomedical@jomedical.com" TargetMode="External"/><Relationship Id="rId276" Type="http://schemas.openxmlformats.org/officeDocument/2006/relationships/hyperlink" Target="mailto:flor.quintero@grupoamarey.com" TargetMode="External"/><Relationship Id="rId441" Type="http://schemas.openxmlformats.org/officeDocument/2006/relationships/hyperlink" Target="mailto:michelle.vasquez@roche.com" TargetMode="External"/><Relationship Id="rId483" Type="http://schemas.openxmlformats.org/officeDocument/2006/relationships/hyperlink" Target="mailto:bittertears26@yahoo.com" TargetMode="External"/><Relationship Id="rId40" Type="http://schemas.openxmlformats.org/officeDocument/2006/relationships/hyperlink" Target="mailto:veyalthigroup@yahoo.com" TargetMode="External"/><Relationship Id="rId136" Type="http://schemas.openxmlformats.org/officeDocument/2006/relationships/hyperlink" Target="mailto:gerencia@instituciones@alfatrading.com.co" TargetMode="External"/><Relationship Id="rId178" Type="http://schemas.openxmlformats.org/officeDocument/2006/relationships/hyperlink" Target="mailto:jarobg@yahoo.com" TargetMode="External"/><Relationship Id="rId301" Type="http://schemas.openxmlformats.org/officeDocument/2006/relationships/hyperlink" Target="mailto:ADMINISTRACIONCOL@GUEGUEIN.COM" TargetMode="External"/><Relationship Id="rId343" Type="http://schemas.openxmlformats.org/officeDocument/2006/relationships/hyperlink" Target="mailto:MONICARANGEL07@GMAIL.COM" TargetMode="External"/><Relationship Id="rId82" Type="http://schemas.openxmlformats.org/officeDocument/2006/relationships/hyperlink" Target="mailto:VENTAS@PROGYNE.COM" TargetMode="External"/><Relationship Id="rId203" Type="http://schemas.openxmlformats.org/officeDocument/2006/relationships/hyperlink" Target="mailto:yppena@cardioinfantil.org" TargetMode="External"/><Relationship Id="rId385" Type="http://schemas.openxmlformats.org/officeDocument/2006/relationships/hyperlink" Target="mailto:comercial@districlinicos.com" TargetMode="External"/><Relationship Id="rId245" Type="http://schemas.openxmlformats.org/officeDocument/2006/relationships/hyperlink" Target="mailto:felipe.traumasur@gmail.com" TargetMode="External"/><Relationship Id="rId287" Type="http://schemas.openxmlformats.org/officeDocument/2006/relationships/hyperlink" Target="mailto:anabel.gutierrez@bms.com" TargetMode="External"/><Relationship Id="rId410" Type="http://schemas.openxmlformats.org/officeDocument/2006/relationships/hyperlink" Target="mailto:licitabogota2@cobomedical.com" TargetMode="External"/><Relationship Id="rId452" Type="http://schemas.openxmlformats.org/officeDocument/2006/relationships/hyperlink" Target="mailto:LIBAR1982@HOTMAIL.COM" TargetMode="External"/><Relationship Id="rId494" Type="http://schemas.openxmlformats.org/officeDocument/2006/relationships/hyperlink" Target="mailto:ruth.isnlda.gaviria@medtronic.com" TargetMode="External"/><Relationship Id="rId508" Type="http://schemas.openxmlformats.org/officeDocument/2006/relationships/hyperlink" Target="mailto:adriana.santana@draeger.com" TargetMode="External"/><Relationship Id="rId105" Type="http://schemas.openxmlformats.org/officeDocument/2006/relationships/hyperlink" Target="mailto:rcuello@mmm.com" TargetMode="External"/><Relationship Id="rId147" Type="http://schemas.openxmlformats.org/officeDocument/2006/relationships/hyperlink" Target="mailto:topmedical@topmedical.com.co" TargetMode="External"/><Relationship Id="rId312" Type="http://schemas.openxmlformats.org/officeDocument/2006/relationships/hyperlink" Target="mailto:grentecomercial@fjsb.com.co" TargetMode="External"/><Relationship Id="rId354" Type="http://schemas.openxmlformats.org/officeDocument/2006/relationships/hyperlink" Target="mailto:doc_alejaferro@hotmail.com" TargetMode="External"/><Relationship Id="rId51" Type="http://schemas.openxmlformats.org/officeDocument/2006/relationships/hyperlink" Target="mailto:sigma.constructora@yahoo.es" TargetMode="External"/><Relationship Id="rId93" Type="http://schemas.openxmlformats.org/officeDocument/2006/relationships/hyperlink" Target="mailto:expertosingenieros@hotmail.com" TargetMode="External"/><Relationship Id="rId189" Type="http://schemas.openxmlformats.org/officeDocument/2006/relationships/hyperlink" Target="mailto:m.creare@gmail.com" TargetMode="External"/><Relationship Id="rId396" Type="http://schemas.openxmlformats.org/officeDocument/2006/relationships/hyperlink" Target="mailto:asesorjuridico@remyips.com.co" TargetMode="External"/><Relationship Id="rId214" Type="http://schemas.openxmlformats.org/officeDocument/2006/relationships/hyperlink" Target="mailto:expertosingenieros@hotmail.com" TargetMode="External"/><Relationship Id="rId256" Type="http://schemas.openxmlformats.org/officeDocument/2006/relationships/hyperlink" Target="mailto:gerencia@meqtm.com" TargetMode="External"/><Relationship Id="rId298" Type="http://schemas.openxmlformats.org/officeDocument/2006/relationships/hyperlink" Target="mailto:patriciafajardo.radiologia@gmail.com" TargetMode="External"/><Relationship Id="rId421" Type="http://schemas.openxmlformats.org/officeDocument/2006/relationships/hyperlink" Target="mailto:asistentecomercial@armocsa.com" TargetMode="External"/><Relationship Id="rId463" Type="http://schemas.openxmlformats.org/officeDocument/2006/relationships/hyperlink" Target="mailto:kabi.col.sac@fesenius-kabi.com" TargetMode="External"/><Relationship Id="rId116" Type="http://schemas.openxmlformats.org/officeDocument/2006/relationships/hyperlink" Target="mailto:ventasmedicos@impulmedicos.com" TargetMode="External"/><Relationship Id="rId158" Type="http://schemas.openxmlformats.org/officeDocument/2006/relationships/hyperlink" Target="mailto:imadx@hotmail.com" TargetMode="External"/><Relationship Id="rId323" Type="http://schemas.openxmlformats.org/officeDocument/2006/relationships/hyperlink" Target="mailto:MAURICIO.ESCOBAR@KCII.COM" TargetMode="External"/><Relationship Id="rId20" Type="http://schemas.openxmlformats.org/officeDocument/2006/relationships/hyperlink" Target="mailto:elizabeth.vega@alcon.com" TargetMode="External"/><Relationship Id="rId62" Type="http://schemas.openxmlformats.org/officeDocument/2006/relationships/hyperlink" Target="mailto:mednucbogota@gmail.com" TargetMode="External"/><Relationship Id="rId365" Type="http://schemas.openxmlformats.org/officeDocument/2006/relationships/hyperlink" Target="mailto:acardenas@medihumana.com" TargetMode="External"/><Relationship Id="rId225" Type="http://schemas.openxmlformats.org/officeDocument/2006/relationships/hyperlink" Target="mailto:cfuentes@interlabcolombia.com" TargetMode="External"/><Relationship Id="rId267" Type="http://schemas.openxmlformats.org/officeDocument/2006/relationships/hyperlink" Target="mailto:jhon.tellez@convatec.com" TargetMode="External"/><Relationship Id="rId432" Type="http://schemas.openxmlformats.org/officeDocument/2006/relationships/hyperlink" Target="mailto:licitaciones@medirexsas.com" TargetMode="External"/><Relationship Id="rId474" Type="http://schemas.openxmlformats.org/officeDocument/2006/relationships/hyperlink" Target="mailto:mmreyessr@hotmail.com" TargetMode="External"/><Relationship Id="rId127" Type="http://schemas.openxmlformats.org/officeDocument/2006/relationships/hyperlink" Target="mailto:comercial.bogota@evaluasalud.com" TargetMode="External"/><Relationship Id="rId31" Type="http://schemas.openxmlformats.org/officeDocument/2006/relationships/hyperlink" Target="mailto:ventas@annardx.com" TargetMode="External"/><Relationship Id="rId73" Type="http://schemas.openxmlformats.org/officeDocument/2006/relationships/hyperlink" Target="mailto:RINCON_ANGELA@LENTECH.COM.CO" TargetMode="External"/><Relationship Id="rId169" Type="http://schemas.openxmlformats.org/officeDocument/2006/relationships/hyperlink" Target="mailto:abasteciendo.hoy@gmail.com" TargetMode="External"/><Relationship Id="rId334" Type="http://schemas.openxmlformats.org/officeDocument/2006/relationships/hyperlink" Target="mailto:ESTEFA_MO@HOTMAIL.COM" TargetMode="External"/><Relationship Id="rId376" Type="http://schemas.openxmlformats.org/officeDocument/2006/relationships/hyperlink" Target="mailto:soportec@kaika.com.co" TargetMode="External"/><Relationship Id="rId4" Type="http://schemas.openxmlformats.org/officeDocument/2006/relationships/hyperlink" Target="mailto:phhmlegal@gmail.com" TargetMode="External"/><Relationship Id="rId180" Type="http://schemas.openxmlformats.org/officeDocument/2006/relationships/hyperlink" Target="mailto:admipa1@hotmail.com" TargetMode="External"/><Relationship Id="rId236" Type="http://schemas.openxmlformats.org/officeDocument/2006/relationships/hyperlink" Target="mailto:fvargasmalaver@gmail.com" TargetMode="External"/><Relationship Id="rId278" Type="http://schemas.openxmlformats.org/officeDocument/2006/relationships/hyperlink" Target="mailto:juancjm@yahoo.com" TargetMode="External"/><Relationship Id="rId401" Type="http://schemas.openxmlformats.org/officeDocument/2006/relationships/hyperlink" Target="mailto:licitaciones.col@bd.com" TargetMode="External"/><Relationship Id="rId443" Type="http://schemas.openxmlformats.org/officeDocument/2006/relationships/hyperlink" Target="mailto:ventas@annardx.com" TargetMode="External"/><Relationship Id="rId303" Type="http://schemas.openxmlformats.org/officeDocument/2006/relationships/hyperlink" Target="mailto:corp-med@hotmail.com" TargetMode="External"/><Relationship Id="rId485" Type="http://schemas.openxmlformats.org/officeDocument/2006/relationships/hyperlink" Target="mailto:jeimy.arciniegas@bayer.com" TargetMode="External"/><Relationship Id="rId42" Type="http://schemas.openxmlformats.org/officeDocument/2006/relationships/hyperlink" Target="mailto:im@intercomercialmedica.com" TargetMode="External"/><Relationship Id="rId84" Type="http://schemas.openxmlformats.org/officeDocument/2006/relationships/hyperlink" Target="mailto:info@dme3d.com" TargetMode="External"/><Relationship Id="rId138" Type="http://schemas.openxmlformats.org/officeDocument/2006/relationships/hyperlink" Target="mailto:ventas@sherleg.net" TargetMode="External"/><Relationship Id="rId345" Type="http://schemas.openxmlformats.org/officeDocument/2006/relationships/hyperlink" Target="mailto:napoleon_jaraba@hotmail.com" TargetMode="External"/><Relationship Id="rId387" Type="http://schemas.openxmlformats.org/officeDocument/2006/relationships/hyperlink" Target="mailto:fundarritmia@gmail.com" TargetMode="External"/><Relationship Id="rId510" Type="http://schemas.openxmlformats.org/officeDocument/2006/relationships/hyperlink" Target="mailto:contratacion@gemedco.com" TargetMode="External"/><Relationship Id="rId191" Type="http://schemas.openxmlformats.org/officeDocument/2006/relationships/hyperlink" Target="mailto:samitoca@hotmail.com" TargetMode="External"/><Relationship Id="rId205" Type="http://schemas.openxmlformats.org/officeDocument/2006/relationships/hyperlink" Target="mailto:carlosr@andreccorporation.com" TargetMode="External"/><Relationship Id="rId247" Type="http://schemas.openxmlformats.org/officeDocument/2006/relationships/hyperlink" Target="mailto:ADMINISTRACIONCOL@GUEGUEIN.COM" TargetMode="External"/><Relationship Id="rId412" Type="http://schemas.openxmlformats.org/officeDocument/2006/relationships/hyperlink" Target="mailto:contratacion@gemedco.com" TargetMode="External"/><Relationship Id="rId107" Type="http://schemas.openxmlformats.org/officeDocument/2006/relationships/hyperlink" Target="mailto:ccivinging@gmail.com" TargetMode="External"/><Relationship Id="rId289" Type="http://schemas.openxmlformats.org/officeDocument/2006/relationships/hyperlink" Target="mailto:sandrapinzon@gmail.com" TargetMode="External"/><Relationship Id="rId454" Type="http://schemas.openxmlformats.org/officeDocument/2006/relationships/hyperlink" Target="mailto:fvargasmalaver@gmail.com" TargetMode="External"/><Relationship Id="rId496" Type="http://schemas.openxmlformats.org/officeDocument/2006/relationships/hyperlink" Target="mailto:maika.ramirez@quirumedicas.com.co" TargetMode="External"/><Relationship Id="rId11" Type="http://schemas.openxmlformats.org/officeDocument/2006/relationships/hyperlink" Target="mailto:auradom@yahoo.com" TargetMode="External"/><Relationship Id="rId53" Type="http://schemas.openxmlformats.org/officeDocument/2006/relationships/hyperlink" Target="mailto:hposso@gail.com" TargetMode="External"/><Relationship Id="rId149" Type="http://schemas.openxmlformats.org/officeDocument/2006/relationships/hyperlink" Target="mailto:equiposcasablanca@gmal.com" TargetMode="External"/><Relationship Id="rId314" Type="http://schemas.openxmlformats.org/officeDocument/2006/relationships/hyperlink" Target="mailto:copr-med@hotmail.com" TargetMode="External"/><Relationship Id="rId356" Type="http://schemas.openxmlformats.org/officeDocument/2006/relationships/hyperlink" Target="mailto:LUISAFERACERO@HOTMAILCOM" TargetMode="External"/><Relationship Id="rId398" Type="http://schemas.openxmlformats.org/officeDocument/2006/relationships/hyperlink" Target="mailto:jennyaejandra.rojas@sanofi.com" TargetMode="External"/><Relationship Id="rId95" Type="http://schemas.openxmlformats.org/officeDocument/2006/relationships/hyperlink" Target="mailto:asistentecomercial1@laboratoriocolcan.co" TargetMode="External"/><Relationship Id="rId160" Type="http://schemas.openxmlformats.org/officeDocument/2006/relationships/hyperlink" Target="mailto:toyocarsltda@gmail.com" TargetMode="External"/><Relationship Id="rId216" Type="http://schemas.openxmlformats.org/officeDocument/2006/relationships/hyperlink" Target="mailto:electricos_unidos@hotmail.com" TargetMode="External"/><Relationship Id="rId423" Type="http://schemas.openxmlformats.org/officeDocument/2006/relationships/hyperlink" Target="mailto:patricia@bioplastsa.com" TargetMode="External"/><Relationship Id="rId258" Type="http://schemas.openxmlformats.org/officeDocument/2006/relationships/hyperlink" Target="mailto:info@farmapos.com" TargetMode="External"/><Relationship Id="rId465" Type="http://schemas.openxmlformats.org/officeDocument/2006/relationships/hyperlink" Target="mailto:corp-med@hotmail.com" TargetMode="External"/><Relationship Id="rId22" Type="http://schemas.openxmlformats.org/officeDocument/2006/relationships/hyperlink" Target="mailto:flor.quintero@grupoamarey.com" TargetMode="External"/><Relationship Id="rId64" Type="http://schemas.openxmlformats.org/officeDocument/2006/relationships/hyperlink" Target="mailto:samitoca@hotmail.com" TargetMode="External"/><Relationship Id="rId118" Type="http://schemas.openxmlformats.org/officeDocument/2006/relationships/hyperlink" Target="mailto:ASESOR01@SURCOMPANY.CO" TargetMode="External"/><Relationship Id="rId325" Type="http://schemas.openxmlformats.org/officeDocument/2006/relationships/hyperlink" Target="mailto:fnashos@yahoo.com" TargetMode="External"/><Relationship Id="rId367" Type="http://schemas.openxmlformats.org/officeDocument/2006/relationships/hyperlink" Target="mailto:soortec@kaika.com.co" TargetMode="External"/><Relationship Id="rId171" Type="http://schemas.openxmlformats.org/officeDocument/2006/relationships/hyperlink" Target="mailto:licitaciones@tecnicaelectromedica.com" TargetMode="External"/><Relationship Id="rId227" Type="http://schemas.openxmlformats.org/officeDocument/2006/relationships/hyperlink" Target="mailto:administracion@chaher.net" TargetMode="External"/><Relationship Id="rId269" Type="http://schemas.openxmlformats.org/officeDocument/2006/relationships/hyperlink" Target="mailto:tmmedicas@tmmedicas.com" TargetMode="External"/><Relationship Id="rId434" Type="http://schemas.openxmlformats.org/officeDocument/2006/relationships/hyperlink" Target="mailto:angelica.huertas@kci1.com" TargetMode="External"/><Relationship Id="rId476" Type="http://schemas.openxmlformats.org/officeDocument/2006/relationships/hyperlink" Target="mailto:ROGERMS.RMS@GMAIL.COM" TargetMode="External"/><Relationship Id="rId33" Type="http://schemas.openxmlformats.org/officeDocument/2006/relationships/hyperlink" Target="mailto:licitaciones@tecnicaelectromedica.com" TargetMode="External"/><Relationship Id="rId129" Type="http://schemas.openxmlformats.org/officeDocument/2006/relationships/hyperlink" Target="mailto:ruth.isneida.gaviria@medtronic.com" TargetMode="External"/><Relationship Id="rId280" Type="http://schemas.openxmlformats.org/officeDocument/2006/relationships/hyperlink" Target="mailto:SMN.COLUCIONESINTEGRALES@GMAIL.COM" TargetMode="External"/><Relationship Id="rId336" Type="http://schemas.openxmlformats.org/officeDocument/2006/relationships/hyperlink" Target="mailto:DRENGELBERT175@YAHOO.ES" TargetMode="External"/><Relationship Id="rId501" Type="http://schemas.openxmlformats.org/officeDocument/2006/relationships/hyperlink" Target="mailto:mangel@vygon.com.co" TargetMode="External"/><Relationship Id="rId75" Type="http://schemas.openxmlformats.org/officeDocument/2006/relationships/hyperlink" Target="mailto:mercadeo@grupovector.com" TargetMode="External"/><Relationship Id="rId140" Type="http://schemas.openxmlformats.org/officeDocument/2006/relationships/hyperlink" Target="mailto:licitabogota2@cobomedical.com" TargetMode="External"/><Relationship Id="rId182" Type="http://schemas.openxmlformats.org/officeDocument/2006/relationships/hyperlink" Target="mailto:VLADymd@hotmail.com" TargetMode="External"/><Relationship Id="rId378" Type="http://schemas.openxmlformats.org/officeDocument/2006/relationships/hyperlink" Target="mailto:contratacion@gemedco.com" TargetMode="External"/><Relationship Id="rId403" Type="http://schemas.openxmlformats.org/officeDocument/2006/relationships/hyperlink" Target="mailto:biocient@outlook.com" TargetMode="External"/><Relationship Id="rId6" Type="http://schemas.openxmlformats.org/officeDocument/2006/relationships/hyperlink" Target="mailto:administrativo.co@leverit.com" TargetMode="External"/><Relationship Id="rId238" Type="http://schemas.openxmlformats.org/officeDocument/2006/relationships/hyperlink" Target="mailto:milmedicalequipos@hotmail.com" TargetMode="External"/><Relationship Id="rId445" Type="http://schemas.openxmlformats.org/officeDocument/2006/relationships/hyperlink" Target="mailto:biolore@hotmail.com" TargetMode="External"/><Relationship Id="rId487" Type="http://schemas.openxmlformats.org/officeDocument/2006/relationships/hyperlink" Target="mailto:direcciongeneral1@nsanrafael.com.co" TargetMode="External"/><Relationship Id="rId291" Type="http://schemas.openxmlformats.org/officeDocument/2006/relationships/hyperlink" Target="mailto:vanessarenas@gmail.com" TargetMode="External"/><Relationship Id="rId305" Type="http://schemas.openxmlformats.org/officeDocument/2006/relationships/hyperlink" Target="mailto:progyne@gmail.com" TargetMode="External"/><Relationship Id="rId347" Type="http://schemas.openxmlformats.org/officeDocument/2006/relationships/hyperlink" Target="mailto:yuliana161@hotmail.com" TargetMode="External"/><Relationship Id="rId512" Type="http://schemas.openxmlformats.org/officeDocument/2006/relationships/hyperlink" Target="mailto:anscontractual@gmail.com" TargetMode="External"/><Relationship Id="rId44" Type="http://schemas.openxmlformats.org/officeDocument/2006/relationships/hyperlink" Target="mailto:sigma.constructora@yahoo.es" TargetMode="External"/><Relationship Id="rId86" Type="http://schemas.openxmlformats.org/officeDocument/2006/relationships/hyperlink" Target="mailto:COMERCIAL@LABLIH.NET" TargetMode="External"/><Relationship Id="rId151" Type="http://schemas.openxmlformats.org/officeDocument/2006/relationships/hyperlink" Target="mailto:administrativo@gescom.com.co" TargetMode="External"/><Relationship Id="rId389" Type="http://schemas.openxmlformats.org/officeDocument/2006/relationships/hyperlink" Target="mailto:corp-med@hotmail.com" TargetMode="External"/><Relationship Id="rId193" Type="http://schemas.openxmlformats.org/officeDocument/2006/relationships/hyperlink" Target="mailto:teylor2012@gmail.com" TargetMode="External"/><Relationship Id="rId207" Type="http://schemas.openxmlformats.org/officeDocument/2006/relationships/hyperlink" Target="mailto:heospina@davivienda.com" TargetMode="External"/><Relationship Id="rId249" Type="http://schemas.openxmlformats.org/officeDocument/2006/relationships/hyperlink" Target="mailto:pedidos@rochembiocare.com" TargetMode="External"/><Relationship Id="rId414" Type="http://schemas.openxmlformats.org/officeDocument/2006/relationships/hyperlink" Target="mailto:mateo.rodriguez@bsci.com" TargetMode="External"/><Relationship Id="rId456" Type="http://schemas.openxmlformats.org/officeDocument/2006/relationships/hyperlink" Target="mailto:ventas@labcarecolombia.com" TargetMode="External"/><Relationship Id="rId498" Type="http://schemas.openxmlformats.org/officeDocument/2006/relationships/hyperlink" Target="mailto:rcuello@mmm.com" TargetMode="External"/><Relationship Id="rId13" Type="http://schemas.openxmlformats.org/officeDocument/2006/relationships/hyperlink" Target="mailto:licitaciones.gepm@gmail.com" TargetMode="External"/><Relationship Id="rId109" Type="http://schemas.openxmlformats.org/officeDocument/2006/relationships/hyperlink" Target="mailto:HCG.LAGOS@GMAIL.COM" TargetMode="External"/><Relationship Id="rId260" Type="http://schemas.openxmlformats.org/officeDocument/2006/relationships/hyperlink" Target="mailto:flor.quintero@grupoamarey.com" TargetMode="External"/><Relationship Id="rId316" Type="http://schemas.openxmlformats.org/officeDocument/2006/relationships/hyperlink" Target="mailto:ASOCIACIONAMECRI@HOTMAIL.COM" TargetMode="External"/><Relationship Id="rId55" Type="http://schemas.openxmlformats.org/officeDocument/2006/relationships/hyperlink" Target="mailto:mguerra@idenpla.com.co" TargetMode="External"/><Relationship Id="rId97" Type="http://schemas.openxmlformats.org/officeDocument/2006/relationships/hyperlink" Target="mailto:GYC.MEDICALS@GMAIL.COM" TargetMode="External"/><Relationship Id="rId120" Type="http://schemas.openxmlformats.org/officeDocument/2006/relationships/hyperlink" Target="mailto:medzoneventas@gmail.com" TargetMode="External"/><Relationship Id="rId358" Type="http://schemas.openxmlformats.org/officeDocument/2006/relationships/hyperlink" Target="mailto:RSANCHEZ3004@YAHOO.COM" TargetMode="External"/><Relationship Id="rId162" Type="http://schemas.openxmlformats.org/officeDocument/2006/relationships/hyperlink" Target="mailto:VENTAS@HANNACOLOMBIA.COM" TargetMode="External"/><Relationship Id="rId218" Type="http://schemas.openxmlformats.org/officeDocument/2006/relationships/hyperlink" Target="mailto:cvasquez@diverquin.cm.co" TargetMode="External"/><Relationship Id="rId425" Type="http://schemas.openxmlformats.org/officeDocument/2006/relationships/hyperlink" Target="mailto:gerenciainstituciones@alfratrading.com.co" TargetMode="External"/><Relationship Id="rId467" Type="http://schemas.openxmlformats.org/officeDocument/2006/relationships/hyperlink" Target="mailto:corp-med@hotmail.com" TargetMode="External"/><Relationship Id="rId271" Type="http://schemas.openxmlformats.org/officeDocument/2006/relationships/hyperlink" Target="mailto:aalzaate@sossuministros.com" TargetMode="External"/><Relationship Id="rId24" Type="http://schemas.openxmlformats.org/officeDocument/2006/relationships/hyperlink" Target="mailto:licitaciones@lamuela.net.co" TargetMode="External"/><Relationship Id="rId66" Type="http://schemas.openxmlformats.org/officeDocument/2006/relationships/hyperlink" Target="mailto:servicioalcliente@rpmedicas.co" TargetMode="External"/><Relationship Id="rId131" Type="http://schemas.openxmlformats.org/officeDocument/2006/relationships/hyperlink" Target="mailto:mangel@vygon.com.co" TargetMode="External"/><Relationship Id="rId327" Type="http://schemas.openxmlformats.org/officeDocument/2006/relationships/hyperlink" Target="mailto:ingebombas@hotmail.com" TargetMode="External"/><Relationship Id="rId369" Type="http://schemas.openxmlformats.org/officeDocument/2006/relationships/hyperlink" Target="mailto:jomedical@jomedical.com" TargetMode="External"/><Relationship Id="rId173" Type="http://schemas.openxmlformats.org/officeDocument/2006/relationships/hyperlink" Target="mailto:jefaturaap2017@gmail.com" TargetMode="External"/><Relationship Id="rId229" Type="http://schemas.openxmlformats.org/officeDocument/2006/relationships/hyperlink" Target="mailto:servicioalcliente@rpmedicas.co" TargetMode="External"/><Relationship Id="rId380" Type="http://schemas.openxmlformats.org/officeDocument/2006/relationships/hyperlink" Target="mailto:colprocorp@hotmail.com" TargetMode="External"/><Relationship Id="rId436" Type="http://schemas.openxmlformats.org/officeDocument/2006/relationships/hyperlink" Target="mailto:gerencia@meqtm.com" TargetMode="External"/><Relationship Id="rId240" Type="http://schemas.openxmlformats.org/officeDocument/2006/relationships/hyperlink" Target="mailto:viviana.quintana@quimberlab.com.co" TargetMode="External"/><Relationship Id="rId478" Type="http://schemas.openxmlformats.org/officeDocument/2006/relationships/hyperlink" Target="mailto:dgmedina1990@gmail.com" TargetMode="External"/><Relationship Id="rId35" Type="http://schemas.openxmlformats.org/officeDocument/2006/relationships/hyperlink" Target="mailto:eliana.castro@gbarco.com.co" TargetMode="External"/><Relationship Id="rId77" Type="http://schemas.openxmlformats.org/officeDocument/2006/relationships/hyperlink" Target="mailto:informes@dcvconsultores.com" TargetMode="External"/><Relationship Id="rId100" Type="http://schemas.openxmlformats.org/officeDocument/2006/relationships/hyperlink" Target="mailto:gerencia@biotronitech.com.co" TargetMode="External"/><Relationship Id="rId282" Type="http://schemas.openxmlformats.org/officeDocument/2006/relationships/hyperlink" Target="mailto:jorge_arenas@praxair.com" TargetMode="External"/><Relationship Id="rId338" Type="http://schemas.openxmlformats.org/officeDocument/2006/relationships/hyperlink" Target="mailto:GERARDOP9004@GMAIL.COM" TargetMode="External"/><Relationship Id="rId503" Type="http://schemas.openxmlformats.org/officeDocument/2006/relationships/hyperlink" Target="mailto:licitaciones@tecnicaelectromedica.com" TargetMode="External"/><Relationship Id="rId8" Type="http://schemas.openxmlformats.org/officeDocument/2006/relationships/hyperlink" Target="mailto:comercial@syac.net.co" TargetMode="External"/><Relationship Id="rId142" Type="http://schemas.openxmlformats.org/officeDocument/2006/relationships/hyperlink" Target="mailto:licibogota2@cobomedical.com" TargetMode="External"/><Relationship Id="rId184" Type="http://schemas.openxmlformats.org/officeDocument/2006/relationships/hyperlink" Target="mailto:asistentecomercial1@laboratoriocolcan.co" TargetMode="External"/><Relationship Id="rId391" Type="http://schemas.openxmlformats.org/officeDocument/2006/relationships/hyperlink" Target="mailto:ealandete@gmail.com" TargetMode="External"/><Relationship Id="rId405" Type="http://schemas.openxmlformats.org/officeDocument/2006/relationships/hyperlink" Target="mailto:incomedicsltda@hotmail.com" TargetMode="External"/><Relationship Id="rId447" Type="http://schemas.openxmlformats.org/officeDocument/2006/relationships/hyperlink" Target="mailto:alberto.marulanda@ottobock.com.co" TargetMode="External"/><Relationship Id="rId251" Type="http://schemas.openxmlformats.org/officeDocument/2006/relationships/hyperlink" Target="mailto:eliana.castro@gbarco.com.co" TargetMode="External"/><Relationship Id="rId489" Type="http://schemas.openxmlformats.org/officeDocument/2006/relationships/hyperlink" Target="mailto:ventasmedicos@impulmedicos.com" TargetMode="External"/><Relationship Id="rId46" Type="http://schemas.openxmlformats.org/officeDocument/2006/relationships/hyperlink" Target="mailto:funecomayorh@hotmail.com" TargetMode="External"/><Relationship Id="rId293" Type="http://schemas.openxmlformats.org/officeDocument/2006/relationships/hyperlink" Target="mailto:orlayfernando@hotmail.com" TargetMode="External"/><Relationship Id="rId307" Type="http://schemas.openxmlformats.org/officeDocument/2006/relationships/hyperlink" Target="mailto:buhoseguridadltda@hotmail.com" TargetMode="External"/><Relationship Id="rId349" Type="http://schemas.openxmlformats.org/officeDocument/2006/relationships/hyperlink" Target="mailto:ELIASRUEDA87@HOTMAIL.COM" TargetMode="External"/><Relationship Id="rId514" Type="http://schemas.openxmlformats.org/officeDocument/2006/relationships/hyperlink" Target="http://www.e-deanetwor.com/" TargetMode="External"/><Relationship Id="rId88" Type="http://schemas.openxmlformats.org/officeDocument/2006/relationships/hyperlink" Target="mailto:MEGAOBRAS.SAS@GMAIL.COM" TargetMode="External"/><Relationship Id="rId111" Type="http://schemas.openxmlformats.org/officeDocument/2006/relationships/hyperlink" Target="mailto:HCG.LAGOS@GMAIL.COM" TargetMode="External"/><Relationship Id="rId153" Type="http://schemas.openxmlformats.org/officeDocument/2006/relationships/hyperlink" Target="mailto:aslicitacion2@lminstruments.com.co" TargetMode="External"/><Relationship Id="rId195" Type="http://schemas.openxmlformats.org/officeDocument/2006/relationships/hyperlink" Target="mailto:paola.baez@medinistros.com" TargetMode="External"/><Relationship Id="rId209" Type="http://schemas.openxmlformats.org/officeDocument/2006/relationships/hyperlink" Target="mailto:jolivares@comsistelco.com" TargetMode="External"/><Relationship Id="rId360" Type="http://schemas.openxmlformats.org/officeDocument/2006/relationships/hyperlink" Target="mailto:copr-med@hotmail.com" TargetMode="External"/><Relationship Id="rId416" Type="http://schemas.openxmlformats.org/officeDocument/2006/relationships/hyperlink" Target="mailto:elina.castro@gbarco.com.co" TargetMode="External"/><Relationship Id="rId220" Type="http://schemas.openxmlformats.org/officeDocument/2006/relationships/hyperlink" Target="mailto:patricia@bioplastsa.com" TargetMode="External"/><Relationship Id="rId458" Type="http://schemas.openxmlformats.org/officeDocument/2006/relationships/hyperlink" Target="mailto:MAROSEARCHLTDA@YAHOO.COM" TargetMode="External"/><Relationship Id="rId15" Type="http://schemas.openxmlformats.org/officeDocument/2006/relationships/hyperlink" Target="mailto:ruth.isnelda.gaviria@medtronic.com" TargetMode="External"/><Relationship Id="rId57" Type="http://schemas.openxmlformats.org/officeDocument/2006/relationships/hyperlink" Target="mailto:info@sabeberes.com" TargetMode="External"/><Relationship Id="rId262" Type="http://schemas.openxmlformats.org/officeDocument/2006/relationships/hyperlink" Target="mailto:licitaciones.col@bd.com" TargetMode="External"/><Relationship Id="rId318" Type="http://schemas.openxmlformats.org/officeDocument/2006/relationships/hyperlink" Target="mailto:jorgecanon@pharmeuropea.com" TargetMode="External"/><Relationship Id="rId99" Type="http://schemas.openxmlformats.org/officeDocument/2006/relationships/hyperlink" Target="mailto:jhon.espinosa@idime.comco" TargetMode="External"/><Relationship Id="rId122" Type="http://schemas.openxmlformats.org/officeDocument/2006/relationships/hyperlink" Target="mailto:comercial@ganadosycondecoraciones.com" TargetMode="External"/><Relationship Id="rId164" Type="http://schemas.openxmlformats.org/officeDocument/2006/relationships/hyperlink" Target="mailto:nubiaurrego@phameuropea.com.co" TargetMode="External"/><Relationship Id="rId371" Type="http://schemas.openxmlformats.org/officeDocument/2006/relationships/hyperlink" Target="mailto:ruth.isnlda.gaviria@medtronic.com" TargetMode="External"/><Relationship Id="rId427" Type="http://schemas.openxmlformats.org/officeDocument/2006/relationships/hyperlink" Target="mailto:comercial@mmequiposmedicos.com.co" TargetMode="External"/><Relationship Id="rId469" Type="http://schemas.openxmlformats.org/officeDocument/2006/relationships/hyperlink" Target="mailto:gerenciacontractuallegal@gmail.com" TargetMode="External"/><Relationship Id="rId26" Type="http://schemas.openxmlformats.org/officeDocument/2006/relationships/hyperlink" Target="mailto:smn.solucionesintegrales@gmail.com" TargetMode="External"/><Relationship Id="rId231" Type="http://schemas.openxmlformats.org/officeDocument/2006/relationships/hyperlink" Target="mailto:info@radproctltda.com" TargetMode="External"/><Relationship Id="rId273" Type="http://schemas.openxmlformats.org/officeDocument/2006/relationships/hyperlink" Target="mailto:COMERCIAL1@LBLIH.NET" TargetMode="External"/><Relationship Id="rId329" Type="http://schemas.openxmlformats.org/officeDocument/2006/relationships/hyperlink" Target="mailto:expertosingenieros@hotmail.com" TargetMode="External"/><Relationship Id="rId480" Type="http://schemas.openxmlformats.org/officeDocument/2006/relationships/hyperlink" Target="mailto:pablomd88@hotmail.com" TargetMode="External"/><Relationship Id="rId68" Type="http://schemas.openxmlformats.org/officeDocument/2006/relationships/hyperlink" Target="mailto:cuentas.gobierno@covidien.com" TargetMode="External"/><Relationship Id="rId133" Type="http://schemas.openxmlformats.org/officeDocument/2006/relationships/hyperlink" Target="mailto:seccomercial@wordmedical.com.co" TargetMode="External"/><Relationship Id="rId175" Type="http://schemas.openxmlformats.org/officeDocument/2006/relationships/hyperlink" Target="mailto:gasuarez01@uniandes.edu.co" TargetMode="External"/><Relationship Id="rId340" Type="http://schemas.openxmlformats.org/officeDocument/2006/relationships/hyperlink" Target="mailto:ANDRESFS34@HOTMAIL.COM" TargetMode="External"/><Relationship Id="rId200" Type="http://schemas.openxmlformats.org/officeDocument/2006/relationships/hyperlink" Target="mailto:licitaciones.gemlsa@gmail.com" TargetMode="External"/><Relationship Id="rId382" Type="http://schemas.openxmlformats.org/officeDocument/2006/relationships/hyperlink" Target="mailto:cardiolatidosas@gmail.com" TargetMode="External"/><Relationship Id="rId438" Type="http://schemas.openxmlformats.org/officeDocument/2006/relationships/hyperlink" Target="mailto:mednucbogota@gmail.com" TargetMode="External"/><Relationship Id="rId242" Type="http://schemas.openxmlformats.org/officeDocument/2006/relationships/hyperlink" Target="mailto:oylopez@idcbis.org.co" TargetMode="External"/><Relationship Id="rId284" Type="http://schemas.openxmlformats.org/officeDocument/2006/relationships/hyperlink" Target="mailto:licitaciones@orbidental.com" TargetMode="External"/><Relationship Id="rId491" Type="http://schemas.openxmlformats.org/officeDocument/2006/relationships/hyperlink" Target="mailto:nubia.martinez@biomerieux.com" TargetMode="External"/><Relationship Id="rId505" Type="http://schemas.openxmlformats.org/officeDocument/2006/relationships/hyperlink" Target="mailto:biolore@hotmail.com" TargetMode="External"/><Relationship Id="rId37" Type="http://schemas.openxmlformats.org/officeDocument/2006/relationships/hyperlink" Target="mailto:alejandro@clreryla.com" TargetMode="External"/><Relationship Id="rId79" Type="http://schemas.openxmlformats.org/officeDocument/2006/relationships/hyperlink" Target="mailto:inrid.rangel@bbraun.com" TargetMode="External"/><Relationship Id="rId102" Type="http://schemas.openxmlformats.org/officeDocument/2006/relationships/hyperlink" Target="mailto:expertosingeniero@hotmail.com" TargetMode="External"/><Relationship Id="rId144" Type="http://schemas.openxmlformats.org/officeDocument/2006/relationships/hyperlink" Target="mailto:elizabeth.vega@alcon.com" TargetMode="External"/><Relationship Id="rId90" Type="http://schemas.openxmlformats.org/officeDocument/2006/relationships/hyperlink" Target="mailto:formarchivos10@hotmail.com" TargetMode="External"/><Relationship Id="rId186" Type="http://schemas.openxmlformats.org/officeDocument/2006/relationships/hyperlink" Target="mailto:maritza.castro@equiphos.com" TargetMode="External"/><Relationship Id="rId351" Type="http://schemas.openxmlformats.org/officeDocument/2006/relationships/hyperlink" Target="mailto:BARON_SANCHEZ@HOTMAIL.COM" TargetMode="External"/><Relationship Id="rId393" Type="http://schemas.openxmlformats.org/officeDocument/2006/relationships/hyperlink" Target="mailto:gerencia@comci.com.co" TargetMode="External"/><Relationship Id="rId407" Type="http://schemas.openxmlformats.org/officeDocument/2006/relationships/hyperlink" Target="mailto:rcuello@mmm.com" TargetMode="External"/><Relationship Id="rId449" Type="http://schemas.openxmlformats.org/officeDocument/2006/relationships/hyperlink" Target="mailto:servidiagnostics@gmail.com" TargetMode="External"/><Relationship Id="rId211" Type="http://schemas.openxmlformats.org/officeDocument/2006/relationships/hyperlink" Target="mailto:gastromedics@hotmail.com" TargetMode="External"/><Relationship Id="rId253" Type="http://schemas.openxmlformats.org/officeDocument/2006/relationships/hyperlink" Target="mailto:gerencia@brasmedica.com" TargetMode="External"/><Relationship Id="rId295" Type="http://schemas.openxmlformats.org/officeDocument/2006/relationships/hyperlink" Target="mailto:giovabril@yahoo.com" TargetMode="External"/><Relationship Id="rId309" Type="http://schemas.openxmlformats.org/officeDocument/2006/relationships/hyperlink" Target="mailto:medirhbcolsa@gmail.com" TargetMode="External"/><Relationship Id="rId460" Type="http://schemas.openxmlformats.org/officeDocument/2006/relationships/hyperlink" Target="mailto:CIRUGESP.LTDA@YAHOO.ES" TargetMode="External"/><Relationship Id="rId516" Type="http://schemas.openxmlformats.org/officeDocument/2006/relationships/printerSettings" Target="../printerSettings/printerSettings1.bin"/><Relationship Id="rId48" Type="http://schemas.openxmlformats.org/officeDocument/2006/relationships/hyperlink" Target="mailto:proyectos@proxelcolombia.com" TargetMode="External"/><Relationship Id="rId113" Type="http://schemas.openxmlformats.org/officeDocument/2006/relationships/hyperlink" Target="mailto:gerencia@tecnotronix.com.co" TargetMode="External"/><Relationship Id="rId320" Type="http://schemas.openxmlformats.org/officeDocument/2006/relationships/hyperlink" Target="mailto:gcmaria@lifesumimed.com" TargetMode="External"/><Relationship Id="rId155" Type="http://schemas.openxmlformats.org/officeDocument/2006/relationships/hyperlink" Target="mailto:seccomercial@wordmedical.com.co" TargetMode="External"/><Relationship Id="rId197" Type="http://schemas.openxmlformats.org/officeDocument/2006/relationships/hyperlink" Target="mailto:ats.technological@gmail.com" TargetMode="External"/><Relationship Id="rId362" Type="http://schemas.openxmlformats.org/officeDocument/2006/relationships/hyperlink" Target="mailto:contab@topmedical.com.co" TargetMode="External"/><Relationship Id="rId418" Type="http://schemas.openxmlformats.org/officeDocument/2006/relationships/hyperlink" Target="mailto:corporativo@tmmedicas.com" TargetMode="External"/><Relationship Id="rId222" Type="http://schemas.openxmlformats.org/officeDocument/2006/relationships/hyperlink" Target="mailto:ventas@cardioinsumos.com" TargetMode="External"/><Relationship Id="rId264" Type="http://schemas.openxmlformats.org/officeDocument/2006/relationships/hyperlink" Target="mailto:biocol@outlook.com" TargetMode="External"/><Relationship Id="rId471" Type="http://schemas.openxmlformats.org/officeDocument/2006/relationships/hyperlink" Target="mailto:cverdiguer@quirurgicosltda.com" TargetMode="External"/><Relationship Id="rId17" Type="http://schemas.openxmlformats.org/officeDocument/2006/relationships/hyperlink" Target="mailto:abcgerencia.proyectos@gmail.com" TargetMode="External"/><Relationship Id="rId59" Type="http://schemas.openxmlformats.org/officeDocument/2006/relationships/hyperlink" Target="mailto:ventas1@supliaereos.com" TargetMode="External"/><Relationship Id="rId124" Type="http://schemas.openxmlformats.org/officeDocument/2006/relationships/hyperlink" Target="mailto:cverdiguer@quirurgicosltda.com" TargetMode="External"/><Relationship Id="rId70" Type="http://schemas.openxmlformats.org/officeDocument/2006/relationships/hyperlink" Target="mailto:kioskodelsoldado@gmail.com" TargetMode="External"/><Relationship Id="rId166" Type="http://schemas.openxmlformats.org/officeDocument/2006/relationships/hyperlink" Target="mailto:cotizaciones@lainstrumentadora.com" TargetMode="External"/><Relationship Id="rId331" Type="http://schemas.openxmlformats.org/officeDocument/2006/relationships/hyperlink" Target="mailto:SANTOSGONGORA@YAHOO.COM" TargetMode="External"/><Relationship Id="rId373" Type="http://schemas.openxmlformats.org/officeDocument/2006/relationships/hyperlink" Target="mailto:ventas@terapialeon.com" TargetMode="External"/><Relationship Id="rId429" Type="http://schemas.openxmlformats.org/officeDocument/2006/relationships/hyperlink" Target="mailto:comercial@bioclinicos.com" TargetMode="External"/><Relationship Id="rId1" Type="http://schemas.openxmlformats.org/officeDocument/2006/relationships/hyperlink" Target="mailto:finanaciera@pensemos.com" TargetMode="External"/><Relationship Id="rId233" Type="http://schemas.openxmlformats.org/officeDocument/2006/relationships/hyperlink" Target="mailto:jhon.tellez@convatec.com" TargetMode="External"/><Relationship Id="rId440" Type="http://schemas.openxmlformats.org/officeDocument/2006/relationships/hyperlink" Target="mailto:mauricio.arango@merck.com" TargetMode="External"/><Relationship Id="rId28" Type="http://schemas.openxmlformats.org/officeDocument/2006/relationships/hyperlink" Target="mailto:administrativo@fisiomedica.com" TargetMode="External"/><Relationship Id="rId275" Type="http://schemas.openxmlformats.org/officeDocument/2006/relationships/hyperlink" Target="mailto:veyalthigroup@yahoo.com" TargetMode="External"/><Relationship Id="rId300" Type="http://schemas.openxmlformats.org/officeDocument/2006/relationships/hyperlink" Target="mailto:marcolcharry@gmail.com" TargetMode="External"/><Relationship Id="rId482" Type="http://schemas.openxmlformats.org/officeDocument/2006/relationships/hyperlink" Target="mailto:maya0416@hotmail.com" TargetMode="External"/><Relationship Id="rId81" Type="http://schemas.openxmlformats.org/officeDocument/2006/relationships/hyperlink" Target="mailto:cfigueroa@restrepo%20comercial.com" TargetMode="External"/><Relationship Id="rId135" Type="http://schemas.openxmlformats.org/officeDocument/2006/relationships/hyperlink" Target="mailto:diana.rubio@siemens-healthineers.com" TargetMode="External"/><Relationship Id="rId177" Type="http://schemas.openxmlformats.org/officeDocument/2006/relationships/hyperlink" Target="mailto:helpensas@gmail.com" TargetMode="External"/><Relationship Id="rId342" Type="http://schemas.openxmlformats.org/officeDocument/2006/relationships/hyperlink" Target="mailto:XAVIER2390@HOTMAIL.COM" TargetMode="External"/><Relationship Id="rId384" Type="http://schemas.openxmlformats.org/officeDocument/2006/relationships/hyperlink" Target="mailto:proyectos@cscltda.com" TargetMode="External"/><Relationship Id="rId202" Type="http://schemas.openxmlformats.org/officeDocument/2006/relationships/hyperlink" Target="mailto:angelalopez106@msm.com" TargetMode="External"/><Relationship Id="rId244" Type="http://schemas.openxmlformats.org/officeDocument/2006/relationships/hyperlink" Target="mailto:elizabeth.vega@alcon.com" TargetMode="External"/><Relationship Id="rId39" Type="http://schemas.openxmlformats.org/officeDocument/2006/relationships/hyperlink" Target="mailto:corporativo@hbdsupplier.com" TargetMode="External"/><Relationship Id="rId286" Type="http://schemas.openxmlformats.org/officeDocument/2006/relationships/hyperlink" Target="mailto:comercial@labtronics.net" TargetMode="External"/><Relationship Id="rId451" Type="http://schemas.openxmlformats.org/officeDocument/2006/relationships/hyperlink" Target="mailto:angelayadira12@hotmail.com" TargetMode="External"/><Relationship Id="rId493" Type="http://schemas.openxmlformats.org/officeDocument/2006/relationships/hyperlink" Target="mailto:stockph@outlook.com" TargetMode="External"/><Relationship Id="rId507" Type="http://schemas.openxmlformats.org/officeDocument/2006/relationships/hyperlink" Target="mailto:aslicitacion2@lminstruments.com.co" TargetMode="External"/><Relationship Id="rId50" Type="http://schemas.openxmlformats.org/officeDocument/2006/relationships/hyperlink" Target="mailto:INFO@MARWA.COM.CO" TargetMode="External"/><Relationship Id="rId104" Type="http://schemas.openxmlformats.org/officeDocument/2006/relationships/hyperlink" Target="mailto:veyalthigroup@yahoo.com" TargetMode="External"/><Relationship Id="rId146" Type="http://schemas.openxmlformats.org/officeDocument/2006/relationships/hyperlink" Target="mailto:administracion@corporacionsindromededown.org" TargetMode="External"/><Relationship Id="rId188" Type="http://schemas.openxmlformats.org/officeDocument/2006/relationships/hyperlink" Target="mailto:licitaciones@colchonesprodescanso.com" TargetMode="External"/><Relationship Id="rId311" Type="http://schemas.openxmlformats.org/officeDocument/2006/relationships/hyperlink" Target="mailto:director@biosciencessas.com" TargetMode="External"/><Relationship Id="rId353" Type="http://schemas.openxmlformats.org/officeDocument/2006/relationships/hyperlink" Target="mailto:WALTHERCELIS@GMAIL.COM" TargetMode="External"/><Relationship Id="rId395" Type="http://schemas.openxmlformats.org/officeDocument/2006/relationships/hyperlink" Target="mailto:stockph@outlook.com" TargetMode="External"/><Relationship Id="rId409" Type="http://schemas.openxmlformats.org/officeDocument/2006/relationships/hyperlink" Target="mailto:gerencia@artiumsalud.com" TargetMode="External"/><Relationship Id="rId92" Type="http://schemas.openxmlformats.org/officeDocument/2006/relationships/hyperlink" Target="mailto:construccity@gmail.com" TargetMode="External"/><Relationship Id="rId213" Type="http://schemas.openxmlformats.org/officeDocument/2006/relationships/hyperlink" Target="mailto:liliana.ramirez@milmedical.net" TargetMode="External"/><Relationship Id="rId420" Type="http://schemas.openxmlformats.org/officeDocument/2006/relationships/hyperlink" Target="mailto:gustavo.rodriguez@wlorenz.com.co" TargetMode="External"/><Relationship Id="rId255" Type="http://schemas.openxmlformats.org/officeDocument/2006/relationships/hyperlink" Target="mailto:luisnieto@nietochalela.com" TargetMode="External"/><Relationship Id="rId297" Type="http://schemas.openxmlformats.org/officeDocument/2006/relationships/hyperlink" Target="mailto:eulerperez@gmail.com" TargetMode="External"/><Relationship Id="rId462" Type="http://schemas.openxmlformats.org/officeDocument/2006/relationships/hyperlink" Target="mailto:gerencia@oftalmocenter.com.co" TargetMode="External"/><Relationship Id="rId115" Type="http://schemas.openxmlformats.org/officeDocument/2006/relationships/hyperlink" Target="mailto:patricia@bioplastsa.com" TargetMode="External"/><Relationship Id="rId157" Type="http://schemas.openxmlformats.org/officeDocument/2006/relationships/hyperlink" Target="mailto:ats.technological@gmail.com" TargetMode="External"/><Relationship Id="rId322" Type="http://schemas.openxmlformats.org/officeDocument/2006/relationships/hyperlink" Target="http://www.sherleg.com/" TargetMode="External"/><Relationship Id="rId364" Type="http://schemas.openxmlformats.org/officeDocument/2006/relationships/hyperlink" Target="mailto:corp-med@hotmail.com" TargetMode="External"/><Relationship Id="rId61" Type="http://schemas.openxmlformats.org/officeDocument/2006/relationships/hyperlink" Target="mailto:ventas@its-medical.com" TargetMode="External"/><Relationship Id="rId199" Type="http://schemas.openxmlformats.org/officeDocument/2006/relationships/hyperlink" Target="mailto:corporativo@hbdsupplier.com" TargetMode="External"/><Relationship Id="rId19" Type="http://schemas.openxmlformats.org/officeDocument/2006/relationships/hyperlink" Target="mailto:ruth.isnelda.gaviria@medtronic.com" TargetMode="External"/><Relationship Id="rId224" Type="http://schemas.openxmlformats.org/officeDocument/2006/relationships/hyperlink" Target="mailto:bmarser.mb@gmail.com" TargetMode="External"/><Relationship Id="rId266" Type="http://schemas.openxmlformats.org/officeDocument/2006/relationships/hyperlink" Target="mailto:richard.sanchez@datar.com.co" TargetMode="External"/><Relationship Id="rId431" Type="http://schemas.openxmlformats.org/officeDocument/2006/relationships/hyperlink" Target="mailto:licitaciones@tecnicaelectromedica.com" TargetMode="External"/><Relationship Id="rId473" Type="http://schemas.openxmlformats.org/officeDocument/2006/relationships/hyperlink" Target="mailto:caromorad@gmail.com" TargetMode="External"/><Relationship Id="rId30" Type="http://schemas.openxmlformats.org/officeDocument/2006/relationships/hyperlink" Target="mailto:nortega@labgothaplast.com.co" TargetMode="External"/><Relationship Id="rId126" Type="http://schemas.openxmlformats.org/officeDocument/2006/relationships/hyperlink" Target="mailto:martha.jimenez@secvideo.com.co" TargetMode="External"/><Relationship Id="rId168" Type="http://schemas.openxmlformats.org/officeDocument/2006/relationships/hyperlink" Target="mailto:servicios@ecoentorno.com" TargetMode="External"/><Relationship Id="rId333" Type="http://schemas.openxmlformats.org/officeDocument/2006/relationships/hyperlink" Target="mailto:CARRARMI@HOTMAIL.COM" TargetMode="External"/><Relationship Id="rId72" Type="http://schemas.openxmlformats.org/officeDocument/2006/relationships/hyperlink" Target="mailto:nestorfro@hotmail.com" TargetMode="External"/><Relationship Id="rId375" Type="http://schemas.openxmlformats.org/officeDocument/2006/relationships/hyperlink" Target="mailto:elina.castro@gbarco.com.co" TargetMode="External"/><Relationship Id="rId3" Type="http://schemas.openxmlformats.org/officeDocument/2006/relationships/hyperlink" Target="mailto:carroyave69@gmail.com" TargetMode="External"/><Relationship Id="rId235" Type="http://schemas.openxmlformats.org/officeDocument/2006/relationships/hyperlink" Target="mailto:im@intercomercialmedica.com" TargetMode="External"/><Relationship Id="rId277" Type="http://schemas.openxmlformats.org/officeDocument/2006/relationships/hyperlink" Target="mailto:soporte@tecno.net.co" TargetMode="External"/><Relationship Id="rId400" Type="http://schemas.openxmlformats.org/officeDocument/2006/relationships/hyperlink" Target="mailto:ccardozo@biopasgroup.com" TargetMode="External"/><Relationship Id="rId442" Type="http://schemas.openxmlformats.org/officeDocument/2006/relationships/hyperlink" Target="mailto:viviana.quintana@quimberlab.com.co" TargetMode="External"/><Relationship Id="rId484" Type="http://schemas.openxmlformats.org/officeDocument/2006/relationships/hyperlink" Target="mailto:gerencia@elite.com.co" TargetMode="External"/><Relationship Id="rId137" Type="http://schemas.openxmlformats.org/officeDocument/2006/relationships/hyperlink" Target="mailto:gerencia@biotronitech.com.co" TargetMode="External"/><Relationship Id="rId302" Type="http://schemas.openxmlformats.org/officeDocument/2006/relationships/hyperlink" Target="mailto:VICTOR.RAMOS@COLSUBSIDIO.COM" TargetMode="External"/><Relationship Id="rId344" Type="http://schemas.openxmlformats.org/officeDocument/2006/relationships/hyperlink" Target="mailto:miguel.ladino@uptc.edu.co" TargetMode="External"/><Relationship Id="rId41" Type="http://schemas.openxmlformats.org/officeDocument/2006/relationships/hyperlink" Target="mailto:ordenesysuministros@outlook.com" TargetMode="External"/><Relationship Id="rId83" Type="http://schemas.openxmlformats.org/officeDocument/2006/relationships/hyperlink" Target="mailto:info@implantesyconexiones.com" TargetMode="External"/><Relationship Id="rId179" Type="http://schemas.openxmlformats.org/officeDocument/2006/relationships/hyperlink" Target="mailto:lasofiva@yahoo.com.ar" TargetMode="External"/><Relationship Id="rId386" Type="http://schemas.openxmlformats.org/officeDocument/2006/relationships/hyperlink" Target="mailto:rgueva01@amgem.com" TargetMode="External"/><Relationship Id="rId190" Type="http://schemas.openxmlformats.org/officeDocument/2006/relationships/hyperlink" Target="mailto:MACROSEARCHLTDA.VENTAS@YAHOO.COM" TargetMode="External"/><Relationship Id="rId204" Type="http://schemas.openxmlformats.org/officeDocument/2006/relationships/hyperlink" Target="mailto:maritza.castro@equiphos.com" TargetMode="External"/><Relationship Id="rId246" Type="http://schemas.openxmlformats.org/officeDocument/2006/relationships/hyperlink" Target="mailto:comercial@districlinicos.com" TargetMode="External"/><Relationship Id="rId288" Type="http://schemas.openxmlformats.org/officeDocument/2006/relationships/hyperlink" Target="mailto:samitoca@hotmail.com" TargetMode="External"/><Relationship Id="rId411" Type="http://schemas.openxmlformats.org/officeDocument/2006/relationships/hyperlink" Target="mailto:aslicitacion2@lminstruments.com.co" TargetMode="External"/><Relationship Id="rId453" Type="http://schemas.openxmlformats.org/officeDocument/2006/relationships/hyperlink" Target="mailto:coordinacion@licitarasesorias.com" TargetMode="External"/><Relationship Id="rId509" Type="http://schemas.openxmlformats.org/officeDocument/2006/relationships/hyperlink" Target="mailto:anabel.gutierrez@bms.com" TargetMode="External"/><Relationship Id="rId106" Type="http://schemas.openxmlformats.org/officeDocument/2006/relationships/hyperlink" Target="mailto:carlos.duran@lifsumimed.com" TargetMode="External"/><Relationship Id="rId313" Type="http://schemas.openxmlformats.org/officeDocument/2006/relationships/hyperlink" Target="mailto:asceca@hotmail.com" TargetMode="External"/><Relationship Id="rId495" Type="http://schemas.openxmlformats.org/officeDocument/2006/relationships/hyperlink" Target="mailto:gerenciainstituciones@alfratrading.com.co" TargetMode="External"/><Relationship Id="rId10" Type="http://schemas.openxmlformats.org/officeDocument/2006/relationships/hyperlink" Target="mailto:eigonzalezr@unal.edu.co" TargetMode="External"/><Relationship Id="rId52" Type="http://schemas.openxmlformats.org/officeDocument/2006/relationships/hyperlink" Target="mailto:cataguzmancirugiaplastica@yahoo.com" TargetMode="External"/><Relationship Id="rId94" Type="http://schemas.openxmlformats.org/officeDocument/2006/relationships/hyperlink" Target="mailto:lernicordero@controdoc.com.co" TargetMode="External"/><Relationship Id="rId148" Type="http://schemas.openxmlformats.org/officeDocument/2006/relationships/hyperlink" Target="mailto:administracion@radioterapiaoncologiamarly.com" TargetMode="External"/><Relationship Id="rId355" Type="http://schemas.openxmlformats.org/officeDocument/2006/relationships/hyperlink" Target="mailto:vivi.osorio.vargas@gmail.com" TargetMode="External"/><Relationship Id="rId397" Type="http://schemas.openxmlformats.org/officeDocument/2006/relationships/hyperlink" Target="mailto:forpo@forpo.gov.co" TargetMode="External"/><Relationship Id="rId215" Type="http://schemas.openxmlformats.org/officeDocument/2006/relationships/hyperlink" Target="mailto:comercial@equitronic.com.co" TargetMode="External"/><Relationship Id="rId257" Type="http://schemas.openxmlformats.org/officeDocument/2006/relationships/hyperlink" Target="mailto:smn.solucionesintegrales@gmail.com" TargetMode="External"/><Relationship Id="rId422" Type="http://schemas.openxmlformats.org/officeDocument/2006/relationships/hyperlink" Target="mailto:diana.rubio@siemens-healthineers.com" TargetMode="External"/><Relationship Id="rId464" Type="http://schemas.openxmlformats.org/officeDocument/2006/relationships/hyperlink" Target="mailto:COR-MED@HOTMAIL.com" TargetMode="External"/><Relationship Id="rId299" Type="http://schemas.openxmlformats.org/officeDocument/2006/relationships/hyperlink" Target="mailto:gydnea@yaho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C527"/>
  <sheetViews>
    <sheetView tabSelected="1" zoomScaleNormal="100" workbookViewId="0">
      <pane xSplit="1" ySplit="2" topLeftCell="B3" activePane="bottomRight" state="frozen"/>
      <selection pane="topRight" activeCell="B1" sqref="B1"/>
      <selection pane="bottomLeft" activeCell="A3" sqref="A3"/>
      <selection pane="bottomRight" activeCell="N323" sqref="N323"/>
    </sheetView>
  </sheetViews>
  <sheetFormatPr baseColWidth="10" defaultRowHeight="12.75" x14ac:dyDescent="0.2"/>
  <cols>
    <col min="1" max="1" width="11.42578125" style="1"/>
    <col min="2" max="2" width="32.28515625" style="1" customWidth="1"/>
    <col min="3" max="3" width="44.7109375" style="1" customWidth="1"/>
    <col min="4" max="4" width="15.85546875" style="1" hidden="1" customWidth="1"/>
    <col min="5" max="6" width="15.28515625" style="1" hidden="1" customWidth="1"/>
    <col min="7" max="7" width="18.85546875" style="1" hidden="1" customWidth="1"/>
    <col min="8" max="8" width="17.5703125" style="1" customWidth="1"/>
    <col min="9" max="9" width="17.140625" style="1" customWidth="1"/>
    <col min="10" max="11" width="16.5703125" style="1" customWidth="1"/>
    <col min="12" max="13" width="15.7109375" style="1" customWidth="1"/>
    <col min="14" max="14" width="13.5703125" style="1" customWidth="1"/>
    <col min="15" max="15" width="13" style="1" customWidth="1"/>
    <col min="16" max="16" width="28" style="1" customWidth="1"/>
    <col min="17" max="17" width="18.42578125" style="1" customWidth="1"/>
    <col min="18" max="18" width="25.42578125" style="1" customWidth="1"/>
    <col min="19" max="19" width="17.5703125" style="1" customWidth="1"/>
    <col min="20" max="20" width="22" style="1" customWidth="1"/>
    <col min="21" max="21" width="18.140625" style="1" customWidth="1"/>
    <col min="22" max="22" width="22.5703125" style="1" customWidth="1"/>
    <col min="23" max="23" width="16.5703125" style="1" customWidth="1"/>
    <col min="24" max="16384" width="11.42578125" style="1"/>
  </cols>
  <sheetData>
    <row r="1" spans="1:23" s="84" customFormat="1" ht="13.5" customHeight="1" thickBot="1" x14ac:dyDescent="0.25">
      <c r="A1" s="99" t="s">
        <v>3073</v>
      </c>
      <c r="B1" s="96" t="s">
        <v>0</v>
      </c>
      <c r="C1" s="99" t="s">
        <v>1</v>
      </c>
      <c r="D1" s="102" t="s">
        <v>2</v>
      </c>
      <c r="E1" s="102"/>
      <c r="F1" s="103"/>
      <c r="G1" s="104"/>
      <c r="H1" s="105"/>
      <c r="I1" s="105"/>
      <c r="J1" s="105"/>
      <c r="K1" s="105"/>
      <c r="L1" s="105"/>
      <c r="M1" s="95"/>
      <c r="N1" s="97" t="s">
        <v>3</v>
      </c>
      <c r="O1" s="98"/>
      <c r="P1" s="96" t="s">
        <v>4</v>
      </c>
      <c r="Q1" s="99" t="s">
        <v>5</v>
      </c>
      <c r="R1" s="106" t="s">
        <v>6</v>
      </c>
      <c r="S1" s="107"/>
      <c r="T1" s="107"/>
      <c r="U1" s="107"/>
      <c r="V1" s="107"/>
      <c r="W1" s="107"/>
    </row>
    <row r="2" spans="1:23" s="84" customFormat="1" ht="92.25" customHeight="1" thickBot="1" x14ac:dyDescent="0.25">
      <c r="A2" s="100"/>
      <c r="B2" s="101"/>
      <c r="C2" s="100"/>
      <c r="D2" s="85" t="s">
        <v>3359</v>
      </c>
      <c r="E2" s="92" t="s">
        <v>3374</v>
      </c>
      <c r="F2" s="86" t="s">
        <v>3373</v>
      </c>
      <c r="G2" s="87" t="s">
        <v>7</v>
      </c>
      <c r="H2" s="88" t="s">
        <v>8</v>
      </c>
      <c r="I2" s="88" t="s">
        <v>9</v>
      </c>
      <c r="J2" s="88" t="s">
        <v>10</v>
      </c>
      <c r="K2" s="88" t="s">
        <v>11</v>
      </c>
      <c r="L2" s="88" t="s">
        <v>12</v>
      </c>
      <c r="M2" s="88" t="s">
        <v>3394</v>
      </c>
      <c r="N2" s="89" t="s">
        <v>13</v>
      </c>
      <c r="O2" s="89" t="s">
        <v>14</v>
      </c>
      <c r="P2" s="101"/>
      <c r="Q2" s="100"/>
      <c r="R2" s="90" t="s">
        <v>15</v>
      </c>
      <c r="S2" s="90" t="s">
        <v>16</v>
      </c>
      <c r="T2" s="90" t="s">
        <v>17</v>
      </c>
      <c r="U2" s="90" t="s">
        <v>18</v>
      </c>
      <c r="V2" s="90" t="s">
        <v>19</v>
      </c>
      <c r="W2" s="90" t="s">
        <v>20</v>
      </c>
    </row>
    <row r="3" spans="1:23" ht="84.95" hidden="1" customHeight="1" x14ac:dyDescent="0.2">
      <c r="A3" s="2" t="s">
        <v>21</v>
      </c>
      <c r="B3" s="3" t="s">
        <v>22</v>
      </c>
      <c r="C3" s="4" t="s">
        <v>3064</v>
      </c>
      <c r="D3" s="5">
        <v>82674667</v>
      </c>
      <c r="E3" s="6"/>
      <c r="F3" s="6"/>
      <c r="G3" s="8"/>
      <c r="H3" s="8">
        <v>82674667</v>
      </c>
      <c r="I3" s="93">
        <v>0</v>
      </c>
      <c r="J3" s="93">
        <v>0</v>
      </c>
      <c r="K3" s="93">
        <v>0</v>
      </c>
      <c r="L3" s="93">
        <v>0</v>
      </c>
      <c r="M3" s="6">
        <f>SUM(H3:L3)</f>
        <v>82674667</v>
      </c>
      <c r="N3" s="9">
        <v>43117</v>
      </c>
      <c r="O3" s="10">
        <v>43465</v>
      </c>
      <c r="P3" s="12" t="s">
        <v>64</v>
      </c>
      <c r="Q3" s="11" t="s">
        <v>23</v>
      </c>
      <c r="R3" s="3" t="s">
        <v>22</v>
      </c>
      <c r="S3" s="14" t="s">
        <v>24</v>
      </c>
      <c r="T3" s="14" t="s">
        <v>25</v>
      </c>
      <c r="U3" s="14" t="s">
        <v>26</v>
      </c>
      <c r="V3" s="15" t="s">
        <v>27</v>
      </c>
      <c r="W3" s="14" t="s">
        <v>28</v>
      </c>
    </row>
    <row r="4" spans="1:23" ht="84.95" hidden="1" customHeight="1" x14ac:dyDescent="0.2">
      <c r="A4" s="2" t="s">
        <v>29</v>
      </c>
      <c r="B4" s="3" t="s">
        <v>30</v>
      </c>
      <c r="C4" s="16" t="s">
        <v>3302</v>
      </c>
      <c r="D4" s="8">
        <v>92335967</v>
      </c>
      <c r="E4" s="6"/>
      <c r="F4" s="6"/>
      <c r="G4" s="7"/>
      <c r="H4" s="8">
        <v>92335967</v>
      </c>
      <c r="I4" s="93">
        <v>0</v>
      </c>
      <c r="J4" s="93">
        <v>0</v>
      </c>
      <c r="K4" s="93">
        <v>0</v>
      </c>
      <c r="L4" s="93">
        <v>0</v>
      </c>
      <c r="M4" s="6">
        <f t="shared" ref="M4:M67" si="0">SUM(H4:L4)</f>
        <v>92335967</v>
      </c>
      <c r="N4" s="9">
        <v>43119</v>
      </c>
      <c r="O4" s="10">
        <v>43465</v>
      </c>
      <c r="P4" s="12" t="s">
        <v>31</v>
      </c>
      <c r="Q4" s="11" t="s">
        <v>32</v>
      </c>
      <c r="R4" s="3" t="s">
        <v>30</v>
      </c>
      <c r="S4" s="14" t="s">
        <v>33</v>
      </c>
      <c r="T4" s="14" t="s">
        <v>34</v>
      </c>
      <c r="U4" s="14" t="s">
        <v>35</v>
      </c>
      <c r="V4" s="15" t="s">
        <v>36</v>
      </c>
      <c r="W4" s="14" t="s">
        <v>28</v>
      </c>
    </row>
    <row r="5" spans="1:23" ht="84.95" hidden="1" customHeight="1" x14ac:dyDescent="0.2">
      <c r="A5" s="2" t="s">
        <v>37</v>
      </c>
      <c r="B5" s="3" t="s">
        <v>3276</v>
      </c>
      <c r="C5" s="16" t="s">
        <v>39</v>
      </c>
      <c r="D5" s="8">
        <v>61072093</v>
      </c>
      <c r="E5" s="6"/>
      <c r="F5" s="6"/>
      <c r="G5" s="7"/>
      <c r="H5" s="8">
        <v>61072093</v>
      </c>
      <c r="I5" s="93">
        <v>0</v>
      </c>
      <c r="J5" s="93">
        <v>0</v>
      </c>
      <c r="K5" s="93">
        <v>0</v>
      </c>
      <c r="L5" s="93">
        <v>0</v>
      </c>
      <c r="M5" s="6">
        <f t="shared" si="0"/>
        <v>61072093</v>
      </c>
      <c r="N5" s="9">
        <v>43125</v>
      </c>
      <c r="O5" s="10">
        <v>43465</v>
      </c>
      <c r="P5" s="12" t="s">
        <v>41</v>
      </c>
      <c r="Q5" s="11" t="s">
        <v>23</v>
      </c>
      <c r="R5" s="3" t="s">
        <v>38</v>
      </c>
      <c r="S5" s="14" t="s">
        <v>42</v>
      </c>
      <c r="T5" s="14" t="s">
        <v>43</v>
      </c>
      <c r="U5" s="14" t="s">
        <v>44</v>
      </c>
      <c r="V5" s="15" t="s">
        <v>45</v>
      </c>
      <c r="W5" s="14" t="s">
        <v>28</v>
      </c>
    </row>
    <row r="6" spans="1:23" ht="84.95" hidden="1" customHeight="1" x14ac:dyDescent="0.2">
      <c r="A6" s="2" t="s">
        <v>46</v>
      </c>
      <c r="B6" s="3" t="s">
        <v>47</v>
      </c>
      <c r="C6" s="16" t="s">
        <v>3065</v>
      </c>
      <c r="D6" s="8">
        <v>66202933</v>
      </c>
      <c r="E6" s="6"/>
      <c r="F6" s="6"/>
      <c r="G6" s="7"/>
      <c r="H6" s="8">
        <v>66202933</v>
      </c>
      <c r="I6" s="93">
        <v>0</v>
      </c>
      <c r="J6" s="93">
        <v>0</v>
      </c>
      <c r="K6" s="93">
        <v>0</v>
      </c>
      <c r="L6" s="93">
        <v>0</v>
      </c>
      <c r="M6" s="6">
        <f t="shared" si="0"/>
        <v>66202933</v>
      </c>
      <c r="N6" s="9">
        <v>43123</v>
      </c>
      <c r="O6" s="10">
        <v>43465</v>
      </c>
      <c r="P6" s="12" t="s">
        <v>41</v>
      </c>
      <c r="Q6" s="11" t="s">
        <v>23</v>
      </c>
      <c r="R6" s="3" t="s">
        <v>47</v>
      </c>
      <c r="S6" s="14" t="s">
        <v>48</v>
      </c>
      <c r="T6" s="14" t="s">
        <v>49</v>
      </c>
      <c r="U6" s="14" t="s">
        <v>50</v>
      </c>
      <c r="V6" s="15" t="s">
        <v>51</v>
      </c>
      <c r="W6" s="14" t="s">
        <v>28</v>
      </c>
    </row>
    <row r="7" spans="1:23" ht="84.95" hidden="1" customHeight="1" x14ac:dyDescent="0.2">
      <c r="A7" s="2" t="s">
        <v>52</v>
      </c>
      <c r="B7" s="3" t="s">
        <v>53</v>
      </c>
      <c r="C7" s="16" t="s">
        <v>54</v>
      </c>
      <c r="D7" s="8">
        <v>62315000</v>
      </c>
      <c r="E7" s="6"/>
      <c r="F7" s="6"/>
      <c r="G7" s="7"/>
      <c r="H7" s="8">
        <v>62315000</v>
      </c>
      <c r="I7" s="93">
        <v>0</v>
      </c>
      <c r="J7" s="93">
        <v>0</v>
      </c>
      <c r="K7" s="93">
        <v>0</v>
      </c>
      <c r="L7" s="93">
        <v>0</v>
      </c>
      <c r="M7" s="6">
        <f t="shared" si="0"/>
        <v>62315000</v>
      </c>
      <c r="N7" s="9">
        <v>43125</v>
      </c>
      <c r="O7" s="10">
        <v>43465</v>
      </c>
      <c r="P7" s="12" t="s">
        <v>55</v>
      </c>
      <c r="Q7" s="11" t="s">
        <v>56</v>
      </c>
      <c r="R7" s="3" t="s">
        <v>53</v>
      </c>
      <c r="S7" s="14" t="s">
        <v>57</v>
      </c>
      <c r="T7" s="14" t="s">
        <v>58</v>
      </c>
      <c r="U7" s="14" t="s">
        <v>59</v>
      </c>
      <c r="V7" s="15" t="s">
        <v>60</v>
      </c>
      <c r="W7" s="14" t="s">
        <v>28</v>
      </c>
    </row>
    <row r="8" spans="1:23" ht="84.95" hidden="1" customHeight="1" x14ac:dyDescent="0.2">
      <c r="A8" s="2" t="s">
        <v>61</v>
      </c>
      <c r="B8" s="3" t="s">
        <v>62</v>
      </c>
      <c r="C8" s="16" t="s">
        <v>63</v>
      </c>
      <c r="D8" s="8">
        <v>56650000</v>
      </c>
      <c r="E8" s="6"/>
      <c r="F8" s="6"/>
      <c r="G8" s="7"/>
      <c r="H8" s="8">
        <v>56650000</v>
      </c>
      <c r="I8" s="93">
        <v>0</v>
      </c>
      <c r="J8" s="93">
        <v>0</v>
      </c>
      <c r="K8" s="93">
        <v>0</v>
      </c>
      <c r="L8" s="93">
        <v>0</v>
      </c>
      <c r="M8" s="6">
        <f t="shared" si="0"/>
        <v>56650000</v>
      </c>
      <c r="N8" s="9">
        <v>43125</v>
      </c>
      <c r="O8" s="10">
        <v>43465</v>
      </c>
      <c r="P8" s="12" t="s">
        <v>64</v>
      </c>
      <c r="Q8" s="11" t="s">
        <v>56</v>
      </c>
      <c r="R8" s="3" t="s">
        <v>62</v>
      </c>
      <c r="S8" s="14" t="s">
        <v>65</v>
      </c>
      <c r="T8" s="14" t="s">
        <v>66</v>
      </c>
      <c r="U8" s="14" t="s">
        <v>67</v>
      </c>
      <c r="V8" s="15" t="s">
        <v>68</v>
      </c>
      <c r="W8" s="14" t="s">
        <v>28</v>
      </c>
    </row>
    <row r="9" spans="1:23" ht="84.95" hidden="1" customHeight="1" x14ac:dyDescent="0.2">
      <c r="A9" s="2" t="s">
        <v>69</v>
      </c>
      <c r="B9" s="3" t="s">
        <v>70</v>
      </c>
      <c r="C9" s="16" t="s">
        <v>71</v>
      </c>
      <c r="D9" s="8">
        <v>114240000</v>
      </c>
      <c r="E9" s="6"/>
      <c r="F9" s="6"/>
      <c r="G9" s="7"/>
      <c r="H9" s="8">
        <v>114240000</v>
      </c>
      <c r="I9" s="93">
        <v>0</v>
      </c>
      <c r="J9" s="93">
        <v>0</v>
      </c>
      <c r="K9" s="93">
        <v>0</v>
      </c>
      <c r="L9" s="93">
        <v>0</v>
      </c>
      <c r="M9" s="6">
        <f t="shared" si="0"/>
        <v>114240000</v>
      </c>
      <c r="N9" s="9">
        <v>43126</v>
      </c>
      <c r="O9" s="10">
        <v>43465</v>
      </c>
      <c r="P9" s="12" t="s">
        <v>72</v>
      </c>
      <c r="Q9" s="13" t="s">
        <v>73</v>
      </c>
      <c r="R9" s="14" t="s">
        <v>74</v>
      </c>
      <c r="S9" s="14" t="s">
        <v>75</v>
      </c>
      <c r="T9" s="14" t="s">
        <v>76</v>
      </c>
      <c r="U9" s="14" t="s">
        <v>77</v>
      </c>
      <c r="V9" s="15" t="s">
        <v>78</v>
      </c>
      <c r="W9" s="14" t="s">
        <v>28</v>
      </c>
    </row>
    <row r="10" spans="1:23" ht="110.25" hidden="1" customHeight="1" x14ac:dyDescent="0.2">
      <c r="A10" s="2" t="s">
        <v>79</v>
      </c>
      <c r="B10" s="3" t="s">
        <v>80</v>
      </c>
      <c r="C10" s="16" t="s">
        <v>81</v>
      </c>
      <c r="D10" s="8">
        <v>2160000</v>
      </c>
      <c r="E10" s="6"/>
      <c r="F10" s="6"/>
      <c r="G10" s="7"/>
      <c r="H10" s="8">
        <v>2160000</v>
      </c>
      <c r="I10" s="93">
        <v>0</v>
      </c>
      <c r="J10" s="93">
        <v>0</v>
      </c>
      <c r="K10" s="93">
        <v>0</v>
      </c>
      <c r="L10" s="93">
        <v>0</v>
      </c>
      <c r="M10" s="6">
        <f t="shared" si="0"/>
        <v>2160000</v>
      </c>
      <c r="N10" s="9">
        <v>43126</v>
      </c>
      <c r="O10" s="10">
        <v>43172</v>
      </c>
      <c r="P10" s="12" t="s">
        <v>82</v>
      </c>
      <c r="Q10" s="13" t="s">
        <v>73</v>
      </c>
      <c r="R10" s="14" t="s">
        <v>83</v>
      </c>
      <c r="S10" s="14" t="s">
        <v>84</v>
      </c>
      <c r="T10" s="14" t="s">
        <v>85</v>
      </c>
      <c r="U10" s="14" t="s">
        <v>86</v>
      </c>
      <c r="V10" s="15" t="s">
        <v>87</v>
      </c>
      <c r="W10" s="14" t="s">
        <v>28</v>
      </c>
    </row>
    <row r="11" spans="1:23" ht="84.95" hidden="1" customHeight="1" x14ac:dyDescent="0.2">
      <c r="A11" s="2" t="s">
        <v>88</v>
      </c>
      <c r="B11" s="3" t="s">
        <v>70</v>
      </c>
      <c r="C11" s="16" t="s">
        <v>3066</v>
      </c>
      <c r="D11" s="8">
        <v>383944000</v>
      </c>
      <c r="E11" s="6"/>
      <c r="F11" s="6"/>
      <c r="G11" s="7"/>
      <c r="H11" s="8">
        <v>383944000</v>
      </c>
      <c r="I11" s="93">
        <v>0</v>
      </c>
      <c r="J11" s="93">
        <v>0</v>
      </c>
      <c r="K11" s="93">
        <v>0</v>
      </c>
      <c r="L11" s="93">
        <v>0</v>
      </c>
      <c r="M11" s="6">
        <f t="shared" si="0"/>
        <v>383944000</v>
      </c>
      <c r="N11" s="9">
        <v>43126</v>
      </c>
      <c r="O11" s="10">
        <v>43465</v>
      </c>
      <c r="P11" s="12" t="s">
        <v>72</v>
      </c>
      <c r="Q11" s="13" t="s">
        <v>73</v>
      </c>
      <c r="R11" s="14" t="s">
        <v>74</v>
      </c>
      <c r="S11" s="14" t="s">
        <v>75</v>
      </c>
      <c r="T11" s="14" t="s">
        <v>76</v>
      </c>
      <c r="U11" s="14" t="s">
        <v>77</v>
      </c>
      <c r="V11" s="15" t="s">
        <v>78</v>
      </c>
      <c r="W11" s="14" t="s">
        <v>28</v>
      </c>
    </row>
    <row r="12" spans="1:23" ht="84.95" hidden="1" customHeight="1" x14ac:dyDescent="0.2">
      <c r="A12" s="17" t="s">
        <v>89</v>
      </c>
      <c r="B12" s="3" t="s">
        <v>90</v>
      </c>
      <c r="C12" s="16" t="s">
        <v>3067</v>
      </c>
      <c r="D12" s="18">
        <v>19738005</v>
      </c>
      <c r="E12" s="19"/>
      <c r="F12" s="19"/>
      <c r="G12" s="20"/>
      <c r="H12" s="18">
        <v>19738005</v>
      </c>
      <c r="I12" s="93">
        <v>0</v>
      </c>
      <c r="J12" s="93">
        <v>0</v>
      </c>
      <c r="K12" s="93">
        <v>0</v>
      </c>
      <c r="L12" s="93">
        <v>0</v>
      </c>
      <c r="M12" s="6">
        <f t="shared" si="0"/>
        <v>19738005</v>
      </c>
      <c r="N12" s="21">
        <v>43126</v>
      </c>
      <c r="O12" s="22">
        <v>43465</v>
      </c>
      <c r="P12" s="23" t="s">
        <v>91</v>
      </c>
      <c r="Q12" s="13" t="s">
        <v>73</v>
      </c>
      <c r="R12" s="24" t="s">
        <v>92</v>
      </c>
      <c r="S12" s="24" t="s">
        <v>93</v>
      </c>
      <c r="T12" s="24" t="s">
        <v>94</v>
      </c>
      <c r="U12" s="24" t="s">
        <v>95</v>
      </c>
      <c r="V12" s="25" t="s">
        <v>96</v>
      </c>
      <c r="W12" s="26" t="s">
        <v>97</v>
      </c>
    </row>
    <row r="13" spans="1:23" ht="117.75" hidden="1" customHeight="1" x14ac:dyDescent="0.2">
      <c r="A13" s="27" t="s">
        <v>98</v>
      </c>
      <c r="B13" s="3" t="s">
        <v>99</v>
      </c>
      <c r="C13" s="16" t="s">
        <v>3068</v>
      </c>
      <c r="D13" s="7">
        <v>47259884</v>
      </c>
      <c r="E13" s="28"/>
      <c r="F13" s="28"/>
      <c r="G13" s="7"/>
      <c r="H13" s="7">
        <v>47259884</v>
      </c>
      <c r="I13" s="93">
        <v>0</v>
      </c>
      <c r="J13" s="93">
        <v>0</v>
      </c>
      <c r="K13" s="93">
        <v>0</v>
      </c>
      <c r="L13" s="93">
        <v>0</v>
      </c>
      <c r="M13" s="6">
        <f t="shared" si="0"/>
        <v>47259884</v>
      </c>
      <c r="N13" s="29">
        <v>43126</v>
      </c>
      <c r="O13" s="30">
        <v>43465</v>
      </c>
      <c r="P13" s="12" t="s">
        <v>72</v>
      </c>
      <c r="Q13" s="13" t="s">
        <v>73</v>
      </c>
      <c r="R13" s="26" t="s">
        <v>100</v>
      </c>
      <c r="S13" s="26" t="s">
        <v>101</v>
      </c>
      <c r="T13" s="26" t="s">
        <v>102</v>
      </c>
      <c r="U13" s="26" t="s">
        <v>103</v>
      </c>
      <c r="V13" s="32" t="s">
        <v>104</v>
      </c>
      <c r="W13" s="26" t="s">
        <v>28</v>
      </c>
    </row>
    <row r="14" spans="1:23" ht="108" hidden="1" customHeight="1" x14ac:dyDescent="0.2">
      <c r="A14" s="27" t="s">
        <v>105</v>
      </c>
      <c r="B14" s="33" t="s">
        <v>106</v>
      </c>
      <c r="C14" s="34" t="s">
        <v>3069</v>
      </c>
      <c r="D14" s="7">
        <v>17100000</v>
      </c>
      <c r="E14" s="28"/>
      <c r="F14" s="28"/>
      <c r="G14" s="7"/>
      <c r="H14" s="7">
        <v>17100000</v>
      </c>
      <c r="I14" s="93">
        <v>0</v>
      </c>
      <c r="J14" s="93">
        <v>0</v>
      </c>
      <c r="K14" s="93">
        <v>0</v>
      </c>
      <c r="L14" s="93">
        <v>0</v>
      </c>
      <c r="M14" s="6">
        <f t="shared" si="0"/>
        <v>17100000</v>
      </c>
      <c r="N14" s="29">
        <v>43138</v>
      </c>
      <c r="O14" s="30">
        <v>43220</v>
      </c>
      <c r="P14" s="12" t="s">
        <v>107</v>
      </c>
      <c r="Q14" s="13" t="s">
        <v>73</v>
      </c>
      <c r="R14" s="26" t="s">
        <v>108</v>
      </c>
      <c r="S14" s="26" t="s">
        <v>109</v>
      </c>
      <c r="T14" s="26" t="s">
        <v>110</v>
      </c>
      <c r="U14" s="26" t="s">
        <v>111</v>
      </c>
      <c r="V14" s="32" t="s">
        <v>112</v>
      </c>
      <c r="W14" s="14" t="s">
        <v>28</v>
      </c>
    </row>
    <row r="15" spans="1:23" ht="84.95" hidden="1" customHeight="1" x14ac:dyDescent="0.2">
      <c r="A15" s="27" t="s">
        <v>113</v>
      </c>
      <c r="B15" s="35" t="s">
        <v>114</v>
      </c>
      <c r="C15" s="34" t="s">
        <v>3303</v>
      </c>
      <c r="D15" s="7">
        <v>4461310</v>
      </c>
      <c r="E15" s="28"/>
      <c r="F15" s="28"/>
      <c r="G15" s="7"/>
      <c r="H15" s="7">
        <v>4461310</v>
      </c>
      <c r="I15" s="93">
        <v>0</v>
      </c>
      <c r="J15" s="93">
        <v>0</v>
      </c>
      <c r="K15" s="93">
        <v>0</v>
      </c>
      <c r="L15" s="93">
        <v>0</v>
      </c>
      <c r="M15" s="6">
        <f t="shared" si="0"/>
        <v>4461310</v>
      </c>
      <c r="N15" s="29">
        <v>43143</v>
      </c>
      <c r="O15" s="30">
        <v>43190</v>
      </c>
      <c r="P15" s="12" t="s">
        <v>115</v>
      </c>
      <c r="Q15" s="13" t="s">
        <v>73</v>
      </c>
      <c r="R15" s="26" t="s">
        <v>116</v>
      </c>
      <c r="S15" s="26" t="s">
        <v>117</v>
      </c>
      <c r="T15" s="26" t="s">
        <v>118</v>
      </c>
      <c r="U15" s="26" t="s">
        <v>119</v>
      </c>
      <c r="V15" s="32" t="s">
        <v>120</v>
      </c>
      <c r="W15" s="14" t="s">
        <v>28</v>
      </c>
    </row>
    <row r="16" spans="1:23" ht="84.95" hidden="1" customHeight="1" x14ac:dyDescent="0.2">
      <c r="A16" s="27" t="s">
        <v>121</v>
      </c>
      <c r="B16" s="35" t="s">
        <v>3304</v>
      </c>
      <c r="C16" s="34" t="s">
        <v>122</v>
      </c>
      <c r="D16" s="7">
        <v>5900000</v>
      </c>
      <c r="E16" s="28"/>
      <c r="F16" s="28"/>
      <c r="G16" s="7"/>
      <c r="H16" s="7">
        <v>5900000</v>
      </c>
      <c r="I16" s="93">
        <v>0</v>
      </c>
      <c r="J16" s="93">
        <v>0</v>
      </c>
      <c r="K16" s="93">
        <v>0</v>
      </c>
      <c r="L16" s="93">
        <v>0</v>
      </c>
      <c r="M16" s="6">
        <f t="shared" si="0"/>
        <v>5900000</v>
      </c>
      <c r="N16" s="29">
        <v>43147</v>
      </c>
      <c r="O16" s="30">
        <v>43465</v>
      </c>
      <c r="P16" s="12" t="s">
        <v>123</v>
      </c>
      <c r="Q16" s="13" t="s">
        <v>73</v>
      </c>
      <c r="R16" s="26" t="s">
        <v>124</v>
      </c>
      <c r="S16" s="26" t="s">
        <v>125</v>
      </c>
      <c r="T16" s="26" t="s">
        <v>126</v>
      </c>
      <c r="U16" s="26" t="s">
        <v>127</v>
      </c>
      <c r="V16" s="32" t="s">
        <v>128</v>
      </c>
      <c r="W16" s="14" t="s">
        <v>28</v>
      </c>
    </row>
    <row r="17" spans="1:23" ht="102" hidden="1" customHeight="1" x14ac:dyDescent="0.2">
      <c r="A17" s="27" t="s">
        <v>129</v>
      </c>
      <c r="B17" s="33" t="s">
        <v>130</v>
      </c>
      <c r="C17" s="34" t="s">
        <v>3070</v>
      </c>
      <c r="D17" s="7">
        <v>9639000</v>
      </c>
      <c r="E17" s="28"/>
      <c r="F17" s="28"/>
      <c r="G17" s="7"/>
      <c r="H17" s="7">
        <v>9639000</v>
      </c>
      <c r="I17" s="93">
        <v>0</v>
      </c>
      <c r="J17" s="93">
        <v>0</v>
      </c>
      <c r="K17" s="93">
        <v>0</v>
      </c>
      <c r="L17" s="93">
        <v>0</v>
      </c>
      <c r="M17" s="6">
        <f t="shared" si="0"/>
        <v>9639000</v>
      </c>
      <c r="N17" s="29">
        <v>43147</v>
      </c>
      <c r="O17" s="30">
        <v>43465</v>
      </c>
      <c r="P17" s="12" t="s">
        <v>131</v>
      </c>
      <c r="Q17" s="13" t="s">
        <v>73</v>
      </c>
      <c r="R17" s="26" t="s">
        <v>132</v>
      </c>
      <c r="S17" s="26" t="s">
        <v>133</v>
      </c>
      <c r="T17" s="26" t="s">
        <v>134</v>
      </c>
      <c r="U17" s="26" t="s">
        <v>135</v>
      </c>
      <c r="V17" s="32" t="s">
        <v>136</v>
      </c>
      <c r="W17" s="14" t="s">
        <v>28</v>
      </c>
    </row>
    <row r="18" spans="1:23" ht="84.95" hidden="1" customHeight="1" x14ac:dyDescent="0.2">
      <c r="A18" s="27" t="s">
        <v>137</v>
      </c>
      <c r="B18" s="33" t="s">
        <v>138</v>
      </c>
      <c r="C18" s="34" t="s">
        <v>3071</v>
      </c>
      <c r="D18" s="7">
        <v>43140000</v>
      </c>
      <c r="E18" s="28"/>
      <c r="F18" s="28"/>
      <c r="G18" s="7"/>
      <c r="H18" s="7">
        <v>43140000</v>
      </c>
      <c r="I18" s="93">
        <v>0</v>
      </c>
      <c r="J18" s="93">
        <v>0</v>
      </c>
      <c r="K18" s="93">
        <v>0</v>
      </c>
      <c r="L18" s="93">
        <v>0</v>
      </c>
      <c r="M18" s="6">
        <f t="shared" si="0"/>
        <v>43140000</v>
      </c>
      <c r="N18" s="29">
        <v>43151</v>
      </c>
      <c r="O18" s="30">
        <v>43447</v>
      </c>
      <c r="P18" s="12" t="s">
        <v>139</v>
      </c>
      <c r="Q18" s="13" t="s">
        <v>73</v>
      </c>
      <c r="R18" s="26" t="s">
        <v>140</v>
      </c>
      <c r="S18" s="26" t="s">
        <v>141</v>
      </c>
      <c r="T18" s="26" t="s">
        <v>142</v>
      </c>
      <c r="U18" s="26" t="s">
        <v>143</v>
      </c>
      <c r="V18" s="32" t="s">
        <v>144</v>
      </c>
      <c r="W18" s="14" t="s">
        <v>28</v>
      </c>
    </row>
    <row r="19" spans="1:23" ht="84.95" hidden="1" customHeight="1" x14ac:dyDescent="0.2">
      <c r="A19" s="27" t="s">
        <v>145</v>
      </c>
      <c r="B19" s="35" t="s">
        <v>146</v>
      </c>
      <c r="C19" s="34" t="s">
        <v>147</v>
      </c>
      <c r="D19" s="7">
        <v>4687500</v>
      </c>
      <c r="E19" s="28"/>
      <c r="F19" s="28"/>
      <c r="G19" s="7"/>
      <c r="H19" s="7">
        <v>4687500</v>
      </c>
      <c r="I19" s="93">
        <v>0</v>
      </c>
      <c r="J19" s="93">
        <v>0</v>
      </c>
      <c r="K19" s="93">
        <v>0</v>
      </c>
      <c r="L19" s="93">
        <v>0</v>
      </c>
      <c r="M19" s="6">
        <f t="shared" si="0"/>
        <v>4687500</v>
      </c>
      <c r="N19" s="29">
        <v>43151</v>
      </c>
      <c r="O19" s="30">
        <v>43465</v>
      </c>
      <c r="P19" s="12" t="s">
        <v>148</v>
      </c>
      <c r="Q19" s="13" t="s">
        <v>73</v>
      </c>
      <c r="R19" s="26" t="s">
        <v>149</v>
      </c>
      <c r="S19" s="26" t="s">
        <v>150</v>
      </c>
      <c r="T19" s="26" t="s">
        <v>151</v>
      </c>
      <c r="U19" s="26" t="s">
        <v>152</v>
      </c>
      <c r="V19" s="32" t="s">
        <v>153</v>
      </c>
      <c r="W19" s="14" t="s">
        <v>28</v>
      </c>
    </row>
    <row r="20" spans="1:23" ht="84.95" hidden="1" customHeight="1" x14ac:dyDescent="0.2">
      <c r="A20" s="27" t="s">
        <v>154</v>
      </c>
      <c r="B20" s="3" t="s">
        <v>155</v>
      </c>
      <c r="C20" s="34" t="s">
        <v>156</v>
      </c>
      <c r="D20" s="7">
        <v>52434000</v>
      </c>
      <c r="E20" s="28"/>
      <c r="F20" s="28"/>
      <c r="G20" s="7"/>
      <c r="H20" s="7">
        <v>52434000</v>
      </c>
      <c r="I20" s="93">
        <v>0</v>
      </c>
      <c r="J20" s="93">
        <v>0</v>
      </c>
      <c r="K20" s="93">
        <v>0</v>
      </c>
      <c r="L20" s="93">
        <v>0</v>
      </c>
      <c r="M20" s="6">
        <f t="shared" si="0"/>
        <v>52434000</v>
      </c>
      <c r="N20" s="29">
        <v>43152</v>
      </c>
      <c r="O20" s="30">
        <v>43814</v>
      </c>
      <c r="P20" s="12" t="s">
        <v>3305</v>
      </c>
      <c r="Q20" s="11" t="s">
        <v>32</v>
      </c>
      <c r="R20" s="3" t="s">
        <v>155</v>
      </c>
      <c r="S20" s="26" t="s">
        <v>157</v>
      </c>
      <c r="T20" s="26" t="s">
        <v>158</v>
      </c>
      <c r="U20" s="26" t="s">
        <v>159</v>
      </c>
      <c r="V20" s="32" t="s">
        <v>160</v>
      </c>
      <c r="W20" s="26" t="s">
        <v>28</v>
      </c>
    </row>
    <row r="21" spans="1:23" ht="84.95" hidden="1" customHeight="1" x14ac:dyDescent="0.2">
      <c r="A21" s="27" t="s">
        <v>161</v>
      </c>
      <c r="B21" s="35" t="s">
        <v>162</v>
      </c>
      <c r="C21" s="34" t="s">
        <v>3226</v>
      </c>
      <c r="D21" s="7">
        <v>50700000</v>
      </c>
      <c r="E21" s="28"/>
      <c r="F21" s="28"/>
      <c r="G21" s="7"/>
      <c r="H21" s="7">
        <v>50700000</v>
      </c>
      <c r="I21" s="93">
        <v>0</v>
      </c>
      <c r="J21" s="93">
        <v>0</v>
      </c>
      <c r="K21" s="93">
        <v>0</v>
      </c>
      <c r="L21" s="93">
        <v>0</v>
      </c>
      <c r="M21" s="6">
        <f t="shared" si="0"/>
        <v>50700000</v>
      </c>
      <c r="N21" s="29">
        <v>43160</v>
      </c>
      <c r="O21" s="30">
        <v>43465</v>
      </c>
      <c r="P21" s="12" t="s">
        <v>148</v>
      </c>
      <c r="Q21" s="13" t="s">
        <v>73</v>
      </c>
      <c r="R21" s="26" t="s">
        <v>163</v>
      </c>
      <c r="S21" s="26" t="s">
        <v>164</v>
      </c>
      <c r="T21" s="26" t="s">
        <v>165</v>
      </c>
      <c r="U21" s="26" t="s">
        <v>166</v>
      </c>
      <c r="V21" s="32" t="s">
        <v>167</v>
      </c>
      <c r="W21" s="26" t="s">
        <v>28</v>
      </c>
    </row>
    <row r="22" spans="1:23" ht="84.95" hidden="1" customHeight="1" x14ac:dyDescent="0.2">
      <c r="A22" s="27" t="s">
        <v>168</v>
      </c>
      <c r="B22" s="33" t="s">
        <v>169</v>
      </c>
      <c r="C22" s="34" t="s">
        <v>170</v>
      </c>
      <c r="D22" s="7">
        <v>8211000</v>
      </c>
      <c r="E22" s="28"/>
      <c r="F22" s="28"/>
      <c r="G22" s="7"/>
      <c r="H22" s="7">
        <v>8211000</v>
      </c>
      <c r="I22" s="93">
        <v>0</v>
      </c>
      <c r="J22" s="93">
        <v>0</v>
      </c>
      <c r="K22" s="93">
        <v>0</v>
      </c>
      <c r="L22" s="93">
        <v>0</v>
      </c>
      <c r="M22" s="6">
        <f t="shared" si="0"/>
        <v>8211000</v>
      </c>
      <c r="N22" s="29">
        <v>43164</v>
      </c>
      <c r="O22" s="30">
        <v>43465</v>
      </c>
      <c r="P22" s="12" t="s">
        <v>171</v>
      </c>
      <c r="Q22" s="11" t="s">
        <v>32</v>
      </c>
      <c r="R22" s="26" t="s">
        <v>172</v>
      </c>
      <c r="S22" s="26" t="s">
        <v>173</v>
      </c>
      <c r="T22" s="26" t="s">
        <v>174</v>
      </c>
      <c r="U22" s="26" t="s">
        <v>175</v>
      </c>
      <c r="V22" s="32" t="s">
        <v>176</v>
      </c>
      <c r="W22" s="26" t="s">
        <v>28</v>
      </c>
    </row>
    <row r="23" spans="1:23" ht="84.95" hidden="1" customHeight="1" x14ac:dyDescent="0.2">
      <c r="A23" s="27" t="s">
        <v>177</v>
      </c>
      <c r="B23" s="35" t="s">
        <v>178</v>
      </c>
      <c r="C23" s="34" t="s">
        <v>179</v>
      </c>
      <c r="D23" s="7">
        <v>50000000</v>
      </c>
      <c r="E23" s="28">
        <v>25000000</v>
      </c>
      <c r="F23" s="28"/>
      <c r="G23" s="7"/>
      <c r="H23" s="7">
        <v>50000000</v>
      </c>
      <c r="I23" s="93">
        <v>0</v>
      </c>
      <c r="J23" s="93">
        <v>0</v>
      </c>
      <c r="K23" s="93">
        <v>0</v>
      </c>
      <c r="L23" s="93">
        <v>0</v>
      </c>
      <c r="M23" s="6">
        <f t="shared" si="0"/>
        <v>50000000</v>
      </c>
      <c r="N23" s="29">
        <v>43164</v>
      </c>
      <c r="O23" s="30">
        <v>43434</v>
      </c>
      <c r="P23" s="12" t="s">
        <v>180</v>
      </c>
      <c r="Q23" s="11" t="s">
        <v>32</v>
      </c>
      <c r="R23" s="26" t="s">
        <v>181</v>
      </c>
      <c r="S23" s="26" t="s">
        <v>182</v>
      </c>
      <c r="T23" s="26" t="s">
        <v>183</v>
      </c>
      <c r="U23" s="26" t="s">
        <v>184</v>
      </c>
      <c r="V23" s="32" t="s">
        <v>185</v>
      </c>
      <c r="W23" s="26" t="s">
        <v>28</v>
      </c>
    </row>
    <row r="24" spans="1:23" ht="84.95" hidden="1" customHeight="1" x14ac:dyDescent="0.2">
      <c r="A24" s="27" t="s">
        <v>186</v>
      </c>
      <c r="B24" s="3" t="s">
        <v>187</v>
      </c>
      <c r="C24" s="16" t="s">
        <v>188</v>
      </c>
      <c r="D24" s="7">
        <v>65564000</v>
      </c>
      <c r="E24" s="28">
        <v>16391000</v>
      </c>
      <c r="F24" s="28"/>
      <c r="G24" s="7"/>
      <c r="H24" s="7">
        <v>65564000</v>
      </c>
      <c r="I24" s="93">
        <v>0</v>
      </c>
      <c r="J24" s="93">
        <v>0</v>
      </c>
      <c r="K24" s="93">
        <v>0</v>
      </c>
      <c r="L24" s="93">
        <v>0</v>
      </c>
      <c r="M24" s="6">
        <f t="shared" si="0"/>
        <v>65564000</v>
      </c>
      <c r="N24" s="29">
        <v>43168</v>
      </c>
      <c r="O24" s="30">
        <v>43404</v>
      </c>
      <c r="P24" s="12" t="s">
        <v>3306</v>
      </c>
      <c r="Q24" s="13" t="s">
        <v>56</v>
      </c>
      <c r="R24" s="3" t="s">
        <v>187</v>
      </c>
      <c r="S24" s="26" t="s">
        <v>189</v>
      </c>
      <c r="T24" s="26" t="s">
        <v>190</v>
      </c>
      <c r="U24" s="26" t="s">
        <v>191</v>
      </c>
      <c r="V24" s="32" t="s">
        <v>192</v>
      </c>
      <c r="W24" s="26" t="s">
        <v>28</v>
      </c>
    </row>
    <row r="25" spans="1:23" ht="84.95" hidden="1" customHeight="1" x14ac:dyDescent="0.2">
      <c r="A25" s="27" t="s">
        <v>193</v>
      </c>
      <c r="B25" s="35" t="s">
        <v>194</v>
      </c>
      <c r="C25" s="34" t="s">
        <v>195</v>
      </c>
      <c r="D25" s="7">
        <v>23940000</v>
      </c>
      <c r="E25" s="28"/>
      <c r="F25" s="28"/>
      <c r="G25" s="7"/>
      <c r="H25" s="7">
        <v>23940000</v>
      </c>
      <c r="I25" s="93">
        <v>0</v>
      </c>
      <c r="J25" s="93">
        <v>0</v>
      </c>
      <c r="K25" s="93">
        <v>0</v>
      </c>
      <c r="L25" s="93">
        <v>0</v>
      </c>
      <c r="M25" s="6">
        <f t="shared" si="0"/>
        <v>23940000</v>
      </c>
      <c r="N25" s="29">
        <v>43165</v>
      </c>
      <c r="O25" s="30">
        <v>43496</v>
      </c>
      <c r="P25" s="12" t="s">
        <v>196</v>
      </c>
      <c r="Q25" s="13" t="s">
        <v>56</v>
      </c>
      <c r="R25" s="26" t="s">
        <v>197</v>
      </c>
      <c r="S25" s="26" t="s">
        <v>198</v>
      </c>
      <c r="T25" s="26" t="s">
        <v>183</v>
      </c>
      <c r="U25" s="26" t="s">
        <v>184</v>
      </c>
      <c r="V25" s="32" t="s">
        <v>185</v>
      </c>
      <c r="W25" s="26" t="s">
        <v>28</v>
      </c>
    </row>
    <row r="26" spans="1:23" ht="84.95" hidden="1" customHeight="1" x14ac:dyDescent="0.2">
      <c r="A26" s="27" t="s">
        <v>199</v>
      </c>
      <c r="B26" s="33" t="s">
        <v>200</v>
      </c>
      <c r="C26" s="36" t="s">
        <v>201</v>
      </c>
      <c r="D26" s="7">
        <v>20700000</v>
      </c>
      <c r="E26" s="28"/>
      <c r="F26" s="28"/>
      <c r="G26" s="7"/>
      <c r="H26" s="7">
        <v>20700000</v>
      </c>
      <c r="I26" s="93">
        <v>0</v>
      </c>
      <c r="J26" s="93">
        <v>0</v>
      </c>
      <c r="K26" s="93">
        <v>0</v>
      </c>
      <c r="L26" s="93">
        <v>0</v>
      </c>
      <c r="M26" s="6">
        <f t="shared" si="0"/>
        <v>20700000</v>
      </c>
      <c r="N26" s="29">
        <v>43165</v>
      </c>
      <c r="O26" s="30">
        <v>43465</v>
      </c>
      <c r="P26" s="12" t="s">
        <v>203</v>
      </c>
      <c r="Q26" s="13" t="s">
        <v>56</v>
      </c>
      <c r="R26" s="26" t="s">
        <v>204</v>
      </c>
      <c r="S26" s="26" t="s">
        <v>205</v>
      </c>
      <c r="T26" s="26" t="s">
        <v>206</v>
      </c>
      <c r="U26" s="26" t="s">
        <v>207</v>
      </c>
      <c r="V26" s="32" t="s">
        <v>208</v>
      </c>
      <c r="W26" s="26" t="s">
        <v>28</v>
      </c>
    </row>
    <row r="27" spans="1:23" ht="84.95" hidden="1" customHeight="1" x14ac:dyDescent="0.2">
      <c r="A27" s="27" t="s">
        <v>209</v>
      </c>
      <c r="B27" s="33" t="s">
        <v>210</v>
      </c>
      <c r="C27" s="16" t="s">
        <v>201</v>
      </c>
      <c r="D27" s="7">
        <v>30000000</v>
      </c>
      <c r="E27" s="28"/>
      <c r="F27" s="28"/>
      <c r="G27" s="7"/>
      <c r="H27" s="7">
        <v>30000000</v>
      </c>
      <c r="I27" s="93">
        <v>0</v>
      </c>
      <c r="J27" s="93">
        <v>0</v>
      </c>
      <c r="K27" s="93">
        <v>0</v>
      </c>
      <c r="L27" s="93">
        <v>0</v>
      </c>
      <c r="M27" s="6">
        <f t="shared" si="0"/>
        <v>30000000</v>
      </c>
      <c r="N27" s="29">
        <v>43165</v>
      </c>
      <c r="O27" s="30">
        <v>43465</v>
      </c>
      <c r="P27" s="12" t="s">
        <v>211</v>
      </c>
      <c r="Q27" s="13" t="s">
        <v>56</v>
      </c>
      <c r="R27" s="26" t="s">
        <v>212</v>
      </c>
      <c r="S27" s="26" t="s">
        <v>213</v>
      </c>
      <c r="T27" s="26" t="s">
        <v>214</v>
      </c>
      <c r="U27" s="26" t="s">
        <v>215</v>
      </c>
      <c r="V27" s="32" t="s">
        <v>216</v>
      </c>
      <c r="W27" s="26" t="s">
        <v>28</v>
      </c>
    </row>
    <row r="28" spans="1:23" ht="84.95" hidden="1" customHeight="1" x14ac:dyDescent="0.2">
      <c r="A28" s="27" t="s">
        <v>217</v>
      </c>
      <c r="B28" s="33" t="s">
        <v>210</v>
      </c>
      <c r="C28" s="34" t="s">
        <v>218</v>
      </c>
      <c r="D28" s="7">
        <v>10000000</v>
      </c>
      <c r="E28" s="28"/>
      <c r="F28" s="28"/>
      <c r="G28" s="7"/>
      <c r="H28" s="7">
        <v>10000000</v>
      </c>
      <c r="I28" s="93">
        <v>0</v>
      </c>
      <c r="J28" s="93">
        <v>0</v>
      </c>
      <c r="K28" s="93">
        <v>0</v>
      </c>
      <c r="L28" s="93">
        <v>0</v>
      </c>
      <c r="M28" s="6">
        <f t="shared" si="0"/>
        <v>10000000</v>
      </c>
      <c r="N28" s="29">
        <v>43166</v>
      </c>
      <c r="O28" s="30">
        <v>43281</v>
      </c>
      <c r="P28" s="12" t="s">
        <v>219</v>
      </c>
      <c r="Q28" s="13" t="s">
        <v>56</v>
      </c>
      <c r="R28" s="26" t="s">
        <v>220</v>
      </c>
      <c r="S28" s="26" t="s">
        <v>213</v>
      </c>
      <c r="T28" s="26" t="s">
        <v>214</v>
      </c>
      <c r="U28" s="26" t="s">
        <v>215</v>
      </c>
      <c r="V28" s="32" t="s">
        <v>216</v>
      </c>
      <c r="W28" s="26" t="s">
        <v>28</v>
      </c>
    </row>
    <row r="29" spans="1:23" ht="84.95" hidden="1" customHeight="1" x14ac:dyDescent="0.2">
      <c r="A29" s="27" t="s">
        <v>221</v>
      </c>
      <c r="B29" s="33" t="s">
        <v>222</v>
      </c>
      <c r="C29" s="34" t="s">
        <v>223</v>
      </c>
      <c r="D29" s="7">
        <v>23520000</v>
      </c>
      <c r="E29" s="28"/>
      <c r="F29" s="28"/>
      <c r="G29" s="7"/>
      <c r="H29" s="7">
        <v>23520000</v>
      </c>
      <c r="I29" s="93">
        <v>0</v>
      </c>
      <c r="J29" s="93">
        <v>0</v>
      </c>
      <c r="K29" s="93">
        <v>0</v>
      </c>
      <c r="L29" s="93">
        <v>0</v>
      </c>
      <c r="M29" s="6">
        <f t="shared" si="0"/>
        <v>23520000</v>
      </c>
      <c r="N29" s="29">
        <v>43171</v>
      </c>
      <c r="O29" s="30">
        <v>43465</v>
      </c>
      <c r="P29" s="12" t="s">
        <v>171</v>
      </c>
      <c r="Q29" s="11" t="s">
        <v>32</v>
      </c>
      <c r="R29" s="26" t="s">
        <v>224</v>
      </c>
      <c r="S29" s="26" t="s">
        <v>225</v>
      </c>
      <c r="T29" s="26" t="s">
        <v>226</v>
      </c>
      <c r="U29" s="26" t="s">
        <v>227</v>
      </c>
      <c r="V29" s="32" t="s">
        <v>228</v>
      </c>
      <c r="W29" s="26" t="s">
        <v>28</v>
      </c>
    </row>
    <row r="30" spans="1:23" ht="84.95" hidden="1" customHeight="1" x14ac:dyDescent="0.2">
      <c r="A30" s="27" t="s">
        <v>229</v>
      </c>
      <c r="B30" s="35" t="s">
        <v>230</v>
      </c>
      <c r="C30" s="34" t="s">
        <v>231</v>
      </c>
      <c r="D30" s="7">
        <v>261318300</v>
      </c>
      <c r="E30" s="28"/>
      <c r="F30" s="28"/>
      <c r="G30" s="7"/>
      <c r="H30" s="7">
        <v>261318300</v>
      </c>
      <c r="I30" s="93">
        <v>0</v>
      </c>
      <c r="J30" s="93">
        <v>0</v>
      </c>
      <c r="K30" s="93">
        <v>0</v>
      </c>
      <c r="L30" s="93">
        <v>0</v>
      </c>
      <c r="M30" s="6">
        <f t="shared" si="0"/>
        <v>261318300</v>
      </c>
      <c r="N30" s="29">
        <v>43167</v>
      </c>
      <c r="O30" s="30">
        <v>43738</v>
      </c>
      <c r="P30" s="12" t="s">
        <v>232</v>
      </c>
      <c r="Q30" s="13" t="s">
        <v>56</v>
      </c>
      <c r="R30" s="26" t="s">
        <v>233</v>
      </c>
      <c r="S30" s="26" t="s">
        <v>234</v>
      </c>
      <c r="T30" s="26" t="s">
        <v>235</v>
      </c>
      <c r="U30" s="26" t="s">
        <v>236</v>
      </c>
      <c r="V30" s="32" t="s">
        <v>237</v>
      </c>
      <c r="W30" s="26" t="s">
        <v>28</v>
      </c>
    </row>
    <row r="31" spans="1:23" ht="84.95" hidden="1" customHeight="1" x14ac:dyDescent="0.2">
      <c r="A31" s="27" t="s">
        <v>238</v>
      </c>
      <c r="B31" s="35" t="s">
        <v>239</v>
      </c>
      <c r="C31" s="34" t="s">
        <v>240</v>
      </c>
      <c r="D31" s="7">
        <v>5300000</v>
      </c>
      <c r="E31" s="28"/>
      <c r="F31" s="28"/>
      <c r="G31" s="7"/>
      <c r="H31" s="7">
        <v>5300000</v>
      </c>
      <c r="I31" s="93">
        <v>0</v>
      </c>
      <c r="J31" s="93">
        <v>0</v>
      </c>
      <c r="K31" s="93">
        <v>0</v>
      </c>
      <c r="L31" s="93">
        <v>0</v>
      </c>
      <c r="M31" s="6">
        <f t="shared" si="0"/>
        <v>5300000</v>
      </c>
      <c r="N31" s="29">
        <v>43168</v>
      </c>
      <c r="O31" s="30">
        <v>43465</v>
      </c>
      <c r="P31" s="12" t="s">
        <v>115</v>
      </c>
      <c r="Q31" s="13" t="s">
        <v>73</v>
      </c>
      <c r="R31" s="26" t="s">
        <v>241</v>
      </c>
      <c r="S31" s="26" t="s">
        <v>242</v>
      </c>
      <c r="T31" s="26" t="s">
        <v>243</v>
      </c>
      <c r="U31" s="26" t="s">
        <v>244</v>
      </c>
      <c r="V31" s="32" t="s">
        <v>245</v>
      </c>
      <c r="W31" s="26" t="s">
        <v>28</v>
      </c>
    </row>
    <row r="32" spans="1:23" ht="147.75" hidden="1" customHeight="1" x14ac:dyDescent="0.2">
      <c r="A32" s="27" t="s">
        <v>246</v>
      </c>
      <c r="B32" s="35" t="s">
        <v>247</v>
      </c>
      <c r="C32" s="34" t="s">
        <v>248</v>
      </c>
      <c r="D32" s="7" t="s">
        <v>40</v>
      </c>
      <c r="E32" s="28"/>
      <c r="F32" s="28"/>
      <c r="G32" s="7"/>
      <c r="H32" s="7" t="s">
        <v>40</v>
      </c>
      <c r="I32" s="93">
        <v>0</v>
      </c>
      <c r="J32" s="93">
        <v>0</v>
      </c>
      <c r="K32" s="93">
        <v>0</v>
      </c>
      <c r="L32" s="93">
        <v>0</v>
      </c>
      <c r="M32" s="6">
        <f t="shared" si="0"/>
        <v>0</v>
      </c>
      <c r="N32" s="29">
        <v>43171</v>
      </c>
      <c r="O32" s="30">
        <v>43901</v>
      </c>
      <c r="P32" s="12" t="s">
        <v>249</v>
      </c>
      <c r="Q32" s="13" t="s">
        <v>73</v>
      </c>
      <c r="R32" s="26" t="s">
        <v>250</v>
      </c>
      <c r="S32" s="26" t="s">
        <v>251</v>
      </c>
      <c r="T32" s="26" t="s">
        <v>252</v>
      </c>
      <c r="U32" s="26" t="s">
        <v>253</v>
      </c>
      <c r="V32" s="32" t="s">
        <v>254</v>
      </c>
      <c r="W32" s="26" t="s">
        <v>28</v>
      </c>
    </row>
    <row r="33" spans="1:23" ht="84.95" hidden="1" customHeight="1" x14ac:dyDescent="0.2">
      <c r="A33" s="27" t="s">
        <v>255</v>
      </c>
      <c r="B33" s="37" t="s">
        <v>256</v>
      </c>
      <c r="C33" s="34" t="s">
        <v>257</v>
      </c>
      <c r="D33" s="7">
        <v>48511515</v>
      </c>
      <c r="E33" s="28"/>
      <c r="F33" s="28"/>
      <c r="G33" s="7"/>
      <c r="H33" s="7" t="s">
        <v>40</v>
      </c>
      <c r="I33" s="93">
        <v>0</v>
      </c>
      <c r="J33" s="93">
        <v>0</v>
      </c>
      <c r="K33" s="93">
        <v>0</v>
      </c>
      <c r="L33" s="93">
        <v>0</v>
      </c>
      <c r="M33" s="6">
        <f t="shared" si="0"/>
        <v>0</v>
      </c>
      <c r="N33" s="29">
        <v>43172</v>
      </c>
      <c r="O33" s="30">
        <v>43465</v>
      </c>
      <c r="P33" s="12" t="s">
        <v>258</v>
      </c>
      <c r="Q33" s="13" t="s">
        <v>73</v>
      </c>
      <c r="R33" s="26" t="s">
        <v>259</v>
      </c>
      <c r="S33" s="26" t="s">
        <v>260</v>
      </c>
      <c r="T33" s="26" t="s">
        <v>261</v>
      </c>
      <c r="U33" s="26" t="s">
        <v>262</v>
      </c>
      <c r="V33" s="32" t="s">
        <v>263</v>
      </c>
      <c r="W33" s="26" t="s">
        <v>264</v>
      </c>
    </row>
    <row r="34" spans="1:23" ht="84.95" hidden="1" customHeight="1" x14ac:dyDescent="0.2">
      <c r="A34" s="27" t="s">
        <v>265</v>
      </c>
      <c r="B34" s="35" t="s">
        <v>266</v>
      </c>
      <c r="C34" s="34" t="s">
        <v>267</v>
      </c>
      <c r="D34" s="7">
        <v>17295000</v>
      </c>
      <c r="E34" s="28"/>
      <c r="F34" s="28"/>
      <c r="G34" s="7"/>
      <c r="H34" s="7" t="s">
        <v>40</v>
      </c>
      <c r="I34" s="93">
        <v>0</v>
      </c>
      <c r="J34" s="93">
        <v>0</v>
      </c>
      <c r="K34" s="93">
        <v>0</v>
      </c>
      <c r="L34" s="93">
        <v>0</v>
      </c>
      <c r="M34" s="6">
        <f t="shared" si="0"/>
        <v>0</v>
      </c>
      <c r="N34" s="29">
        <v>43173</v>
      </c>
      <c r="O34" s="30">
        <v>43465</v>
      </c>
      <c r="P34" s="12" t="s">
        <v>268</v>
      </c>
      <c r="Q34" s="13" t="s">
        <v>73</v>
      </c>
      <c r="R34" s="35" t="s">
        <v>266</v>
      </c>
      <c r="S34" s="26" t="s">
        <v>269</v>
      </c>
      <c r="T34" s="26" t="s">
        <v>270</v>
      </c>
      <c r="U34" s="26" t="s">
        <v>271</v>
      </c>
      <c r="V34" s="32" t="s">
        <v>272</v>
      </c>
      <c r="W34" s="26" t="s">
        <v>28</v>
      </c>
    </row>
    <row r="35" spans="1:23" ht="84.95" hidden="1" customHeight="1" x14ac:dyDescent="0.2">
      <c r="A35" s="27" t="s">
        <v>273</v>
      </c>
      <c r="B35" s="35" t="s">
        <v>274</v>
      </c>
      <c r="C35" s="34" t="s">
        <v>275</v>
      </c>
      <c r="D35" s="7">
        <v>24000000</v>
      </c>
      <c r="E35" s="28"/>
      <c r="F35" s="28"/>
      <c r="G35" s="7"/>
      <c r="H35" s="7" t="s">
        <v>40</v>
      </c>
      <c r="I35" s="93">
        <v>0</v>
      </c>
      <c r="J35" s="93">
        <v>0</v>
      </c>
      <c r="K35" s="93">
        <v>0</v>
      </c>
      <c r="L35" s="93">
        <v>0</v>
      </c>
      <c r="M35" s="6">
        <f t="shared" si="0"/>
        <v>0</v>
      </c>
      <c r="N35" s="29">
        <v>43174</v>
      </c>
      <c r="O35" s="30">
        <v>43465</v>
      </c>
      <c r="P35" s="12" t="s">
        <v>3307</v>
      </c>
      <c r="Q35" s="13" t="s">
        <v>56</v>
      </c>
      <c r="R35" s="26" t="s">
        <v>276</v>
      </c>
      <c r="S35" s="26" t="s">
        <v>277</v>
      </c>
      <c r="T35" s="26" t="s">
        <v>278</v>
      </c>
      <c r="U35" s="26" t="s">
        <v>279</v>
      </c>
      <c r="V35" s="32" t="s">
        <v>280</v>
      </c>
      <c r="W35" s="26" t="s">
        <v>281</v>
      </c>
    </row>
    <row r="36" spans="1:23" s="66" customFormat="1" ht="84.95" hidden="1" customHeight="1" x14ac:dyDescent="0.2">
      <c r="A36" s="27" t="s">
        <v>282</v>
      </c>
      <c r="B36" s="35" t="s">
        <v>283</v>
      </c>
      <c r="C36" s="34" t="s">
        <v>284</v>
      </c>
      <c r="D36" s="7">
        <v>11000000</v>
      </c>
      <c r="E36" s="28"/>
      <c r="F36" s="28"/>
      <c r="G36" s="7"/>
      <c r="H36" s="7" t="s">
        <v>40</v>
      </c>
      <c r="I36" s="93">
        <v>0</v>
      </c>
      <c r="J36" s="93">
        <v>0</v>
      </c>
      <c r="K36" s="93">
        <v>0</v>
      </c>
      <c r="L36" s="93">
        <v>0</v>
      </c>
      <c r="M36" s="6">
        <f t="shared" si="0"/>
        <v>0</v>
      </c>
      <c r="N36" s="29">
        <v>43174</v>
      </c>
      <c r="O36" s="30">
        <v>43220</v>
      </c>
      <c r="P36" s="62" t="s">
        <v>268</v>
      </c>
      <c r="Q36" s="61" t="s">
        <v>73</v>
      </c>
      <c r="R36" s="26" t="s">
        <v>285</v>
      </c>
      <c r="S36" s="26" t="s">
        <v>286</v>
      </c>
      <c r="T36" s="26" t="s">
        <v>287</v>
      </c>
      <c r="U36" s="26" t="s">
        <v>288</v>
      </c>
      <c r="V36" s="32" t="s">
        <v>289</v>
      </c>
      <c r="W36" s="26" t="s">
        <v>28</v>
      </c>
    </row>
    <row r="37" spans="1:23" ht="84.95" hidden="1" customHeight="1" x14ac:dyDescent="0.2">
      <c r="A37" s="27" t="s">
        <v>290</v>
      </c>
      <c r="B37" s="35" t="s">
        <v>291</v>
      </c>
      <c r="C37" s="34" t="s">
        <v>292</v>
      </c>
      <c r="D37" s="7">
        <v>4000000</v>
      </c>
      <c r="E37" s="28">
        <v>2000000</v>
      </c>
      <c r="F37" s="28"/>
      <c r="G37" s="7"/>
      <c r="H37" s="7">
        <v>4000000</v>
      </c>
      <c r="I37" s="93">
        <v>0</v>
      </c>
      <c r="J37" s="93">
        <v>0</v>
      </c>
      <c r="K37" s="93">
        <v>0</v>
      </c>
      <c r="L37" s="93">
        <v>0</v>
      </c>
      <c r="M37" s="6">
        <f t="shared" si="0"/>
        <v>4000000</v>
      </c>
      <c r="N37" s="29">
        <v>43174</v>
      </c>
      <c r="O37" s="30">
        <v>43738</v>
      </c>
      <c r="P37" s="12" t="s">
        <v>3308</v>
      </c>
      <c r="Q37" s="13" t="s">
        <v>73</v>
      </c>
      <c r="R37" s="26" t="s">
        <v>293</v>
      </c>
      <c r="S37" s="26" t="s">
        <v>294</v>
      </c>
      <c r="T37" s="26" t="s">
        <v>295</v>
      </c>
      <c r="U37" s="26" t="s">
        <v>296</v>
      </c>
      <c r="V37" s="32" t="s">
        <v>297</v>
      </c>
      <c r="W37" s="26" t="s">
        <v>28</v>
      </c>
    </row>
    <row r="38" spans="1:23" ht="84.95" hidden="1" customHeight="1" x14ac:dyDescent="0.2">
      <c r="A38" s="27" t="s">
        <v>298</v>
      </c>
      <c r="B38" s="35" t="s">
        <v>299</v>
      </c>
      <c r="C38" s="34" t="s">
        <v>300</v>
      </c>
      <c r="D38" s="7">
        <v>2380000</v>
      </c>
      <c r="E38" s="28"/>
      <c r="F38" s="28"/>
      <c r="G38" s="7"/>
      <c r="H38" s="7">
        <v>2380000</v>
      </c>
      <c r="I38" s="93">
        <v>0</v>
      </c>
      <c r="J38" s="93">
        <v>0</v>
      </c>
      <c r="K38" s="93">
        <v>0</v>
      </c>
      <c r="L38" s="93">
        <v>0</v>
      </c>
      <c r="M38" s="6">
        <f t="shared" si="0"/>
        <v>2380000</v>
      </c>
      <c r="N38" s="29">
        <v>43179</v>
      </c>
      <c r="O38" s="30">
        <v>43281</v>
      </c>
      <c r="P38" s="12" t="s">
        <v>258</v>
      </c>
      <c r="Q38" s="13" t="s">
        <v>73</v>
      </c>
      <c r="R38" s="26" t="s">
        <v>301</v>
      </c>
      <c r="S38" s="26" t="s">
        <v>302</v>
      </c>
      <c r="T38" s="26" t="s">
        <v>303</v>
      </c>
      <c r="U38" s="26" t="s">
        <v>304</v>
      </c>
      <c r="V38" s="32" t="s">
        <v>305</v>
      </c>
      <c r="W38" s="26" t="s">
        <v>28</v>
      </c>
    </row>
    <row r="39" spans="1:23" ht="84.95" hidden="1" customHeight="1" x14ac:dyDescent="0.2">
      <c r="A39" s="27" t="s">
        <v>306</v>
      </c>
      <c r="B39" s="35" t="s">
        <v>307</v>
      </c>
      <c r="C39" s="34" t="s">
        <v>3309</v>
      </c>
      <c r="D39" s="7">
        <v>17575740</v>
      </c>
      <c r="E39" s="28"/>
      <c r="F39" s="28"/>
      <c r="G39" s="7"/>
      <c r="H39" s="7">
        <v>17575740</v>
      </c>
      <c r="I39" s="93">
        <v>0</v>
      </c>
      <c r="J39" s="93">
        <v>0</v>
      </c>
      <c r="K39" s="93">
        <v>0</v>
      </c>
      <c r="L39" s="93">
        <v>0</v>
      </c>
      <c r="M39" s="6">
        <f t="shared" si="0"/>
        <v>17575740</v>
      </c>
      <c r="N39" s="29">
        <v>43179</v>
      </c>
      <c r="O39" s="30">
        <v>43465</v>
      </c>
      <c r="P39" s="12" t="s">
        <v>3310</v>
      </c>
      <c r="Q39" s="13" t="s">
        <v>73</v>
      </c>
      <c r="R39" s="26" t="s">
        <v>308</v>
      </c>
      <c r="S39" s="26" t="s">
        <v>309</v>
      </c>
      <c r="T39" s="26" t="s">
        <v>310</v>
      </c>
      <c r="U39" s="26" t="s">
        <v>311</v>
      </c>
      <c r="V39" s="32" t="s">
        <v>312</v>
      </c>
      <c r="W39" s="26" t="s">
        <v>28</v>
      </c>
    </row>
    <row r="40" spans="1:23" ht="84.95" hidden="1" customHeight="1" x14ac:dyDescent="0.2">
      <c r="A40" s="27" t="s">
        <v>313</v>
      </c>
      <c r="B40" s="33" t="s">
        <v>314</v>
      </c>
      <c r="C40" s="34" t="s">
        <v>315</v>
      </c>
      <c r="D40" s="7">
        <v>1983200</v>
      </c>
      <c r="E40" s="28"/>
      <c r="F40" s="28"/>
      <c r="G40" s="7"/>
      <c r="H40" s="7">
        <v>1983200</v>
      </c>
      <c r="I40" s="93">
        <v>0</v>
      </c>
      <c r="J40" s="93">
        <v>0</v>
      </c>
      <c r="K40" s="93">
        <v>0</v>
      </c>
      <c r="L40" s="93">
        <v>0</v>
      </c>
      <c r="M40" s="6">
        <f t="shared" si="0"/>
        <v>1983200</v>
      </c>
      <c r="N40" s="29">
        <v>43180</v>
      </c>
      <c r="O40" s="30">
        <v>43281</v>
      </c>
      <c r="P40" s="12" t="s">
        <v>316</v>
      </c>
      <c r="Q40" s="13" t="s">
        <v>73</v>
      </c>
      <c r="R40" s="26" t="s">
        <v>317</v>
      </c>
      <c r="S40" s="26" t="s">
        <v>318</v>
      </c>
      <c r="T40" s="26" t="s">
        <v>319</v>
      </c>
      <c r="U40" s="26" t="s">
        <v>320</v>
      </c>
      <c r="V40" s="32" t="s">
        <v>321</v>
      </c>
      <c r="W40" s="26" t="s">
        <v>28</v>
      </c>
    </row>
    <row r="41" spans="1:23" s="66" customFormat="1" ht="108" hidden="1" customHeight="1" x14ac:dyDescent="0.2">
      <c r="A41" s="27" t="s">
        <v>322</v>
      </c>
      <c r="B41" s="67" t="s">
        <v>323</v>
      </c>
      <c r="C41" s="68" t="s">
        <v>324</v>
      </c>
      <c r="D41" s="7">
        <v>50700000</v>
      </c>
      <c r="E41" s="28"/>
      <c r="F41" s="28"/>
      <c r="G41" s="7"/>
      <c r="H41" s="7">
        <v>50700000</v>
      </c>
      <c r="I41" s="93">
        <v>0</v>
      </c>
      <c r="J41" s="93">
        <v>0</v>
      </c>
      <c r="K41" s="93">
        <v>0</v>
      </c>
      <c r="L41" s="93">
        <v>0</v>
      </c>
      <c r="M41" s="6">
        <f t="shared" si="0"/>
        <v>50700000</v>
      </c>
      <c r="N41" s="29">
        <v>43180</v>
      </c>
      <c r="O41" s="30">
        <v>43281</v>
      </c>
      <c r="P41" s="62" t="s">
        <v>325</v>
      </c>
      <c r="Q41" s="61" t="s">
        <v>56</v>
      </c>
      <c r="R41" s="26" t="s">
        <v>326</v>
      </c>
      <c r="S41" s="26" t="s">
        <v>327</v>
      </c>
      <c r="T41" s="26" t="s">
        <v>328</v>
      </c>
      <c r="U41" s="26" t="s">
        <v>329</v>
      </c>
      <c r="V41" s="69" t="s">
        <v>330</v>
      </c>
      <c r="W41" s="26" t="s">
        <v>28</v>
      </c>
    </row>
    <row r="42" spans="1:23" ht="84.95" hidden="1" customHeight="1" x14ac:dyDescent="0.2">
      <c r="A42" s="27" t="s">
        <v>331</v>
      </c>
      <c r="B42" s="33" t="s">
        <v>332</v>
      </c>
      <c r="C42" s="34" t="s">
        <v>333</v>
      </c>
      <c r="D42" s="7">
        <v>12000000</v>
      </c>
      <c r="E42" s="28"/>
      <c r="F42" s="28"/>
      <c r="G42" s="7"/>
      <c r="H42" s="7">
        <v>12000000</v>
      </c>
      <c r="I42" s="93">
        <v>0</v>
      </c>
      <c r="J42" s="93">
        <v>0</v>
      </c>
      <c r="K42" s="93">
        <v>0</v>
      </c>
      <c r="L42" s="93">
        <v>0</v>
      </c>
      <c r="M42" s="6">
        <f t="shared" si="0"/>
        <v>12000000</v>
      </c>
      <c r="N42" s="29">
        <v>43180</v>
      </c>
      <c r="O42" s="30">
        <v>43496</v>
      </c>
      <c r="P42" s="12" t="s">
        <v>334</v>
      </c>
      <c r="Q42" s="13" t="s">
        <v>73</v>
      </c>
      <c r="R42" s="26" t="s">
        <v>335</v>
      </c>
      <c r="S42" s="26" t="s">
        <v>336</v>
      </c>
      <c r="T42" s="26" t="s">
        <v>337</v>
      </c>
      <c r="U42" s="26" t="s">
        <v>338</v>
      </c>
      <c r="V42" s="32" t="s">
        <v>339</v>
      </c>
      <c r="W42" s="26" t="s">
        <v>28</v>
      </c>
    </row>
    <row r="43" spans="1:23" ht="84.95" hidden="1" customHeight="1" x14ac:dyDescent="0.2">
      <c r="A43" s="27" t="s">
        <v>340</v>
      </c>
      <c r="B43" s="33" t="s">
        <v>341</v>
      </c>
      <c r="C43" s="34" t="s">
        <v>342</v>
      </c>
      <c r="D43" s="7">
        <v>9200000</v>
      </c>
      <c r="E43" s="28"/>
      <c r="F43" s="28"/>
      <c r="G43" s="7"/>
      <c r="H43" s="7">
        <v>9200000</v>
      </c>
      <c r="I43" s="93">
        <v>0</v>
      </c>
      <c r="J43" s="93">
        <v>0</v>
      </c>
      <c r="K43" s="93">
        <v>0</v>
      </c>
      <c r="L43" s="93">
        <v>0</v>
      </c>
      <c r="M43" s="6">
        <f t="shared" si="0"/>
        <v>9200000</v>
      </c>
      <c r="N43" s="29">
        <v>43185</v>
      </c>
      <c r="O43" s="30">
        <v>43465</v>
      </c>
      <c r="P43" s="12" t="s">
        <v>343</v>
      </c>
      <c r="Q43" s="13" t="s">
        <v>56</v>
      </c>
      <c r="R43" s="26" t="s">
        <v>344</v>
      </c>
      <c r="S43" s="26" t="s">
        <v>345</v>
      </c>
      <c r="T43" s="26" t="s">
        <v>346</v>
      </c>
      <c r="U43" s="26" t="s">
        <v>347</v>
      </c>
      <c r="V43" s="32" t="s">
        <v>348</v>
      </c>
      <c r="W43" s="26" t="s">
        <v>28</v>
      </c>
    </row>
    <row r="44" spans="1:23" ht="84.95" hidden="1" customHeight="1" x14ac:dyDescent="0.2">
      <c r="A44" s="27" t="s">
        <v>349</v>
      </c>
      <c r="B44" s="35" t="s">
        <v>350</v>
      </c>
      <c r="C44" s="34" t="s">
        <v>3311</v>
      </c>
      <c r="D44" s="7">
        <v>15000000</v>
      </c>
      <c r="E44" s="28">
        <v>5000000</v>
      </c>
      <c r="F44" s="28"/>
      <c r="G44" s="7"/>
      <c r="H44" s="7">
        <v>20000000</v>
      </c>
      <c r="I44" s="93">
        <v>0</v>
      </c>
      <c r="J44" s="93">
        <v>0</v>
      </c>
      <c r="K44" s="93">
        <v>0</v>
      </c>
      <c r="L44" s="93">
        <v>0</v>
      </c>
      <c r="M44" s="6">
        <f t="shared" si="0"/>
        <v>20000000</v>
      </c>
      <c r="N44" s="29">
        <v>43185</v>
      </c>
      <c r="O44" s="30">
        <v>43585</v>
      </c>
      <c r="P44" s="12" t="s">
        <v>31</v>
      </c>
      <c r="Q44" s="11" t="s">
        <v>32</v>
      </c>
      <c r="R44" s="26" t="s">
        <v>351</v>
      </c>
      <c r="S44" s="26" t="s">
        <v>352</v>
      </c>
      <c r="T44" s="26" t="s">
        <v>353</v>
      </c>
      <c r="U44" s="26" t="s">
        <v>354</v>
      </c>
      <c r="V44" s="32" t="s">
        <v>355</v>
      </c>
      <c r="W44" s="26" t="s">
        <v>28</v>
      </c>
    </row>
    <row r="45" spans="1:23" ht="124.5" hidden="1" customHeight="1" x14ac:dyDescent="0.2">
      <c r="A45" s="27" t="s">
        <v>356</v>
      </c>
      <c r="B45" s="38" t="s">
        <v>357</v>
      </c>
      <c r="C45" s="16" t="s">
        <v>358</v>
      </c>
      <c r="D45" s="7">
        <v>134897220</v>
      </c>
      <c r="E45" s="28">
        <v>67448610</v>
      </c>
      <c r="F45" s="28"/>
      <c r="G45" s="7"/>
      <c r="H45" s="7">
        <v>134897220</v>
      </c>
      <c r="I45" s="93">
        <v>0</v>
      </c>
      <c r="J45" s="93">
        <v>0</v>
      </c>
      <c r="K45" s="93">
        <v>0</v>
      </c>
      <c r="L45" s="93">
        <v>0</v>
      </c>
      <c r="M45" s="6">
        <f t="shared" si="0"/>
        <v>134897220</v>
      </c>
      <c r="N45" s="29">
        <v>43182</v>
      </c>
      <c r="O45" s="30">
        <v>43465</v>
      </c>
      <c r="P45" s="12" t="s">
        <v>359</v>
      </c>
      <c r="Q45" s="13" t="s">
        <v>73</v>
      </c>
      <c r="R45" s="26" t="s">
        <v>360</v>
      </c>
      <c r="S45" s="26" t="s">
        <v>361</v>
      </c>
      <c r="T45" s="26" t="s">
        <v>362</v>
      </c>
      <c r="U45" s="26" t="s">
        <v>363</v>
      </c>
      <c r="V45" s="32" t="s">
        <v>364</v>
      </c>
      <c r="W45" s="26" t="s">
        <v>28</v>
      </c>
    </row>
    <row r="46" spans="1:23" ht="131.25" hidden="1" customHeight="1" x14ac:dyDescent="0.2">
      <c r="A46" s="27" t="s">
        <v>365</v>
      </c>
      <c r="B46" s="38" t="s">
        <v>366</v>
      </c>
      <c r="C46" s="34" t="s">
        <v>358</v>
      </c>
      <c r="D46" s="7">
        <v>55000000</v>
      </c>
      <c r="E46" s="28">
        <v>15000000</v>
      </c>
      <c r="F46" s="28"/>
      <c r="G46" s="7"/>
      <c r="H46" s="7">
        <v>55000000</v>
      </c>
      <c r="I46" s="93">
        <v>0</v>
      </c>
      <c r="J46" s="93">
        <v>0</v>
      </c>
      <c r="K46" s="93">
        <v>0</v>
      </c>
      <c r="L46" s="93">
        <v>0</v>
      </c>
      <c r="M46" s="6">
        <f t="shared" si="0"/>
        <v>55000000</v>
      </c>
      <c r="N46" s="29">
        <v>43182</v>
      </c>
      <c r="O46" s="30">
        <v>43465</v>
      </c>
      <c r="P46" s="12" t="s">
        <v>359</v>
      </c>
      <c r="Q46" s="13" t="s">
        <v>73</v>
      </c>
      <c r="R46" s="26" t="s">
        <v>367</v>
      </c>
      <c r="S46" s="26" t="s">
        <v>368</v>
      </c>
      <c r="T46" s="26" t="s">
        <v>369</v>
      </c>
      <c r="U46" s="26" t="s">
        <v>370</v>
      </c>
      <c r="V46" s="32" t="s">
        <v>371</v>
      </c>
      <c r="W46" s="26" t="s">
        <v>28</v>
      </c>
    </row>
    <row r="47" spans="1:23" ht="84.95" hidden="1" customHeight="1" x14ac:dyDescent="0.2">
      <c r="A47" s="27" t="s">
        <v>372</v>
      </c>
      <c r="B47" s="38" t="s">
        <v>357</v>
      </c>
      <c r="C47" s="34" t="s">
        <v>3312</v>
      </c>
      <c r="D47" s="7">
        <v>72787000</v>
      </c>
      <c r="E47" s="28">
        <v>25000000</v>
      </c>
      <c r="F47" s="28"/>
      <c r="G47" s="7"/>
      <c r="H47" s="7">
        <v>72787000</v>
      </c>
      <c r="I47" s="93">
        <v>0</v>
      </c>
      <c r="J47" s="93">
        <v>0</v>
      </c>
      <c r="K47" s="93">
        <v>0</v>
      </c>
      <c r="L47" s="93">
        <v>0</v>
      </c>
      <c r="M47" s="6">
        <f t="shared" si="0"/>
        <v>72787000</v>
      </c>
      <c r="N47" s="29">
        <v>43182</v>
      </c>
      <c r="O47" s="30">
        <v>43465</v>
      </c>
      <c r="P47" s="12" t="s">
        <v>268</v>
      </c>
      <c r="Q47" s="13" t="s">
        <v>73</v>
      </c>
      <c r="R47" s="26" t="s">
        <v>373</v>
      </c>
      <c r="S47" s="26" t="s">
        <v>374</v>
      </c>
      <c r="T47" s="26" t="s">
        <v>362</v>
      </c>
      <c r="U47" s="26" t="s">
        <v>363</v>
      </c>
      <c r="V47" s="32" t="s">
        <v>364</v>
      </c>
      <c r="W47" s="26" t="s">
        <v>28</v>
      </c>
    </row>
    <row r="48" spans="1:23" ht="84.95" hidden="1" customHeight="1" x14ac:dyDescent="0.2">
      <c r="A48" s="27" t="s">
        <v>375</v>
      </c>
      <c r="B48" s="37" t="s">
        <v>376</v>
      </c>
      <c r="C48" s="34" t="s">
        <v>377</v>
      </c>
      <c r="D48" s="7">
        <v>13907008</v>
      </c>
      <c r="E48" s="28"/>
      <c r="F48" s="28"/>
      <c r="G48" s="7"/>
      <c r="H48" s="7">
        <v>13907008</v>
      </c>
      <c r="I48" s="93">
        <v>0</v>
      </c>
      <c r="J48" s="93">
        <v>0</v>
      </c>
      <c r="K48" s="93">
        <v>0</v>
      </c>
      <c r="L48" s="93">
        <v>0</v>
      </c>
      <c r="M48" s="6">
        <f t="shared" si="0"/>
        <v>13907008</v>
      </c>
      <c r="N48" s="29">
        <v>43185</v>
      </c>
      <c r="O48" s="30">
        <v>43241</v>
      </c>
      <c r="P48" s="12" t="s">
        <v>72</v>
      </c>
      <c r="Q48" s="13" t="s">
        <v>73</v>
      </c>
      <c r="R48" s="26" t="s">
        <v>378</v>
      </c>
      <c r="S48" s="26" t="s">
        <v>379</v>
      </c>
      <c r="T48" s="26" t="s">
        <v>380</v>
      </c>
      <c r="U48" s="26" t="s">
        <v>381</v>
      </c>
      <c r="V48" s="32" t="s">
        <v>382</v>
      </c>
      <c r="W48" s="26" t="s">
        <v>28</v>
      </c>
    </row>
    <row r="49" spans="1:23" ht="84.95" hidden="1" customHeight="1" x14ac:dyDescent="0.2">
      <c r="A49" s="27" t="s">
        <v>383</v>
      </c>
      <c r="B49" s="33" t="s">
        <v>384</v>
      </c>
      <c r="C49" s="34" t="s">
        <v>385</v>
      </c>
      <c r="D49" s="7">
        <v>11694130</v>
      </c>
      <c r="E49" s="28"/>
      <c r="F49" s="28"/>
      <c r="G49" s="7"/>
      <c r="H49" s="7">
        <v>11694130</v>
      </c>
      <c r="I49" s="93">
        <v>0</v>
      </c>
      <c r="J49" s="93">
        <v>0</v>
      </c>
      <c r="K49" s="93">
        <v>0</v>
      </c>
      <c r="L49" s="93">
        <v>0</v>
      </c>
      <c r="M49" s="6">
        <f t="shared" si="0"/>
        <v>11694130</v>
      </c>
      <c r="N49" s="29">
        <v>43185</v>
      </c>
      <c r="O49" s="30">
        <v>43281</v>
      </c>
      <c r="P49" s="12" t="s">
        <v>316</v>
      </c>
      <c r="Q49" s="13" t="s">
        <v>73</v>
      </c>
      <c r="R49" s="26" t="s">
        <v>386</v>
      </c>
      <c r="S49" s="26" t="s">
        <v>387</v>
      </c>
      <c r="T49" s="26" t="s">
        <v>388</v>
      </c>
      <c r="U49" s="26" t="s">
        <v>389</v>
      </c>
      <c r="V49" s="32" t="s">
        <v>390</v>
      </c>
      <c r="W49" s="26" t="s">
        <v>28</v>
      </c>
    </row>
    <row r="50" spans="1:23" ht="84.95" hidden="1" customHeight="1" x14ac:dyDescent="0.2">
      <c r="A50" s="27" t="s">
        <v>391</v>
      </c>
      <c r="B50" s="38" t="s">
        <v>392</v>
      </c>
      <c r="C50" s="34" t="s">
        <v>393</v>
      </c>
      <c r="D50" s="7">
        <v>150000000</v>
      </c>
      <c r="E50" s="28"/>
      <c r="F50" s="28"/>
      <c r="G50" s="7"/>
      <c r="H50" s="7">
        <v>150000000</v>
      </c>
      <c r="I50" s="93">
        <v>0</v>
      </c>
      <c r="J50" s="93">
        <v>0</v>
      </c>
      <c r="K50" s="93">
        <v>0</v>
      </c>
      <c r="L50" s="93">
        <v>0</v>
      </c>
      <c r="M50" s="6">
        <f t="shared" si="0"/>
        <v>150000000</v>
      </c>
      <c r="N50" s="29">
        <v>43274</v>
      </c>
      <c r="O50" s="30">
        <v>43799</v>
      </c>
      <c r="P50" s="12" t="s">
        <v>3288</v>
      </c>
      <c r="Q50" s="13" t="s">
        <v>56</v>
      </c>
      <c r="R50" s="26" t="s">
        <v>394</v>
      </c>
      <c r="S50" s="26" t="s">
        <v>395</v>
      </c>
      <c r="T50" s="26" t="s">
        <v>396</v>
      </c>
      <c r="U50" s="26" t="s">
        <v>397</v>
      </c>
      <c r="V50" s="32" t="s">
        <v>398</v>
      </c>
      <c r="W50" s="26" t="s">
        <v>28</v>
      </c>
    </row>
    <row r="51" spans="1:23" ht="84.95" hidden="1" customHeight="1" x14ac:dyDescent="0.2">
      <c r="A51" s="27" t="s">
        <v>399</v>
      </c>
      <c r="B51" s="33" t="s">
        <v>400</v>
      </c>
      <c r="C51" s="36" t="s">
        <v>401</v>
      </c>
      <c r="D51" s="7">
        <v>4000000</v>
      </c>
      <c r="E51" s="28"/>
      <c r="F51" s="28"/>
      <c r="G51" s="7"/>
      <c r="H51" s="7">
        <v>4000000</v>
      </c>
      <c r="I51" s="93">
        <v>0</v>
      </c>
      <c r="J51" s="93">
        <v>0</v>
      </c>
      <c r="K51" s="93">
        <v>0</v>
      </c>
      <c r="L51" s="93">
        <v>0</v>
      </c>
      <c r="M51" s="6">
        <f t="shared" si="0"/>
        <v>4000000</v>
      </c>
      <c r="N51" s="29">
        <v>43192</v>
      </c>
      <c r="O51" s="30">
        <v>43465</v>
      </c>
      <c r="P51" s="12" t="s">
        <v>402</v>
      </c>
      <c r="Q51" s="11" t="s">
        <v>32</v>
      </c>
      <c r="R51" s="26" t="s">
        <v>403</v>
      </c>
      <c r="S51" s="26" t="s">
        <v>404</v>
      </c>
      <c r="T51" s="26" t="s">
        <v>405</v>
      </c>
      <c r="U51" s="26" t="s">
        <v>406</v>
      </c>
      <c r="V51" s="32" t="s">
        <v>407</v>
      </c>
      <c r="W51" s="26" t="s">
        <v>28</v>
      </c>
    </row>
    <row r="52" spans="1:23" ht="84.95" hidden="1" customHeight="1" x14ac:dyDescent="0.2">
      <c r="A52" s="27" t="s">
        <v>408</v>
      </c>
      <c r="B52" s="38" t="s">
        <v>409</v>
      </c>
      <c r="C52" s="16" t="s">
        <v>401</v>
      </c>
      <c r="D52" s="7">
        <v>46070000</v>
      </c>
      <c r="E52" s="28"/>
      <c r="F52" s="28"/>
      <c r="G52" s="7"/>
      <c r="H52" s="7">
        <v>46070000</v>
      </c>
      <c r="I52" s="93">
        <v>0</v>
      </c>
      <c r="J52" s="93">
        <v>0</v>
      </c>
      <c r="K52" s="93">
        <v>0</v>
      </c>
      <c r="L52" s="93">
        <v>0</v>
      </c>
      <c r="M52" s="6">
        <f t="shared" si="0"/>
        <v>46070000</v>
      </c>
      <c r="N52" s="29">
        <v>43192</v>
      </c>
      <c r="O52" s="30">
        <v>43465</v>
      </c>
      <c r="P52" s="12" t="s">
        <v>402</v>
      </c>
      <c r="Q52" s="11" t="s">
        <v>32</v>
      </c>
      <c r="R52" s="26" t="s">
        <v>410</v>
      </c>
      <c r="S52" s="26" t="s">
        <v>411</v>
      </c>
      <c r="T52" s="26" t="s">
        <v>412</v>
      </c>
      <c r="U52" s="26" t="s">
        <v>413</v>
      </c>
      <c r="V52" s="32" t="s">
        <v>414</v>
      </c>
      <c r="W52" s="26" t="s">
        <v>28</v>
      </c>
    </row>
    <row r="53" spans="1:23" ht="84.95" hidden="1" customHeight="1" x14ac:dyDescent="0.2">
      <c r="A53" s="27" t="s">
        <v>415</v>
      </c>
      <c r="B53" s="38" t="s">
        <v>416</v>
      </c>
      <c r="C53" s="34" t="s">
        <v>417</v>
      </c>
      <c r="D53" s="7">
        <v>10875480</v>
      </c>
      <c r="E53" s="28"/>
      <c r="F53" s="28"/>
      <c r="G53" s="7"/>
      <c r="H53" s="7">
        <v>10875480</v>
      </c>
      <c r="I53" s="93">
        <v>0</v>
      </c>
      <c r="J53" s="93">
        <v>0</v>
      </c>
      <c r="K53" s="93">
        <v>0</v>
      </c>
      <c r="L53" s="93">
        <v>0</v>
      </c>
      <c r="M53" s="6">
        <f t="shared" si="0"/>
        <v>10875480</v>
      </c>
      <c r="N53" s="29">
        <v>43193</v>
      </c>
      <c r="O53" s="30">
        <v>43465</v>
      </c>
      <c r="P53" s="12" t="s">
        <v>418</v>
      </c>
      <c r="Q53" s="13" t="s">
        <v>56</v>
      </c>
      <c r="R53" s="26" t="s">
        <v>419</v>
      </c>
      <c r="S53" s="26" t="s">
        <v>420</v>
      </c>
      <c r="T53" s="26" t="s">
        <v>421</v>
      </c>
      <c r="U53" s="26" t="s">
        <v>422</v>
      </c>
      <c r="V53" s="32" t="s">
        <v>423</v>
      </c>
      <c r="W53" s="26" t="s">
        <v>28</v>
      </c>
    </row>
    <row r="54" spans="1:23" ht="84.95" hidden="1" customHeight="1" x14ac:dyDescent="0.2">
      <c r="A54" s="27" t="s">
        <v>424</v>
      </c>
      <c r="B54" s="38" t="s">
        <v>425</v>
      </c>
      <c r="C54" s="34" t="s">
        <v>3313</v>
      </c>
      <c r="D54" s="7">
        <v>4980000</v>
      </c>
      <c r="E54" s="28"/>
      <c r="F54" s="28"/>
      <c r="G54" s="7"/>
      <c r="H54" s="7">
        <v>4980000</v>
      </c>
      <c r="I54" s="93">
        <v>0</v>
      </c>
      <c r="J54" s="93">
        <v>0</v>
      </c>
      <c r="K54" s="93">
        <v>0</v>
      </c>
      <c r="L54" s="93">
        <v>0</v>
      </c>
      <c r="M54" s="6">
        <f t="shared" si="0"/>
        <v>4980000</v>
      </c>
      <c r="N54" s="29">
        <v>43193</v>
      </c>
      <c r="O54" s="30">
        <v>43465</v>
      </c>
      <c r="P54" s="12" t="s">
        <v>426</v>
      </c>
      <c r="Q54" s="13" t="s">
        <v>73</v>
      </c>
      <c r="R54" s="26" t="s">
        <v>427</v>
      </c>
      <c r="S54" s="26" t="s">
        <v>428</v>
      </c>
      <c r="T54" s="26" t="s">
        <v>429</v>
      </c>
      <c r="U54" s="26" t="s">
        <v>430</v>
      </c>
      <c r="V54" s="32" t="s">
        <v>431</v>
      </c>
      <c r="W54" s="26" t="s">
        <v>28</v>
      </c>
    </row>
    <row r="55" spans="1:23" ht="84.95" hidden="1" customHeight="1" x14ac:dyDescent="0.2">
      <c r="A55" s="27" t="s">
        <v>432</v>
      </c>
      <c r="B55" s="38" t="s">
        <v>433</v>
      </c>
      <c r="C55" s="36" t="s">
        <v>3072</v>
      </c>
      <c r="D55" s="7">
        <v>17000000</v>
      </c>
      <c r="E55" s="28"/>
      <c r="F55" s="28"/>
      <c r="G55" s="7"/>
      <c r="H55" s="7">
        <v>17000000</v>
      </c>
      <c r="I55" s="93">
        <v>0</v>
      </c>
      <c r="J55" s="93">
        <v>0</v>
      </c>
      <c r="K55" s="93">
        <v>0</v>
      </c>
      <c r="L55" s="93">
        <v>0</v>
      </c>
      <c r="M55" s="6">
        <f t="shared" si="0"/>
        <v>17000000</v>
      </c>
      <c r="N55" s="29">
        <v>43193</v>
      </c>
      <c r="O55" s="30">
        <v>43281</v>
      </c>
      <c r="P55" s="12" t="s">
        <v>3138</v>
      </c>
      <c r="Q55" s="13" t="s">
        <v>56</v>
      </c>
      <c r="R55" s="26" t="s">
        <v>434</v>
      </c>
      <c r="S55" s="26" t="s">
        <v>435</v>
      </c>
      <c r="T55" s="26" t="s">
        <v>436</v>
      </c>
      <c r="U55" s="26" t="s">
        <v>437</v>
      </c>
      <c r="V55" s="32" t="s">
        <v>438</v>
      </c>
      <c r="W55" s="26" t="s">
        <v>439</v>
      </c>
    </row>
    <row r="56" spans="1:23" ht="84.95" hidden="1" customHeight="1" x14ac:dyDescent="0.2">
      <c r="A56" s="27" t="s">
        <v>440</v>
      </c>
      <c r="B56" s="39" t="s">
        <v>441</v>
      </c>
      <c r="C56" s="16" t="s">
        <v>3072</v>
      </c>
      <c r="D56" s="7">
        <v>20000000</v>
      </c>
      <c r="E56" s="28"/>
      <c r="F56" s="28"/>
      <c r="G56" s="7"/>
      <c r="H56" s="7">
        <v>20000000</v>
      </c>
      <c r="I56" s="93">
        <v>0</v>
      </c>
      <c r="J56" s="93">
        <v>0</v>
      </c>
      <c r="K56" s="93">
        <v>0</v>
      </c>
      <c r="L56" s="93">
        <v>0</v>
      </c>
      <c r="M56" s="6">
        <f t="shared" si="0"/>
        <v>20000000</v>
      </c>
      <c r="N56" s="29">
        <v>43193</v>
      </c>
      <c r="O56" s="30">
        <v>43281</v>
      </c>
      <c r="P56" s="12" t="s">
        <v>513</v>
      </c>
      <c r="Q56" s="13" t="s">
        <v>56</v>
      </c>
      <c r="R56" s="26" t="s">
        <v>442</v>
      </c>
      <c r="S56" s="26" t="s">
        <v>443</v>
      </c>
      <c r="T56" s="26" t="s">
        <v>444</v>
      </c>
      <c r="U56" s="26" t="s">
        <v>445</v>
      </c>
      <c r="V56" s="32" t="s">
        <v>446</v>
      </c>
      <c r="W56" s="26" t="s">
        <v>28</v>
      </c>
    </row>
    <row r="57" spans="1:23" ht="84.95" hidden="1" customHeight="1" x14ac:dyDescent="0.2">
      <c r="A57" s="27" t="s">
        <v>447</v>
      </c>
      <c r="B57" s="40" t="s">
        <v>448</v>
      </c>
      <c r="C57" s="16" t="s">
        <v>449</v>
      </c>
      <c r="D57" s="7">
        <v>3348000</v>
      </c>
      <c r="E57" s="28"/>
      <c r="F57" s="28"/>
      <c r="G57" s="7"/>
      <c r="H57" s="7">
        <v>3348000</v>
      </c>
      <c r="I57" s="93">
        <v>0</v>
      </c>
      <c r="J57" s="93">
        <v>0</v>
      </c>
      <c r="K57" s="93">
        <v>0</v>
      </c>
      <c r="L57" s="93">
        <v>0</v>
      </c>
      <c r="M57" s="6">
        <f t="shared" si="0"/>
        <v>3348000</v>
      </c>
      <c r="N57" s="29">
        <v>43194</v>
      </c>
      <c r="O57" s="30">
        <v>43465</v>
      </c>
      <c r="P57" s="12" t="s">
        <v>450</v>
      </c>
      <c r="Q57" s="13" t="s">
        <v>73</v>
      </c>
      <c r="R57" s="26" t="s">
        <v>451</v>
      </c>
      <c r="S57" s="26" t="s">
        <v>452</v>
      </c>
      <c r="T57" s="26" t="s">
        <v>453</v>
      </c>
      <c r="U57" s="26" t="s">
        <v>454</v>
      </c>
      <c r="V57" s="32" t="s">
        <v>455</v>
      </c>
      <c r="W57" s="26" t="s">
        <v>28</v>
      </c>
    </row>
    <row r="58" spans="1:23" ht="84.95" hidden="1" customHeight="1" x14ac:dyDescent="0.2">
      <c r="A58" s="27" t="s">
        <v>456</v>
      </c>
      <c r="B58" s="40" t="s">
        <v>457</v>
      </c>
      <c r="C58" s="41" t="s">
        <v>458</v>
      </c>
      <c r="D58" s="7">
        <v>9805000</v>
      </c>
      <c r="E58" s="28"/>
      <c r="F58" s="28"/>
      <c r="G58" s="7"/>
      <c r="H58" s="7">
        <v>9805000</v>
      </c>
      <c r="I58" s="93">
        <v>0</v>
      </c>
      <c r="J58" s="93">
        <v>0</v>
      </c>
      <c r="K58" s="93">
        <v>0</v>
      </c>
      <c r="L58" s="93">
        <v>0</v>
      </c>
      <c r="M58" s="6">
        <f t="shared" si="0"/>
        <v>9805000</v>
      </c>
      <c r="N58" s="29">
        <v>43196</v>
      </c>
      <c r="O58" s="30">
        <v>43220</v>
      </c>
      <c r="P58" s="12" t="s">
        <v>3291</v>
      </c>
      <c r="Q58" s="13" t="s">
        <v>73</v>
      </c>
      <c r="R58" s="26" t="s">
        <v>459</v>
      </c>
      <c r="S58" s="26" t="s">
        <v>460</v>
      </c>
      <c r="T58" s="26" t="s">
        <v>461</v>
      </c>
      <c r="U58" s="26" t="s">
        <v>462</v>
      </c>
      <c r="V58" s="32" t="s">
        <v>463</v>
      </c>
      <c r="W58" s="26" t="s">
        <v>28</v>
      </c>
    </row>
    <row r="59" spans="1:23" ht="84.95" hidden="1" customHeight="1" x14ac:dyDescent="0.2">
      <c r="A59" s="27" t="s">
        <v>464</v>
      </c>
      <c r="B59" s="42" t="s">
        <v>465</v>
      </c>
      <c r="C59" s="41" t="s">
        <v>3227</v>
      </c>
      <c r="D59" s="7">
        <v>50780730</v>
      </c>
      <c r="E59" s="28"/>
      <c r="F59" s="28"/>
      <c r="G59" s="7"/>
      <c r="H59" s="7">
        <v>50780730</v>
      </c>
      <c r="I59" s="93">
        <v>0</v>
      </c>
      <c r="J59" s="93">
        <v>0</v>
      </c>
      <c r="K59" s="93">
        <v>0</v>
      </c>
      <c r="L59" s="93">
        <v>0</v>
      </c>
      <c r="M59" s="6">
        <f t="shared" si="0"/>
        <v>50780730</v>
      </c>
      <c r="N59" s="29">
        <v>43196</v>
      </c>
      <c r="O59" s="30">
        <v>43616</v>
      </c>
      <c r="P59" s="12" t="s">
        <v>426</v>
      </c>
      <c r="Q59" s="13" t="s">
        <v>73</v>
      </c>
      <c r="R59" s="26" t="s">
        <v>466</v>
      </c>
      <c r="S59" s="26" t="s">
        <v>467</v>
      </c>
      <c r="T59" s="26" t="s">
        <v>468</v>
      </c>
      <c r="U59" s="26" t="s">
        <v>469</v>
      </c>
      <c r="V59" s="32" t="s">
        <v>470</v>
      </c>
      <c r="W59" s="26" t="s">
        <v>28</v>
      </c>
    </row>
    <row r="60" spans="1:23" ht="84.95" hidden="1" customHeight="1" x14ac:dyDescent="0.2">
      <c r="A60" s="27" t="s">
        <v>471</v>
      </c>
      <c r="B60" s="38" t="s">
        <v>472</v>
      </c>
      <c r="C60" s="34" t="s">
        <v>473</v>
      </c>
      <c r="D60" s="7">
        <v>120000000</v>
      </c>
      <c r="E60" s="28"/>
      <c r="F60" s="28"/>
      <c r="G60" s="7"/>
      <c r="H60" s="7">
        <v>120000000</v>
      </c>
      <c r="I60" s="93">
        <v>0</v>
      </c>
      <c r="J60" s="93">
        <v>0</v>
      </c>
      <c r="K60" s="93">
        <v>0</v>
      </c>
      <c r="L60" s="93">
        <v>0</v>
      </c>
      <c r="M60" s="6">
        <f t="shared" si="0"/>
        <v>120000000</v>
      </c>
      <c r="N60" s="29">
        <v>43199</v>
      </c>
      <c r="O60" s="30">
        <v>43555</v>
      </c>
      <c r="P60" s="12" t="s">
        <v>171</v>
      </c>
      <c r="Q60" s="11" t="s">
        <v>32</v>
      </c>
      <c r="R60" s="26" t="s">
        <v>474</v>
      </c>
      <c r="S60" s="26" t="s">
        <v>475</v>
      </c>
      <c r="T60" s="26" t="s">
        <v>476</v>
      </c>
      <c r="U60" s="26" t="s">
        <v>477</v>
      </c>
      <c r="V60" s="32" t="s">
        <v>478</v>
      </c>
      <c r="W60" s="26" t="s">
        <v>28</v>
      </c>
    </row>
    <row r="61" spans="1:23" ht="84.95" hidden="1" customHeight="1" x14ac:dyDescent="0.2">
      <c r="A61" s="27" t="s">
        <v>479</v>
      </c>
      <c r="B61" s="40" t="s">
        <v>480</v>
      </c>
      <c r="C61" s="16" t="s">
        <v>481</v>
      </c>
      <c r="D61" s="7">
        <v>199299894</v>
      </c>
      <c r="E61" s="28"/>
      <c r="F61" s="28"/>
      <c r="G61" s="7"/>
      <c r="H61" s="7">
        <v>199299894</v>
      </c>
      <c r="I61" s="93">
        <v>0</v>
      </c>
      <c r="J61" s="93">
        <v>0</v>
      </c>
      <c r="K61" s="93">
        <v>0</v>
      </c>
      <c r="L61" s="93">
        <v>0</v>
      </c>
      <c r="M61" s="6">
        <f t="shared" si="0"/>
        <v>199299894</v>
      </c>
      <c r="N61" s="29">
        <v>43201</v>
      </c>
      <c r="O61" s="30">
        <v>43465</v>
      </c>
      <c r="P61" s="12" t="s">
        <v>258</v>
      </c>
      <c r="Q61" s="13" t="s">
        <v>73</v>
      </c>
      <c r="R61" s="26" t="s">
        <v>482</v>
      </c>
      <c r="S61" s="26" t="s">
        <v>483</v>
      </c>
      <c r="T61" s="26" t="s">
        <v>484</v>
      </c>
      <c r="U61" s="26" t="s">
        <v>485</v>
      </c>
      <c r="V61" s="32" t="s">
        <v>486</v>
      </c>
      <c r="W61" s="26" t="s">
        <v>28</v>
      </c>
    </row>
    <row r="62" spans="1:23" ht="84.95" hidden="1" customHeight="1" x14ac:dyDescent="0.2">
      <c r="A62" s="27" t="s">
        <v>487</v>
      </c>
      <c r="B62" s="35" t="s">
        <v>488</v>
      </c>
      <c r="C62" s="34" t="s">
        <v>489</v>
      </c>
      <c r="D62" s="7">
        <v>35700000</v>
      </c>
      <c r="E62" s="28"/>
      <c r="F62" s="28"/>
      <c r="G62" s="7"/>
      <c r="H62" s="7">
        <v>35700000</v>
      </c>
      <c r="I62" s="93">
        <v>0</v>
      </c>
      <c r="J62" s="93">
        <v>0</v>
      </c>
      <c r="K62" s="93">
        <v>0</v>
      </c>
      <c r="L62" s="93">
        <v>0</v>
      </c>
      <c r="M62" s="6">
        <f t="shared" si="0"/>
        <v>35700000</v>
      </c>
      <c r="N62" s="29">
        <v>43201</v>
      </c>
      <c r="O62" s="30">
        <v>43465</v>
      </c>
      <c r="P62" s="12" t="s">
        <v>115</v>
      </c>
      <c r="Q62" s="13" t="s">
        <v>73</v>
      </c>
      <c r="R62" s="26" t="s">
        <v>490</v>
      </c>
      <c r="S62" s="26" t="s">
        <v>491</v>
      </c>
      <c r="T62" s="26" t="s">
        <v>492</v>
      </c>
      <c r="U62" s="26" t="s">
        <v>493</v>
      </c>
      <c r="V62" s="32" t="s">
        <v>494</v>
      </c>
      <c r="W62" s="26" t="s">
        <v>28</v>
      </c>
    </row>
    <row r="63" spans="1:23" ht="84.95" hidden="1" customHeight="1" x14ac:dyDescent="0.2">
      <c r="A63" s="27" t="s">
        <v>495</v>
      </c>
      <c r="B63" s="38" t="s">
        <v>496</v>
      </c>
      <c r="C63" s="16" t="s">
        <v>497</v>
      </c>
      <c r="D63" s="7">
        <v>55620000</v>
      </c>
      <c r="E63" s="28">
        <v>18000000</v>
      </c>
      <c r="F63" s="28"/>
      <c r="G63" s="7"/>
      <c r="H63" s="7">
        <v>55620000</v>
      </c>
      <c r="I63" s="93">
        <v>0</v>
      </c>
      <c r="J63" s="93">
        <v>0</v>
      </c>
      <c r="K63" s="93">
        <v>0</v>
      </c>
      <c r="L63" s="93">
        <v>0</v>
      </c>
      <c r="M63" s="6">
        <f t="shared" si="0"/>
        <v>55620000</v>
      </c>
      <c r="N63" s="29">
        <v>43202</v>
      </c>
      <c r="O63" s="30">
        <v>43830</v>
      </c>
      <c r="P63" s="12" t="s">
        <v>426</v>
      </c>
      <c r="Q63" s="13" t="s">
        <v>73</v>
      </c>
      <c r="R63" s="26" t="s">
        <v>498</v>
      </c>
      <c r="S63" s="26" t="s">
        <v>499</v>
      </c>
      <c r="T63" s="26" t="s">
        <v>500</v>
      </c>
      <c r="U63" s="26" t="s">
        <v>501</v>
      </c>
      <c r="V63" s="32" t="s">
        <v>502</v>
      </c>
      <c r="W63" s="26" t="s">
        <v>28</v>
      </c>
    </row>
    <row r="64" spans="1:23" ht="84.95" hidden="1" customHeight="1" x14ac:dyDescent="0.2">
      <c r="A64" s="27" t="s">
        <v>503</v>
      </c>
      <c r="B64" s="38" t="s">
        <v>504</v>
      </c>
      <c r="C64" s="16" t="s">
        <v>3314</v>
      </c>
      <c r="D64" s="7">
        <v>60970850</v>
      </c>
      <c r="E64" s="28"/>
      <c r="F64" s="28"/>
      <c r="G64" s="7"/>
      <c r="H64" s="7">
        <v>60970850</v>
      </c>
      <c r="I64" s="93">
        <v>0</v>
      </c>
      <c r="J64" s="93">
        <v>0</v>
      </c>
      <c r="K64" s="93">
        <v>0</v>
      </c>
      <c r="L64" s="93">
        <v>0</v>
      </c>
      <c r="M64" s="6">
        <f t="shared" si="0"/>
        <v>60970850</v>
      </c>
      <c r="N64" s="29">
        <v>43206</v>
      </c>
      <c r="O64" s="30">
        <v>43465</v>
      </c>
      <c r="P64" s="12" t="s">
        <v>505</v>
      </c>
      <c r="Q64" s="13" t="s">
        <v>73</v>
      </c>
      <c r="R64" s="26" t="s">
        <v>506</v>
      </c>
      <c r="S64" s="26" t="s">
        <v>507</v>
      </c>
      <c r="T64" s="26" t="s">
        <v>508</v>
      </c>
      <c r="U64" s="26" t="s">
        <v>509</v>
      </c>
      <c r="V64" s="32" t="s">
        <v>510</v>
      </c>
      <c r="W64" s="26" t="s">
        <v>28</v>
      </c>
    </row>
    <row r="65" spans="1:23" ht="84.95" hidden="1" customHeight="1" x14ac:dyDescent="0.2">
      <c r="A65" s="27" t="s">
        <v>511</v>
      </c>
      <c r="B65" s="43" t="s">
        <v>230</v>
      </c>
      <c r="C65" s="34" t="s">
        <v>512</v>
      </c>
      <c r="D65" s="7">
        <v>366666667</v>
      </c>
      <c r="E65" s="28"/>
      <c r="F65" s="28"/>
      <c r="G65" s="7"/>
      <c r="H65" s="7">
        <v>366666667</v>
      </c>
      <c r="I65" s="93">
        <v>0</v>
      </c>
      <c r="J65" s="93">
        <v>0</v>
      </c>
      <c r="K65" s="93">
        <v>0</v>
      </c>
      <c r="L65" s="93">
        <v>0</v>
      </c>
      <c r="M65" s="6">
        <f t="shared" si="0"/>
        <v>366666667</v>
      </c>
      <c r="N65" s="29">
        <v>43209</v>
      </c>
      <c r="O65" s="30">
        <v>43465</v>
      </c>
      <c r="P65" s="12" t="s">
        <v>513</v>
      </c>
      <c r="Q65" s="13" t="s">
        <v>56</v>
      </c>
      <c r="R65" s="26" t="s">
        <v>514</v>
      </c>
      <c r="S65" s="26" t="s">
        <v>515</v>
      </c>
      <c r="T65" s="26" t="s">
        <v>516</v>
      </c>
      <c r="U65" s="26" t="s">
        <v>517</v>
      </c>
      <c r="V65" s="32" t="s">
        <v>518</v>
      </c>
      <c r="W65" s="26" t="s">
        <v>28</v>
      </c>
    </row>
    <row r="66" spans="1:23" ht="84.95" hidden="1" customHeight="1" x14ac:dyDescent="0.2">
      <c r="A66" s="27" t="s">
        <v>519</v>
      </c>
      <c r="B66" s="43" t="s">
        <v>520</v>
      </c>
      <c r="C66" s="34" t="s">
        <v>512</v>
      </c>
      <c r="D66" s="7">
        <v>90000000</v>
      </c>
      <c r="E66" s="28"/>
      <c r="F66" s="28"/>
      <c r="G66" s="7"/>
      <c r="H66" s="7">
        <v>90000000</v>
      </c>
      <c r="I66" s="93">
        <v>0</v>
      </c>
      <c r="J66" s="93">
        <v>0</v>
      </c>
      <c r="K66" s="93">
        <v>0</v>
      </c>
      <c r="L66" s="93">
        <v>0</v>
      </c>
      <c r="M66" s="6">
        <f t="shared" si="0"/>
        <v>90000000</v>
      </c>
      <c r="N66" s="29">
        <v>43209</v>
      </c>
      <c r="O66" s="30">
        <v>43465</v>
      </c>
      <c r="P66" s="12" t="s">
        <v>521</v>
      </c>
      <c r="Q66" s="13" t="s">
        <v>56</v>
      </c>
      <c r="R66" s="26" t="s">
        <v>522</v>
      </c>
      <c r="S66" s="26" t="s">
        <v>523</v>
      </c>
      <c r="T66" s="26" t="s">
        <v>524</v>
      </c>
      <c r="U66" s="26" t="s">
        <v>525</v>
      </c>
      <c r="V66" s="32" t="s">
        <v>526</v>
      </c>
      <c r="W66" s="26" t="s">
        <v>28</v>
      </c>
    </row>
    <row r="67" spans="1:23" ht="84.95" hidden="1" customHeight="1" x14ac:dyDescent="0.2">
      <c r="A67" s="27" t="s">
        <v>527</v>
      </c>
      <c r="B67" s="43" t="s">
        <v>528</v>
      </c>
      <c r="C67" s="34" t="s">
        <v>512</v>
      </c>
      <c r="D67" s="7">
        <v>68750000</v>
      </c>
      <c r="E67" s="28"/>
      <c r="F67" s="28"/>
      <c r="G67" s="7"/>
      <c r="H67" s="7">
        <v>68750000</v>
      </c>
      <c r="I67" s="93">
        <v>0</v>
      </c>
      <c r="J67" s="93">
        <v>0</v>
      </c>
      <c r="K67" s="93">
        <v>0</v>
      </c>
      <c r="L67" s="93">
        <v>0</v>
      </c>
      <c r="M67" s="6">
        <f t="shared" si="0"/>
        <v>68750000</v>
      </c>
      <c r="N67" s="29">
        <v>43209</v>
      </c>
      <c r="O67" s="30">
        <v>43465</v>
      </c>
      <c r="P67" s="62" t="s">
        <v>325</v>
      </c>
      <c r="Q67" s="13" t="s">
        <v>56</v>
      </c>
      <c r="R67" s="26" t="s">
        <v>529</v>
      </c>
      <c r="S67" s="26" t="s">
        <v>435</v>
      </c>
      <c r="T67" s="26" t="s">
        <v>436</v>
      </c>
      <c r="U67" s="26" t="s">
        <v>437</v>
      </c>
      <c r="V67" s="32" t="s">
        <v>438</v>
      </c>
      <c r="W67" s="26" t="s">
        <v>28</v>
      </c>
    </row>
    <row r="68" spans="1:23" ht="84.95" hidden="1" customHeight="1" x14ac:dyDescent="0.2">
      <c r="A68" s="27" t="s">
        <v>530</v>
      </c>
      <c r="B68" s="43" t="s">
        <v>531</v>
      </c>
      <c r="C68" s="34" t="s">
        <v>512</v>
      </c>
      <c r="D68" s="7">
        <v>55000000</v>
      </c>
      <c r="E68" s="28"/>
      <c r="F68" s="28"/>
      <c r="G68" s="7"/>
      <c r="H68" s="7">
        <v>55000000</v>
      </c>
      <c r="I68" s="93">
        <v>0</v>
      </c>
      <c r="J68" s="93">
        <v>0</v>
      </c>
      <c r="K68" s="93">
        <v>0</v>
      </c>
      <c r="L68" s="93">
        <v>0</v>
      </c>
      <c r="M68" s="6">
        <f t="shared" ref="M68:M131" si="1">SUM(H68:L68)</f>
        <v>55000000</v>
      </c>
      <c r="N68" s="29">
        <v>43209</v>
      </c>
      <c r="O68" s="30">
        <v>43555</v>
      </c>
      <c r="P68" s="12" t="s">
        <v>532</v>
      </c>
      <c r="Q68" s="13" t="s">
        <v>56</v>
      </c>
      <c r="R68" s="26" t="s">
        <v>533</v>
      </c>
      <c r="S68" s="26" t="s">
        <v>534</v>
      </c>
      <c r="T68" s="26" t="s">
        <v>535</v>
      </c>
      <c r="U68" s="26" t="s">
        <v>536</v>
      </c>
      <c r="V68" s="32" t="s">
        <v>537</v>
      </c>
      <c r="W68" s="26" t="s">
        <v>28</v>
      </c>
    </row>
    <row r="69" spans="1:23" ht="84.95" hidden="1" customHeight="1" x14ac:dyDescent="0.2">
      <c r="A69" s="27" t="s">
        <v>538</v>
      </c>
      <c r="B69" s="43" t="s">
        <v>539</v>
      </c>
      <c r="C69" s="34" t="s">
        <v>512</v>
      </c>
      <c r="D69" s="7">
        <v>696666667</v>
      </c>
      <c r="E69" s="28"/>
      <c r="F69" s="28"/>
      <c r="G69" s="7"/>
      <c r="H69" s="7">
        <v>696666667</v>
      </c>
      <c r="I69" s="93">
        <v>0</v>
      </c>
      <c r="J69" s="93">
        <v>0</v>
      </c>
      <c r="K69" s="93">
        <v>0</v>
      </c>
      <c r="L69" s="93">
        <v>0</v>
      </c>
      <c r="M69" s="6">
        <f t="shared" si="1"/>
        <v>696666667</v>
      </c>
      <c r="N69" s="29">
        <v>43209</v>
      </c>
      <c r="O69" s="30">
        <v>43646</v>
      </c>
      <c r="P69" s="12" t="s">
        <v>2721</v>
      </c>
      <c r="Q69" s="13" t="s">
        <v>56</v>
      </c>
      <c r="R69" s="26" t="s">
        <v>540</v>
      </c>
      <c r="S69" s="26" t="s">
        <v>541</v>
      </c>
      <c r="T69" s="26" t="s">
        <v>542</v>
      </c>
      <c r="U69" s="26" t="s">
        <v>543</v>
      </c>
      <c r="V69" s="32" t="s">
        <v>544</v>
      </c>
      <c r="W69" s="26" t="s">
        <v>28</v>
      </c>
    </row>
    <row r="70" spans="1:23" ht="84.95" hidden="1" customHeight="1" x14ac:dyDescent="0.2">
      <c r="A70" s="27" t="s">
        <v>545</v>
      </c>
      <c r="B70" s="43" t="s">
        <v>546</v>
      </c>
      <c r="C70" s="34" t="s">
        <v>512</v>
      </c>
      <c r="D70" s="7">
        <v>36666667</v>
      </c>
      <c r="E70" s="28"/>
      <c r="F70" s="28"/>
      <c r="G70" s="7"/>
      <c r="H70" s="7">
        <v>36666667</v>
      </c>
      <c r="I70" s="93">
        <v>0</v>
      </c>
      <c r="J70" s="93">
        <v>0</v>
      </c>
      <c r="K70" s="93">
        <v>0</v>
      </c>
      <c r="L70" s="93">
        <v>0</v>
      </c>
      <c r="M70" s="6">
        <f t="shared" si="1"/>
        <v>36666667</v>
      </c>
      <c r="N70" s="29">
        <v>43209</v>
      </c>
      <c r="O70" s="30">
        <v>43465</v>
      </c>
      <c r="P70" s="12" t="s">
        <v>3315</v>
      </c>
      <c r="Q70" s="13" t="s">
        <v>56</v>
      </c>
      <c r="R70" s="26" t="s">
        <v>548</v>
      </c>
      <c r="S70" s="26" t="s">
        <v>549</v>
      </c>
      <c r="T70" s="26" t="s">
        <v>550</v>
      </c>
      <c r="U70" s="26" t="s">
        <v>551</v>
      </c>
      <c r="V70" s="32" t="s">
        <v>552</v>
      </c>
      <c r="W70" s="26" t="s">
        <v>28</v>
      </c>
    </row>
    <row r="71" spans="1:23" ht="84.95" hidden="1" customHeight="1" x14ac:dyDescent="0.2">
      <c r="A71" s="27" t="s">
        <v>553</v>
      </c>
      <c r="B71" s="43" t="s">
        <v>554</v>
      </c>
      <c r="C71" s="34" t="s">
        <v>512</v>
      </c>
      <c r="D71" s="7">
        <v>50416667</v>
      </c>
      <c r="E71" s="28"/>
      <c r="F71" s="28"/>
      <c r="G71" s="7"/>
      <c r="H71" s="7">
        <v>50416667</v>
      </c>
      <c r="I71" s="93">
        <v>0</v>
      </c>
      <c r="J71" s="93">
        <v>0</v>
      </c>
      <c r="K71" s="93">
        <v>0</v>
      </c>
      <c r="L71" s="93">
        <v>0</v>
      </c>
      <c r="M71" s="6">
        <f t="shared" si="1"/>
        <v>50416667</v>
      </c>
      <c r="N71" s="29">
        <v>43209</v>
      </c>
      <c r="O71" s="30">
        <v>43465</v>
      </c>
      <c r="P71" s="12" t="s">
        <v>547</v>
      </c>
      <c r="Q71" s="13" t="s">
        <v>56</v>
      </c>
      <c r="R71" s="26" t="s">
        <v>555</v>
      </c>
      <c r="S71" s="26" t="s">
        <v>556</v>
      </c>
      <c r="T71" s="26" t="s">
        <v>557</v>
      </c>
      <c r="U71" s="26" t="s">
        <v>558</v>
      </c>
      <c r="V71" s="32" t="s">
        <v>559</v>
      </c>
      <c r="W71" s="26" t="s">
        <v>28</v>
      </c>
    </row>
    <row r="72" spans="1:23" ht="84.95" hidden="1" customHeight="1" x14ac:dyDescent="0.2">
      <c r="A72" s="27" t="s">
        <v>560</v>
      </c>
      <c r="B72" s="43" t="s">
        <v>561</v>
      </c>
      <c r="C72" s="34" t="s">
        <v>512</v>
      </c>
      <c r="D72" s="7">
        <v>13750000</v>
      </c>
      <c r="E72" s="28"/>
      <c r="F72" s="28"/>
      <c r="G72" s="7"/>
      <c r="H72" s="7">
        <v>13750000</v>
      </c>
      <c r="I72" s="93">
        <v>0</v>
      </c>
      <c r="J72" s="93">
        <v>0</v>
      </c>
      <c r="K72" s="93">
        <v>0</v>
      </c>
      <c r="L72" s="93">
        <v>0</v>
      </c>
      <c r="M72" s="6">
        <f t="shared" si="1"/>
        <v>13750000</v>
      </c>
      <c r="N72" s="29">
        <v>43209</v>
      </c>
      <c r="O72" s="30">
        <v>43465</v>
      </c>
      <c r="P72" s="12" t="s">
        <v>521</v>
      </c>
      <c r="Q72" s="13" t="s">
        <v>56</v>
      </c>
      <c r="R72" s="26" t="s">
        <v>562</v>
      </c>
      <c r="S72" s="26" t="s">
        <v>563</v>
      </c>
      <c r="T72" s="26" t="s">
        <v>564</v>
      </c>
      <c r="U72" s="26" t="s">
        <v>565</v>
      </c>
      <c r="V72" s="32" t="s">
        <v>566</v>
      </c>
      <c r="W72" s="26" t="s">
        <v>28</v>
      </c>
    </row>
    <row r="73" spans="1:23" ht="84.95" hidden="1" customHeight="1" x14ac:dyDescent="0.2">
      <c r="A73" s="27" t="s">
        <v>567</v>
      </c>
      <c r="B73" s="43" t="s">
        <v>3238</v>
      </c>
      <c r="C73" s="34" t="s">
        <v>512</v>
      </c>
      <c r="D73" s="7">
        <v>25000000</v>
      </c>
      <c r="E73" s="28"/>
      <c r="F73" s="28"/>
      <c r="G73" s="7"/>
      <c r="H73" s="7">
        <v>25000000</v>
      </c>
      <c r="I73" s="93">
        <v>0</v>
      </c>
      <c r="J73" s="93">
        <v>0</v>
      </c>
      <c r="K73" s="93">
        <v>0</v>
      </c>
      <c r="L73" s="93">
        <v>0</v>
      </c>
      <c r="M73" s="6">
        <f t="shared" si="1"/>
        <v>25000000</v>
      </c>
      <c r="N73" s="29">
        <v>43209</v>
      </c>
      <c r="O73" s="30">
        <v>43465</v>
      </c>
      <c r="P73" s="12" t="s">
        <v>211</v>
      </c>
      <c r="Q73" s="13" t="s">
        <v>56</v>
      </c>
      <c r="R73" s="26" t="s">
        <v>568</v>
      </c>
      <c r="S73" s="26" t="s">
        <v>569</v>
      </c>
      <c r="T73" s="26" t="s">
        <v>570</v>
      </c>
      <c r="U73" s="26" t="s">
        <v>571</v>
      </c>
      <c r="V73" s="32" t="s">
        <v>572</v>
      </c>
      <c r="W73" s="26" t="s">
        <v>28</v>
      </c>
    </row>
    <row r="74" spans="1:23" ht="84.95" hidden="1" customHeight="1" x14ac:dyDescent="0.2">
      <c r="A74" s="27" t="s">
        <v>573</v>
      </c>
      <c r="B74" s="43" t="s">
        <v>574</v>
      </c>
      <c r="C74" s="34" t="s">
        <v>512</v>
      </c>
      <c r="D74" s="7">
        <v>208083333</v>
      </c>
      <c r="E74" s="28"/>
      <c r="F74" s="28"/>
      <c r="G74" s="7"/>
      <c r="H74" s="7">
        <v>208083333</v>
      </c>
      <c r="I74" s="93">
        <v>0</v>
      </c>
      <c r="J74" s="93">
        <v>0</v>
      </c>
      <c r="K74" s="93">
        <v>0</v>
      </c>
      <c r="L74" s="93">
        <v>0</v>
      </c>
      <c r="M74" s="6">
        <f t="shared" si="1"/>
        <v>208083333</v>
      </c>
      <c r="N74" s="29">
        <v>43209</v>
      </c>
      <c r="O74" s="30">
        <v>43465</v>
      </c>
      <c r="P74" s="12" t="s">
        <v>575</v>
      </c>
      <c r="Q74" s="13" t="s">
        <v>56</v>
      </c>
      <c r="R74" s="26" t="s">
        <v>576</v>
      </c>
      <c r="S74" s="26" t="s">
        <v>577</v>
      </c>
      <c r="T74" s="26" t="s">
        <v>578</v>
      </c>
      <c r="U74" s="26" t="s">
        <v>579</v>
      </c>
      <c r="V74" s="32" t="s">
        <v>580</v>
      </c>
      <c r="W74" s="26" t="s">
        <v>28</v>
      </c>
    </row>
    <row r="75" spans="1:23" ht="84.95" hidden="1" customHeight="1" x14ac:dyDescent="0.2">
      <c r="A75" s="27" t="s">
        <v>581</v>
      </c>
      <c r="B75" s="43" t="s">
        <v>582</v>
      </c>
      <c r="C75" s="34" t="s">
        <v>512</v>
      </c>
      <c r="D75" s="7">
        <v>55000000</v>
      </c>
      <c r="E75" s="28"/>
      <c r="F75" s="28"/>
      <c r="G75" s="7"/>
      <c r="H75" s="7">
        <v>55000000</v>
      </c>
      <c r="I75" s="93">
        <v>0</v>
      </c>
      <c r="J75" s="93">
        <v>0</v>
      </c>
      <c r="K75" s="93">
        <v>0</v>
      </c>
      <c r="L75" s="93">
        <v>0</v>
      </c>
      <c r="M75" s="6">
        <f t="shared" si="1"/>
        <v>55000000</v>
      </c>
      <c r="N75" s="29">
        <v>43209</v>
      </c>
      <c r="O75" s="30">
        <v>43465</v>
      </c>
      <c r="P75" s="12" t="s">
        <v>583</v>
      </c>
      <c r="Q75" s="13" t="s">
        <v>56</v>
      </c>
      <c r="R75" s="26" t="s">
        <v>584</v>
      </c>
      <c r="S75" s="26" t="s">
        <v>585</v>
      </c>
      <c r="T75" s="26" t="s">
        <v>586</v>
      </c>
      <c r="U75" s="26" t="s">
        <v>587</v>
      </c>
      <c r="V75" s="32" t="s">
        <v>588</v>
      </c>
      <c r="W75" s="26" t="s">
        <v>28</v>
      </c>
    </row>
    <row r="76" spans="1:23" ht="84.95" hidden="1" customHeight="1" x14ac:dyDescent="0.2">
      <c r="A76" s="27" t="s">
        <v>589</v>
      </c>
      <c r="B76" s="38" t="s">
        <v>590</v>
      </c>
      <c r="C76" s="34" t="s">
        <v>512</v>
      </c>
      <c r="D76" s="7">
        <v>70000000</v>
      </c>
      <c r="E76" s="28"/>
      <c r="F76" s="28"/>
      <c r="G76" s="7"/>
      <c r="H76" s="7">
        <v>70000000</v>
      </c>
      <c r="I76" s="93">
        <v>0</v>
      </c>
      <c r="J76" s="93">
        <v>0</v>
      </c>
      <c r="K76" s="93">
        <v>0</v>
      </c>
      <c r="L76" s="93">
        <v>0</v>
      </c>
      <c r="M76" s="6">
        <f t="shared" si="1"/>
        <v>70000000</v>
      </c>
      <c r="N76" s="29">
        <v>43209</v>
      </c>
      <c r="O76" s="30">
        <v>43465</v>
      </c>
      <c r="P76" s="12" t="s">
        <v>513</v>
      </c>
      <c r="Q76" s="13" t="s">
        <v>56</v>
      </c>
      <c r="R76" s="26" t="s">
        <v>591</v>
      </c>
      <c r="S76" s="26" t="s">
        <v>592</v>
      </c>
      <c r="T76" s="26" t="s">
        <v>593</v>
      </c>
      <c r="U76" s="26" t="s">
        <v>594</v>
      </c>
      <c r="V76" s="32" t="s">
        <v>595</v>
      </c>
      <c r="W76" s="26" t="s">
        <v>28</v>
      </c>
    </row>
    <row r="77" spans="1:23" ht="84.95" hidden="1" customHeight="1" x14ac:dyDescent="0.2">
      <c r="A77" s="27" t="s">
        <v>596</v>
      </c>
      <c r="B77" s="3" t="s">
        <v>597</v>
      </c>
      <c r="C77" s="16" t="s">
        <v>598</v>
      </c>
      <c r="D77" s="7">
        <v>84872000</v>
      </c>
      <c r="E77" s="28"/>
      <c r="F77" s="28"/>
      <c r="G77" s="7"/>
      <c r="H77" s="7">
        <v>84872000</v>
      </c>
      <c r="I77" s="93">
        <v>0</v>
      </c>
      <c r="J77" s="93">
        <v>0</v>
      </c>
      <c r="K77" s="93">
        <v>0</v>
      </c>
      <c r="L77" s="93">
        <v>0</v>
      </c>
      <c r="M77" s="6">
        <f t="shared" si="1"/>
        <v>84872000</v>
      </c>
      <c r="N77" s="29">
        <v>43213</v>
      </c>
      <c r="O77" s="30">
        <v>43465</v>
      </c>
      <c r="P77" s="12" t="s">
        <v>599</v>
      </c>
      <c r="Q77" s="11" t="s">
        <v>32</v>
      </c>
      <c r="R77" s="26" t="s">
        <v>600</v>
      </c>
      <c r="S77" s="26" t="s">
        <v>601</v>
      </c>
      <c r="T77" s="26" t="s">
        <v>602</v>
      </c>
      <c r="U77" s="26" t="s">
        <v>603</v>
      </c>
      <c r="V77" s="32" t="s">
        <v>604</v>
      </c>
      <c r="W77" s="26" t="s">
        <v>28</v>
      </c>
    </row>
    <row r="78" spans="1:23" ht="84.95" hidden="1" customHeight="1" x14ac:dyDescent="0.2">
      <c r="A78" s="27" t="s">
        <v>605</v>
      </c>
      <c r="B78" s="38" t="s">
        <v>590</v>
      </c>
      <c r="C78" s="36" t="s">
        <v>3285</v>
      </c>
      <c r="D78" s="7">
        <v>12724300</v>
      </c>
      <c r="E78" s="28"/>
      <c r="F78" s="28"/>
      <c r="G78" s="7"/>
      <c r="H78" s="7">
        <v>12724300</v>
      </c>
      <c r="I78" s="93">
        <v>0</v>
      </c>
      <c r="J78" s="93">
        <v>0</v>
      </c>
      <c r="K78" s="93">
        <v>0</v>
      </c>
      <c r="L78" s="93">
        <v>0</v>
      </c>
      <c r="M78" s="6">
        <f t="shared" si="1"/>
        <v>12724300</v>
      </c>
      <c r="N78" s="29">
        <v>43213</v>
      </c>
      <c r="O78" s="30">
        <v>43465</v>
      </c>
      <c r="P78" s="12" t="s">
        <v>606</v>
      </c>
      <c r="Q78" s="11" t="s">
        <v>32</v>
      </c>
      <c r="R78" s="26" t="s">
        <v>591</v>
      </c>
      <c r="S78" s="26" t="s">
        <v>592</v>
      </c>
      <c r="T78" s="26" t="s">
        <v>593</v>
      </c>
      <c r="U78" s="26" t="s">
        <v>594</v>
      </c>
      <c r="V78" s="32" t="s">
        <v>607</v>
      </c>
      <c r="W78" s="26" t="s">
        <v>28</v>
      </c>
    </row>
    <row r="79" spans="1:23" ht="84.95" hidden="1" customHeight="1" x14ac:dyDescent="0.2">
      <c r="A79" s="27" t="s">
        <v>608</v>
      </c>
      <c r="B79" s="42" t="s">
        <v>609</v>
      </c>
      <c r="C79" s="41" t="s">
        <v>610</v>
      </c>
      <c r="D79" s="7">
        <v>20023000</v>
      </c>
      <c r="E79" s="28"/>
      <c r="F79" s="28"/>
      <c r="G79" s="7"/>
      <c r="H79" s="7">
        <v>20023000</v>
      </c>
      <c r="I79" s="93">
        <v>0</v>
      </c>
      <c r="J79" s="93">
        <v>0</v>
      </c>
      <c r="K79" s="93">
        <v>0</v>
      </c>
      <c r="L79" s="93">
        <v>0</v>
      </c>
      <c r="M79" s="6">
        <f t="shared" si="1"/>
        <v>20023000</v>
      </c>
      <c r="N79" s="29">
        <v>43210</v>
      </c>
      <c r="O79" s="30">
        <v>43465</v>
      </c>
      <c r="P79" s="12" t="s">
        <v>505</v>
      </c>
      <c r="Q79" s="13" t="s">
        <v>73</v>
      </c>
      <c r="R79" s="26" t="s">
        <v>609</v>
      </c>
      <c r="S79" s="26" t="s">
        <v>611</v>
      </c>
      <c r="T79" s="26" t="s">
        <v>612</v>
      </c>
      <c r="U79" s="26" t="s">
        <v>613</v>
      </c>
      <c r="V79" s="32" t="s">
        <v>614</v>
      </c>
      <c r="W79" s="26" t="s">
        <v>28</v>
      </c>
    </row>
    <row r="80" spans="1:23" ht="84.95" hidden="1" customHeight="1" x14ac:dyDescent="0.2">
      <c r="A80" s="27" t="s">
        <v>615</v>
      </c>
      <c r="B80" s="42" t="s">
        <v>616</v>
      </c>
      <c r="C80" s="41" t="s">
        <v>3284</v>
      </c>
      <c r="D80" s="7">
        <v>33736500</v>
      </c>
      <c r="E80" s="28"/>
      <c r="F80" s="28"/>
      <c r="G80" s="7"/>
      <c r="H80" s="7">
        <v>33736500</v>
      </c>
      <c r="I80" s="93">
        <v>0</v>
      </c>
      <c r="J80" s="93">
        <v>0</v>
      </c>
      <c r="K80" s="93">
        <v>0</v>
      </c>
      <c r="L80" s="93">
        <v>0</v>
      </c>
      <c r="M80" s="6">
        <f t="shared" si="1"/>
        <v>33736500</v>
      </c>
      <c r="N80" s="29">
        <v>43210</v>
      </c>
      <c r="O80" s="30">
        <v>43465</v>
      </c>
      <c r="P80" s="12" t="s">
        <v>617</v>
      </c>
      <c r="Q80" s="13" t="s">
        <v>73</v>
      </c>
      <c r="R80" s="26" t="s">
        <v>618</v>
      </c>
      <c r="S80" s="26" t="s">
        <v>619</v>
      </c>
      <c r="T80" s="26" t="s">
        <v>620</v>
      </c>
      <c r="U80" s="26" t="s">
        <v>621</v>
      </c>
      <c r="V80" s="32" t="s">
        <v>622</v>
      </c>
      <c r="W80" s="26" t="s">
        <v>28</v>
      </c>
    </row>
    <row r="81" spans="1:23" ht="84.95" hidden="1" customHeight="1" x14ac:dyDescent="0.2">
      <c r="A81" s="27" t="s">
        <v>623</v>
      </c>
      <c r="B81" s="38" t="s">
        <v>624</v>
      </c>
      <c r="C81" s="36" t="s">
        <v>3285</v>
      </c>
      <c r="D81" s="7">
        <v>30900000</v>
      </c>
      <c r="E81" s="28"/>
      <c r="F81" s="28"/>
      <c r="G81" s="7"/>
      <c r="H81" s="7">
        <v>30900000</v>
      </c>
      <c r="I81" s="93">
        <v>0</v>
      </c>
      <c r="J81" s="93">
        <v>0</v>
      </c>
      <c r="K81" s="93">
        <v>0</v>
      </c>
      <c r="L81" s="93">
        <v>0</v>
      </c>
      <c r="M81" s="6">
        <f t="shared" si="1"/>
        <v>30900000</v>
      </c>
      <c r="N81" s="29">
        <v>43213</v>
      </c>
      <c r="O81" s="30">
        <v>43465</v>
      </c>
      <c r="P81" s="12" t="s">
        <v>606</v>
      </c>
      <c r="Q81" s="11" t="s">
        <v>32</v>
      </c>
      <c r="R81" s="26" t="s">
        <v>625</v>
      </c>
      <c r="S81" s="26" t="s">
        <v>327</v>
      </c>
      <c r="T81" s="26" t="s">
        <v>328</v>
      </c>
      <c r="U81" s="26" t="s">
        <v>329</v>
      </c>
      <c r="V81" s="32" t="s">
        <v>626</v>
      </c>
      <c r="W81" s="26" t="s">
        <v>28</v>
      </c>
    </row>
    <row r="82" spans="1:23" ht="84.95" hidden="1" customHeight="1" x14ac:dyDescent="0.2">
      <c r="A82" s="27" t="s">
        <v>627</v>
      </c>
      <c r="B82" s="3" t="s">
        <v>628</v>
      </c>
      <c r="C82" s="44" t="s">
        <v>3316</v>
      </c>
      <c r="D82" s="7">
        <v>13006200</v>
      </c>
      <c r="E82" s="28"/>
      <c r="F82" s="28"/>
      <c r="G82" s="7"/>
      <c r="H82" s="7">
        <v>13006200</v>
      </c>
      <c r="I82" s="93">
        <v>0</v>
      </c>
      <c r="J82" s="93">
        <v>0</v>
      </c>
      <c r="K82" s="93">
        <v>0</v>
      </c>
      <c r="L82" s="93">
        <v>0</v>
      </c>
      <c r="M82" s="6">
        <f t="shared" si="1"/>
        <v>13006200</v>
      </c>
      <c r="N82" s="29">
        <v>43217</v>
      </c>
      <c r="O82" s="30">
        <v>43465</v>
      </c>
      <c r="P82" s="12" t="s">
        <v>418</v>
      </c>
      <c r="Q82" s="13" t="s">
        <v>56</v>
      </c>
      <c r="R82" s="26" t="s">
        <v>629</v>
      </c>
      <c r="S82" s="26" t="s">
        <v>630</v>
      </c>
      <c r="T82" s="26" t="s">
        <v>631</v>
      </c>
      <c r="U82" s="26" t="s">
        <v>632</v>
      </c>
      <c r="V82" s="32" t="s">
        <v>633</v>
      </c>
      <c r="W82" s="26" t="s">
        <v>28</v>
      </c>
    </row>
    <row r="83" spans="1:23" ht="84.95" hidden="1" customHeight="1" x14ac:dyDescent="0.2">
      <c r="A83" s="27" t="s">
        <v>634</v>
      </c>
      <c r="B83" s="43" t="s">
        <v>635</v>
      </c>
      <c r="C83" s="44" t="s">
        <v>636</v>
      </c>
      <c r="D83" s="7">
        <v>69657500</v>
      </c>
      <c r="E83" s="28"/>
      <c r="F83" s="28"/>
      <c r="G83" s="7"/>
      <c r="H83" s="7">
        <v>69657500</v>
      </c>
      <c r="I83" s="93">
        <v>0</v>
      </c>
      <c r="J83" s="93">
        <v>0</v>
      </c>
      <c r="K83" s="93">
        <v>0</v>
      </c>
      <c r="L83" s="93">
        <v>0</v>
      </c>
      <c r="M83" s="6">
        <f t="shared" si="1"/>
        <v>69657500</v>
      </c>
      <c r="N83" s="29">
        <v>43215</v>
      </c>
      <c r="O83" s="30">
        <v>43465</v>
      </c>
      <c r="P83" s="12" t="s">
        <v>637</v>
      </c>
      <c r="Q83" s="13" t="s">
        <v>56</v>
      </c>
      <c r="R83" s="26" t="s">
        <v>638</v>
      </c>
      <c r="S83" s="26" t="s">
        <v>639</v>
      </c>
      <c r="T83" s="26" t="s">
        <v>640</v>
      </c>
      <c r="U83" s="26" t="s">
        <v>641</v>
      </c>
      <c r="V83" s="32" t="s">
        <v>642</v>
      </c>
      <c r="W83" s="26" t="s">
        <v>28</v>
      </c>
    </row>
    <row r="84" spans="1:23" ht="84.95" hidden="1" customHeight="1" x14ac:dyDescent="0.2">
      <c r="A84" s="27" t="s">
        <v>643</v>
      </c>
      <c r="B84" s="43" t="s">
        <v>2680</v>
      </c>
      <c r="C84" s="16" t="s">
        <v>3317</v>
      </c>
      <c r="D84" s="7">
        <v>123760000</v>
      </c>
      <c r="E84" s="28"/>
      <c r="F84" s="28"/>
      <c r="G84" s="7"/>
      <c r="H84" s="7">
        <v>123760000</v>
      </c>
      <c r="I84" s="93">
        <v>0</v>
      </c>
      <c r="J84" s="93">
        <v>0</v>
      </c>
      <c r="K84" s="93">
        <v>0</v>
      </c>
      <c r="L84" s="93">
        <v>0</v>
      </c>
      <c r="M84" s="6">
        <f t="shared" si="1"/>
        <v>123760000</v>
      </c>
      <c r="N84" s="29">
        <v>43222</v>
      </c>
      <c r="O84" s="30">
        <v>43496</v>
      </c>
      <c r="P84" s="12" t="s">
        <v>644</v>
      </c>
      <c r="Q84" s="11" t="s">
        <v>32</v>
      </c>
      <c r="R84" s="26" t="s">
        <v>645</v>
      </c>
      <c r="S84" s="26" t="s">
        <v>646</v>
      </c>
      <c r="T84" s="26" t="s">
        <v>647</v>
      </c>
      <c r="U84" s="26" t="s">
        <v>648</v>
      </c>
      <c r="V84" s="32" t="s">
        <v>649</v>
      </c>
      <c r="W84" s="26" t="s">
        <v>28</v>
      </c>
    </row>
    <row r="85" spans="1:23" ht="84.95" hidden="1" customHeight="1" x14ac:dyDescent="0.2">
      <c r="A85" s="27" t="s">
        <v>650</v>
      </c>
      <c r="B85" s="38" t="s">
        <v>651</v>
      </c>
      <c r="C85" s="16" t="s">
        <v>652</v>
      </c>
      <c r="D85" s="7">
        <v>600000000</v>
      </c>
      <c r="E85" s="28">
        <v>75000000</v>
      </c>
      <c r="F85" s="28"/>
      <c r="G85" s="7"/>
      <c r="H85" s="7">
        <v>600000000</v>
      </c>
      <c r="I85" s="93">
        <v>0</v>
      </c>
      <c r="J85" s="93">
        <v>0</v>
      </c>
      <c r="K85" s="93">
        <v>0</v>
      </c>
      <c r="L85" s="93">
        <v>0</v>
      </c>
      <c r="M85" s="6">
        <f t="shared" si="1"/>
        <v>600000000</v>
      </c>
      <c r="N85" s="29">
        <v>43220</v>
      </c>
      <c r="O85" s="30">
        <v>43646</v>
      </c>
      <c r="P85" s="12" t="s">
        <v>653</v>
      </c>
      <c r="Q85" s="11" t="s">
        <v>32</v>
      </c>
      <c r="R85" s="26" t="s">
        <v>654</v>
      </c>
      <c r="S85" s="26" t="s">
        <v>655</v>
      </c>
      <c r="T85" s="26" t="s">
        <v>656</v>
      </c>
      <c r="U85" s="26" t="s">
        <v>657</v>
      </c>
      <c r="V85" s="32" t="s">
        <v>658</v>
      </c>
      <c r="W85" s="26" t="s">
        <v>28</v>
      </c>
    </row>
    <row r="86" spans="1:23" ht="84.95" hidden="1" customHeight="1" x14ac:dyDescent="0.2">
      <c r="A86" s="27" t="s">
        <v>659</v>
      </c>
      <c r="B86" s="45" t="s">
        <v>660</v>
      </c>
      <c r="C86" s="46" t="s">
        <v>661</v>
      </c>
      <c r="D86" s="7">
        <v>61967700</v>
      </c>
      <c r="E86" s="28"/>
      <c r="F86" s="28"/>
      <c r="G86" s="7"/>
      <c r="H86" s="7">
        <v>61967700</v>
      </c>
      <c r="I86" s="93">
        <v>0</v>
      </c>
      <c r="J86" s="93">
        <v>0</v>
      </c>
      <c r="K86" s="93">
        <v>0</v>
      </c>
      <c r="L86" s="93">
        <v>0</v>
      </c>
      <c r="M86" s="6">
        <f t="shared" si="1"/>
        <v>61967700</v>
      </c>
      <c r="N86" s="29">
        <v>43222</v>
      </c>
      <c r="O86" s="30">
        <v>43524</v>
      </c>
      <c r="P86" s="12" t="s">
        <v>662</v>
      </c>
      <c r="Q86" s="13" t="s">
        <v>73</v>
      </c>
      <c r="R86" s="26" t="s">
        <v>663</v>
      </c>
      <c r="S86" s="26" t="s">
        <v>664</v>
      </c>
      <c r="T86" s="26" t="s">
        <v>665</v>
      </c>
      <c r="U86" s="26" t="s">
        <v>666</v>
      </c>
      <c r="V86" s="32" t="s">
        <v>667</v>
      </c>
      <c r="W86" s="26" t="s">
        <v>28</v>
      </c>
    </row>
    <row r="87" spans="1:23" ht="84.95" hidden="1" customHeight="1" x14ac:dyDescent="0.2">
      <c r="A87" s="27" t="s">
        <v>668</v>
      </c>
      <c r="B87" s="47" t="s">
        <v>669</v>
      </c>
      <c r="C87" s="46" t="s">
        <v>661</v>
      </c>
      <c r="D87" s="7">
        <v>48830400</v>
      </c>
      <c r="E87" s="28"/>
      <c r="F87" s="28"/>
      <c r="G87" s="7"/>
      <c r="H87" s="7">
        <v>48830400</v>
      </c>
      <c r="I87" s="93">
        <v>0</v>
      </c>
      <c r="J87" s="93">
        <v>0</v>
      </c>
      <c r="K87" s="93">
        <v>0</v>
      </c>
      <c r="L87" s="93">
        <v>0</v>
      </c>
      <c r="M87" s="6">
        <f t="shared" si="1"/>
        <v>48830400</v>
      </c>
      <c r="N87" s="29">
        <v>43222</v>
      </c>
      <c r="O87" s="30">
        <v>43465</v>
      </c>
      <c r="P87" s="12" t="s">
        <v>662</v>
      </c>
      <c r="Q87" s="13" t="s">
        <v>73</v>
      </c>
      <c r="R87" s="26" t="s">
        <v>670</v>
      </c>
      <c r="S87" s="26" t="s">
        <v>671</v>
      </c>
      <c r="T87" s="26" t="s">
        <v>672</v>
      </c>
      <c r="U87" s="26" t="s">
        <v>673</v>
      </c>
      <c r="V87" s="32" t="s">
        <v>674</v>
      </c>
      <c r="W87" s="26" t="s">
        <v>28</v>
      </c>
    </row>
    <row r="88" spans="1:23" ht="84.95" hidden="1" customHeight="1" x14ac:dyDescent="0.2">
      <c r="A88" s="27" t="s">
        <v>675</v>
      </c>
      <c r="B88" s="48" t="s">
        <v>3318</v>
      </c>
      <c r="C88" s="46" t="s">
        <v>661</v>
      </c>
      <c r="D88" s="7">
        <v>124206200</v>
      </c>
      <c r="E88" s="28"/>
      <c r="F88" s="28"/>
      <c r="G88" s="7"/>
      <c r="H88" s="7">
        <v>124206200</v>
      </c>
      <c r="I88" s="93">
        <v>0</v>
      </c>
      <c r="J88" s="93">
        <v>0</v>
      </c>
      <c r="K88" s="93">
        <v>0</v>
      </c>
      <c r="L88" s="93">
        <v>0</v>
      </c>
      <c r="M88" s="6">
        <f t="shared" si="1"/>
        <v>124206200</v>
      </c>
      <c r="N88" s="29">
        <v>43222</v>
      </c>
      <c r="O88" s="30">
        <v>43465</v>
      </c>
      <c r="P88" s="12" t="s">
        <v>662</v>
      </c>
      <c r="Q88" s="13" t="s">
        <v>73</v>
      </c>
      <c r="R88" s="26" t="s">
        <v>676</v>
      </c>
      <c r="S88" s="26" t="s">
        <v>677</v>
      </c>
      <c r="T88" s="26" t="s">
        <v>678</v>
      </c>
      <c r="U88" s="26" t="s">
        <v>679</v>
      </c>
      <c r="V88" s="32" t="s">
        <v>680</v>
      </c>
      <c r="W88" s="26" t="s">
        <v>28</v>
      </c>
    </row>
    <row r="89" spans="1:23" ht="84.95" hidden="1" customHeight="1" x14ac:dyDescent="0.2">
      <c r="A89" s="27" t="s">
        <v>681</v>
      </c>
      <c r="B89" s="49" t="s">
        <v>682</v>
      </c>
      <c r="C89" s="50" t="s">
        <v>683</v>
      </c>
      <c r="D89" s="7">
        <v>45127921</v>
      </c>
      <c r="E89" s="28"/>
      <c r="F89" s="28"/>
      <c r="G89" s="7"/>
      <c r="H89" s="7">
        <v>45127921</v>
      </c>
      <c r="I89" s="93">
        <v>0</v>
      </c>
      <c r="J89" s="93">
        <v>0</v>
      </c>
      <c r="K89" s="93">
        <v>0</v>
      </c>
      <c r="L89" s="93">
        <v>0</v>
      </c>
      <c r="M89" s="6">
        <f t="shared" si="1"/>
        <v>45127921</v>
      </c>
      <c r="N89" s="29">
        <v>43220</v>
      </c>
      <c r="O89" s="30">
        <v>43465</v>
      </c>
      <c r="P89" s="12" t="s">
        <v>684</v>
      </c>
      <c r="Q89" s="11" t="s">
        <v>32</v>
      </c>
      <c r="R89" s="26" t="s">
        <v>685</v>
      </c>
      <c r="S89" s="26" t="s">
        <v>686</v>
      </c>
      <c r="T89" s="26" t="s">
        <v>687</v>
      </c>
      <c r="U89" s="26" t="s">
        <v>688</v>
      </c>
      <c r="V89" s="32" t="s">
        <v>689</v>
      </c>
      <c r="W89" s="26" t="s">
        <v>28</v>
      </c>
    </row>
    <row r="90" spans="1:23" ht="84.95" hidden="1" customHeight="1" x14ac:dyDescent="0.2">
      <c r="A90" s="27" t="s">
        <v>690</v>
      </c>
      <c r="B90" s="48" t="s">
        <v>691</v>
      </c>
      <c r="C90" s="46" t="s">
        <v>3319</v>
      </c>
      <c r="D90" s="7">
        <v>5652809</v>
      </c>
      <c r="E90" s="28"/>
      <c r="F90" s="28"/>
      <c r="G90" s="7"/>
      <c r="H90" s="7">
        <v>5652809</v>
      </c>
      <c r="I90" s="93">
        <v>0</v>
      </c>
      <c r="J90" s="93">
        <v>0</v>
      </c>
      <c r="K90" s="93">
        <v>0</v>
      </c>
      <c r="L90" s="93">
        <v>0</v>
      </c>
      <c r="M90" s="6">
        <f t="shared" si="1"/>
        <v>5652809</v>
      </c>
      <c r="N90" s="29">
        <v>43220</v>
      </c>
      <c r="O90" s="30">
        <v>43465</v>
      </c>
      <c r="P90" s="12" t="s">
        <v>684</v>
      </c>
      <c r="Q90" s="11" t="s">
        <v>32</v>
      </c>
      <c r="R90" s="26" t="s">
        <v>692</v>
      </c>
      <c r="S90" s="26" t="s">
        <v>523</v>
      </c>
      <c r="T90" s="26" t="s">
        <v>524</v>
      </c>
      <c r="U90" s="26" t="s">
        <v>525</v>
      </c>
      <c r="V90" s="32" t="s">
        <v>526</v>
      </c>
      <c r="W90" s="26" t="s">
        <v>28</v>
      </c>
    </row>
    <row r="91" spans="1:23" ht="84.95" hidden="1" customHeight="1" x14ac:dyDescent="0.2">
      <c r="A91" s="27" t="s">
        <v>693</v>
      </c>
      <c r="B91" s="35" t="s">
        <v>694</v>
      </c>
      <c r="C91" s="34" t="s">
        <v>3320</v>
      </c>
      <c r="D91" s="7">
        <v>4000000</v>
      </c>
      <c r="E91" s="28"/>
      <c r="F91" s="28"/>
      <c r="G91" s="7"/>
      <c r="H91" s="7">
        <v>4000000</v>
      </c>
      <c r="I91" s="93">
        <v>0</v>
      </c>
      <c r="J91" s="93">
        <v>0</v>
      </c>
      <c r="K91" s="93">
        <v>0</v>
      </c>
      <c r="L91" s="93">
        <v>0</v>
      </c>
      <c r="M91" s="6">
        <f t="shared" si="1"/>
        <v>4000000</v>
      </c>
      <c r="N91" s="29">
        <v>43220</v>
      </c>
      <c r="O91" s="30">
        <v>43465</v>
      </c>
      <c r="P91" s="12" t="s">
        <v>695</v>
      </c>
      <c r="Q91" s="11" t="s">
        <v>32</v>
      </c>
      <c r="R91" s="26" t="s">
        <v>696</v>
      </c>
      <c r="S91" s="26" t="s">
        <v>697</v>
      </c>
      <c r="T91" s="26" t="s">
        <v>698</v>
      </c>
      <c r="U91" s="26" t="s">
        <v>699</v>
      </c>
      <c r="V91" s="32" t="s">
        <v>700</v>
      </c>
      <c r="W91" s="26" t="s">
        <v>701</v>
      </c>
    </row>
    <row r="92" spans="1:23" ht="84.95" hidden="1" customHeight="1" x14ac:dyDescent="0.2">
      <c r="A92" s="27" t="s">
        <v>702</v>
      </c>
      <c r="B92" s="3" t="s">
        <v>3321</v>
      </c>
      <c r="C92" s="34" t="s">
        <v>3320</v>
      </c>
      <c r="D92" s="7">
        <v>10000000</v>
      </c>
      <c r="E92" s="28">
        <v>5000000</v>
      </c>
      <c r="F92" s="28"/>
      <c r="G92" s="7"/>
      <c r="H92" s="7">
        <v>10000000</v>
      </c>
      <c r="I92" s="93">
        <v>0</v>
      </c>
      <c r="J92" s="93">
        <v>0</v>
      </c>
      <c r="K92" s="93">
        <v>0</v>
      </c>
      <c r="L92" s="93">
        <v>0</v>
      </c>
      <c r="M92" s="6">
        <f t="shared" si="1"/>
        <v>10000000</v>
      </c>
      <c r="N92" s="29">
        <v>43220</v>
      </c>
      <c r="O92" s="30">
        <v>43646</v>
      </c>
      <c r="P92" s="12" t="s">
        <v>695</v>
      </c>
      <c r="Q92" s="11" t="s">
        <v>32</v>
      </c>
      <c r="R92" s="26" t="s">
        <v>540</v>
      </c>
      <c r="S92" s="26" t="s">
        <v>541</v>
      </c>
      <c r="T92" s="26" t="s">
        <v>542</v>
      </c>
      <c r="U92" s="26" t="s">
        <v>543</v>
      </c>
      <c r="V92" s="32" t="s">
        <v>544</v>
      </c>
      <c r="W92" s="26" t="s">
        <v>28</v>
      </c>
    </row>
    <row r="93" spans="1:23" ht="84.95" hidden="1" customHeight="1" x14ac:dyDescent="0.2">
      <c r="A93" s="27" t="s">
        <v>703</v>
      </c>
      <c r="B93" s="42" t="s">
        <v>704</v>
      </c>
      <c r="C93" s="41" t="s">
        <v>3322</v>
      </c>
      <c r="D93" s="7">
        <v>10800000</v>
      </c>
      <c r="E93" s="28"/>
      <c r="F93" s="28"/>
      <c r="G93" s="7"/>
      <c r="H93" s="7">
        <v>10800000</v>
      </c>
      <c r="I93" s="93">
        <v>0</v>
      </c>
      <c r="J93" s="93">
        <v>0</v>
      </c>
      <c r="K93" s="93">
        <v>0</v>
      </c>
      <c r="L93" s="93">
        <v>0</v>
      </c>
      <c r="M93" s="6">
        <f t="shared" si="1"/>
        <v>10800000</v>
      </c>
      <c r="N93" s="29">
        <v>43220</v>
      </c>
      <c r="O93" s="30">
        <v>43465</v>
      </c>
      <c r="P93" s="12" t="s">
        <v>343</v>
      </c>
      <c r="Q93" s="13" t="s">
        <v>56</v>
      </c>
      <c r="R93" s="26" t="s">
        <v>705</v>
      </c>
      <c r="S93" s="26" t="s">
        <v>706</v>
      </c>
      <c r="T93" s="26" t="s">
        <v>707</v>
      </c>
      <c r="U93" s="26" t="s">
        <v>708</v>
      </c>
      <c r="V93" s="32" t="s">
        <v>709</v>
      </c>
      <c r="W93" s="26" t="s">
        <v>28</v>
      </c>
    </row>
    <row r="94" spans="1:23" ht="84.95" hidden="1" customHeight="1" x14ac:dyDescent="0.2">
      <c r="A94" s="27" t="s">
        <v>710</v>
      </c>
      <c r="B94" s="42" t="s">
        <v>3323</v>
      </c>
      <c r="C94" s="41" t="s">
        <v>3324</v>
      </c>
      <c r="D94" s="7">
        <v>50000000</v>
      </c>
      <c r="E94" s="28"/>
      <c r="F94" s="28"/>
      <c r="G94" s="7"/>
      <c r="H94" s="7">
        <v>50000000</v>
      </c>
      <c r="I94" s="93">
        <v>0</v>
      </c>
      <c r="J94" s="93">
        <v>0</v>
      </c>
      <c r="K94" s="93">
        <v>0</v>
      </c>
      <c r="L94" s="93">
        <v>0</v>
      </c>
      <c r="M94" s="6">
        <f t="shared" si="1"/>
        <v>50000000</v>
      </c>
      <c r="N94" s="29">
        <v>43223</v>
      </c>
      <c r="O94" s="30">
        <v>43465</v>
      </c>
      <c r="P94" s="12" t="s">
        <v>359</v>
      </c>
      <c r="Q94" s="13" t="s">
        <v>73</v>
      </c>
      <c r="R94" s="26" t="s">
        <v>712</v>
      </c>
      <c r="S94" s="26" t="s">
        <v>713</v>
      </c>
      <c r="T94" s="26" t="s">
        <v>714</v>
      </c>
      <c r="U94" s="26" t="s">
        <v>715</v>
      </c>
      <c r="V94" s="32" t="s">
        <v>716</v>
      </c>
      <c r="W94" s="26" t="s">
        <v>28</v>
      </c>
    </row>
    <row r="95" spans="1:23" ht="84.95" hidden="1" customHeight="1" x14ac:dyDescent="0.2">
      <c r="A95" s="27" t="s">
        <v>717</v>
      </c>
      <c r="B95" s="43" t="s">
        <v>718</v>
      </c>
      <c r="C95" s="44" t="s">
        <v>3325</v>
      </c>
      <c r="D95" s="7">
        <v>52434000</v>
      </c>
      <c r="E95" s="28"/>
      <c r="F95" s="28"/>
      <c r="G95" s="7"/>
      <c r="H95" s="7">
        <v>52434000</v>
      </c>
      <c r="I95" s="93">
        <v>0</v>
      </c>
      <c r="J95" s="93">
        <v>0</v>
      </c>
      <c r="K95" s="93">
        <v>0</v>
      </c>
      <c r="L95" s="93">
        <v>0</v>
      </c>
      <c r="M95" s="6">
        <f t="shared" si="1"/>
        <v>52434000</v>
      </c>
      <c r="N95" s="29">
        <v>43223</v>
      </c>
      <c r="O95" s="30">
        <v>43646</v>
      </c>
      <c r="P95" s="12" t="s">
        <v>402</v>
      </c>
      <c r="Q95" s="13" t="s">
        <v>73</v>
      </c>
      <c r="R95" s="26" t="s">
        <v>718</v>
      </c>
      <c r="S95" s="26" t="s">
        <v>719</v>
      </c>
      <c r="T95" s="26" t="s">
        <v>720</v>
      </c>
      <c r="U95" s="26" t="s">
        <v>721</v>
      </c>
      <c r="V95" s="32" t="s">
        <v>722</v>
      </c>
      <c r="W95" s="26" t="s">
        <v>28</v>
      </c>
    </row>
    <row r="96" spans="1:23" ht="84.95" hidden="1" customHeight="1" x14ac:dyDescent="0.2">
      <c r="A96" s="27" t="s">
        <v>723</v>
      </c>
      <c r="B96" s="51" t="s">
        <v>724</v>
      </c>
      <c r="C96" s="46" t="s">
        <v>725</v>
      </c>
      <c r="D96" s="7">
        <v>5897140</v>
      </c>
      <c r="E96" s="28"/>
      <c r="F96" s="28"/>
      <c r="G96" s="7"/>
      <c r="H96" s="7">
        <v>5897140</v>
      </c>
      <c r="I96" s="93">
        <v>0</v>
      </c>
      <c r="J96" s="93">
        <v>0</v>
      </c>
      <c r="K96" s="93">
        <v>0</v>
      </c>
      <c r="L96" s="93">
        <v>0</v>
      </c>
      <c r="M96" s="6">
        <f t="shared" si="1"/>
        <v>5897140</v>
      </c>
      <c r="N96" s="29">
        <v>43223</v>
      </c>
      <c r="O96" s="30">
        <v>43373</v>
      </c>
      <c r="P96" s="12" t="s">
        <v>855</v>
      </c>
      <c r="Q96" s="13" t="s">
        <v>73</v>
      </c>
      <c r="R96" s="26" t="s">
        <v>726</v>
      </c>
      <c r="S96" s="26" t="s">
        <v>727</v>
      </c>
      <c r="T96" s="26" t="s">
        <v>728</v>
      </c>
      <c r="U96" s="26" t="s">
        <v>729</v>
      </c>
      <c r="V96" s="32" t="s">
        <v>730</v>
      </c>
      <c r="W96" s="26" t="s">
        <v>28</v>
      </c>
    </row>
    <row r="97" spans="1:23" ht="84.95" hidden="1" customHeight="1" x14ac:dyDescent="0.2">
      <c r="A97" s="27" t="s">
        <v>731</v>
      </c>
      <c r="B97" s="38" t="s">
        <v>3326</v>
      </c>
      <c r="C97" s="16" t="s">
        <v>3327</v>
      </c>
      <c r="D97" s="7">
        <v>75000000</v>
      </c>
      <c r="E97" s="28"/>
      <c r="F97" s="28"/>
      <c r="G97" s="7"/>
      <c r="H97" s="7">
        <v>75000000</v>
      </c>
      <c r="I97" s="93">
        <v>0</v>
      </c>
      <c r="J97" s="93">
        <v>0</v>
      </c>
      <c r="K97" s="93">
        <v>0</v>
      </c>
      <c r="L97" s="93">
        <v>0</v>
      </c>
      <c r="M97" s="6">
        <f t="shared" si="1"/>
        <v>75000000</v>
      </c>
      <c r="N97" s="29">
        <v>43227</v>
      </c>
      <c r="O97" s="30">
        <v>43465</v>
      </c>
      <c r="P97" s="12" t="s">
        <v>123</v>
      </c>
      <c r="Q97" s="13" t="s">
        <v>73</v>
      </c>
      <c r="R97" s="26" t="s">
        <v>732</v>
      </c>
      <c r="S97" s="26" t="s">
        <v>733</v>
      </c>
      <c r="T97" s="26" t="s">
        <v>734</v>
      </c>
      <c r="U97" s="26" t="s">
        <v>735</v>
      </c>
      <c r="V97" s="32" t="s">
        <v>736</v>
      </c>
      <c r="W97" s="26" t="s">
        <v>28</v>
      </c>
    </row>
    <row r="98" spans="1:23" ht="84.95" hidden="1" customHeight="1" x14ac:dyDescent="0.2">
      <c r="A98" s="27" t="s">
        <v>737</v>
      </c>
      <c r="B98" s="48" t="s">
        <v>738</v>
      </c>
      <c r="C98" s="46" t="s">
        <v>739</v>
      </c>
      <c r="D98" s="7" t="s">
        <v>40</v>
      </c>
      <c r="E98" s="28"/>
      <c r="F98" s="28"/>
      <c r="G98" s="7"/>
      <c r="H98" s="7" t="s">
        <v>40</v>
      </c>
      <c r="I98" s="93">
        <v>0</v>
      </c>
      <c r="J98" s="93">
        <v>0</v>
      </c>
      <c r="K98" s="93">
        <v>0</v>
      </c>
      <c r="L98" s="93">
        <v>0</v>
      </c>
      <c r="M98" s="6">
        <f t="shared" si="1"/>
        <v>0</v>
      </c>
      <c r="N98" s="29">
        <v>43227</v>
      </c>
      <c r="O98" s="30">
        <v>44323</v>
      </c>
      <c r="P98" s="12" t="s">
        <v>148</v>
      </c>
      <c r="Q98" s="13" t="s">
        <v>73</v>
      </c>
      <c r="R98" s="26" t="s">
        <v>740</v>
      </c>
      <c r="S98" s="26" t="s">
        <v>741</v>
      </c>
      <c r="T98" s="26" t="s">
        <v>742</v>
      </c>
      <c r="U98" s="26" t="s">
        <v>743</v>
      </c>
      <c r="V98" s="32" t="s">
        <v>744</v>
      </c>
      <c r="W98" s="26" t="s">
        <v>28</v>
      </c>
    </row>
    <row r="99" spans="1:23" ht="84.95" hidden="1" customHeight="1" x14ac:dyDescent="0.2">
      <c r="A99" s="27" t="s">
        <v>745</v>
      </c>
      <c r="B99" s="48" t="s">
        <v>746</v>
      </c>
      <c r="C99" s="46" t="s">
        <v>747</v>
      </c>
      <c r="D99" s="7">
        <v>10059729</v>
      </c>
      <c r="E99" s="28"/>
      <c r="F99" s="28"/>
      <c r="G99" s="7"/>
      <c r="H99" s="7">
        <v>10059729</v>
      </c>
      <c r="I99" s="93">
        <v>0</v>
      </c>
      <c r="J99" s="93">
        <v>0</v>
      </c>
      <c r="K99" s="93">
        <v>0</v>
      </c>
      <c r="L99" s="93">
        <v>0</v>
      </c>
      <c r="M99" s="6">
        <f t="shared" si="1"/>
        <v>10059729</v>
      </c>
      <c r="N99" s="29">
        <v>43227</v>
      </c>
      <c r="O99" s="30">
        <v>43465</v>
      </c>
      <c r="P99" s="12" t="s">
        <v>505</v>
      </c>
      <c r="Q99" s="13" t="s">
        <v>73</v>
      </c>
      <c r="R99" s="26" t="s">
        <v>748</v>
      </c>
      <c r="S99" s="26" t="s">
        <v>749</v>
      </c>
      <c r="T99" s="26" t="s">
        <v>750</v>
      </c>
      <c r="U99" s="26" t="s">
        <v>751</v>
      </c>
      <c r="V99" s="32" t="s">
        <v>752</v>
      </c>
      <c r="W99" s="26" t="s">
        <v>28</v>
      </c>
    </row>
    <row r="100" spans="1:23" ht="84.95" hidden="1" customHeight="1" x14ac:dyDescent="0.2">
      <c r="A100" s="27" t="s">
        <v>753</v>
      </c>
      <c r="B100" s="38" t="s">
        <v>754</v>
      </c>
      <c r="C100" s="16" t="s">
        <v>755</v>
      </c>
      <c r="D100" s="7">
        <v>297130594</v>
      </c>
      <c r="E100" s="28"/>
      <c r="F100" s="28"/>
      <c r="G100" s="7"/>
      <c r="H100" s="7">
        <v>297130594</v>
      </c>
      <c r="I100" s="93">
        <v>0</v>
      </c>
      <c r="J100" s="93">
        <v>0</v>
      </c>
      <c r="K100" s="93">
        <v>0</v>
      </c>
      <c r="L100" s="93">
        <v>0</v>
      </c>
      <c r="M100" s="6">
        <f t="shared" si="1"/>
        <v>297130594</v>
      </c>
      <c r="N100" s="29">
        <v>43229</v>
      </c>
      <c r="O100" s="30">
        <v>43465</v>
      </c>
      <c r="P100" s="12" t="s">
        <v>756</v>
      </c>
      <c r="Q100" s="13" t="s">
        <v>73</v>
      </c>
      <c r="R100" s="26" t="s">
        <v>757</v>
      </c>
      <c r="S100" s="26" t="s">
        <v>758</v>
      </c>
      <c r="T100" s="26" t="s">
        <v>759</v>
      </c>
      <c r="U100" s="26" t="s">
        <v>760</v>
      </c>
      <c r="V100" s="32" t="s">
        <v>761</v>
      </c>
      <c r="W100" s="26" t="s">
        <v>28</v>
      </c>
    </row>
    <row r="101" spans="1:23" ht="84.95" hidden="1" customHeight="1" x14ac:dyDescent="0.2">
      <c r="A101" s="27" t="s">
        <v>762</v>
      </c>
      <c r="B101" s="42" t="s">
        <v>763</v>
      </c>
      <c r="C101" s="41" t="s">
        <v>1550</v>
      </c>
      <c r="D101" s="7">
        <v>6360000</v>
      </c>
      <c r="E101" s="28"/>
      <c r="F101" s="28"/>
      <c r="G101" s="7"/>
      <c r="H101" s="7">
        <v>6360000</v>
      </c>
      <c r="I101" s="93">
        <v>0</v>
      </c>
      <c r="J101" s="93">
        <v>0</v>
      </c>
      <c r="K101" s="93">
        <v>0</v>
      </c>
      <c r="L101" s="93">
        <v>0</v>
      </c>
      <c r="M101" s="6">
        <f t="shared" si="1"/>
        <v>6360000</v>
      </c>
      <c r="N101" s="29">
        <v>43228</v>
      </c>
      <c r="O101" s="30">
        <v>43465</v>
      </c>
      <c r="P101" s="12" t="s">
        <v>606</v>
      </c>
      <c r="Q101" s="11" t="s">
        <v>32</v>
      </c>
      <c r="R101" s="26" t="s">
        <v>764</v>
      </c>
      <c r="S101" s="26" t="s">
        <v>765</v>
      </c>
      <c r="T101" s="26" t="s">
        <v>766</v>
      </c>
      <c r="U101" s="26" t="s">
        <v>767</v>
      </c>
      <c r="V101" s="32" t="s">
        <v>768</v>
      </c>
      <c r="W101" s="26" t="s">
        <v>28</v>
      </c>
    </row>
    <row r="102" spans="1:23" ht="84.95" hidden="1" customHeight="1" x14ac:dyDescent="0.2">
      <c r="A102" s="27" t="s">
        <v>769</v>
      </c>
      <c r="B102" s="38" t="s">
        <v>770</v>
      </c>
      <c r="C102" s="16" t="s">
        <v>771</v>
      </c>
      <c r="D102" s="7">
        <v>291452000</v>
      </c>
      <c r="E102" s="28">
        <v>138400000</v>
      </c>
      <c r="F102" s="28"/>
      <c r="G102" s="7"/>
      <c r="H102" s="7">
        <v>291452000</v>
      </c>
      <c r="I102" s="93">
        <v>0</v>
      </c>
      <c r="J102" s="93">
        <v>0</v>
      </c>
      <c r="K102" s="93">
        <v>0</v>
      </c>
      <c r="L102" s="93">
        <v>0</v>
      </c>
      <c r="M102" s="6">
        <f t="shared" si="1"/>
        <v>291452000</v>
      </c>
      <c r="N102" s="29">
        <v>43230</v>
      </c>
      <c r="O102" s="30">
        <v>43600</v>
      </c>
      <c r="P102" s="12" t="s">
        <v>772</v>
      </c>
      <c r="Q102" s="11" t="s">
        <v>32</v>
      </c>
      <c r="R102" s="26" t="s">
        <v>773</v>
      </c>
      <c r="S102" s="26" t="s">
        <v>411</v>
      </c>
      <c r="T102" s="26" t="s">
        <v>412</v>
      </c>
      <c r="U102" s="26" t="s">
        <v>774</v>
      </c>
      <c r="V102" s="32" t="s">
        <v>414</v>
      </c>
      <c r="W102" s="26" t="s">
        <v>28</v>
      </c>
    </row>
    <row r="103" spans="1:23" ht="84.95" hidden="1" customHeight="1" x14ac:dyDescent="0.2">
      <c r="A103" s="27" t="s">
        <v>775</v>
      </c>
      <c r="B103" s="48" t="s">
        <v>3301</v>
      </c>
      <c r="C103" s="52" t="s">
        <v>776</v>
      </c>
      <c r="D103" s="7">
        <v>171360000</v>
      </c>
      <c r="E103" s="28">
        <v>60680000</v>
      </c>
      <c r="F103" s="28"/>
      <c r="G103" s="7"/>
      <c r="H103" s="7">
        <v>171360000</v>
      </c>
      <c r="I103" s="93">
        <v>0</v>
      </c>
      <c r="J103" s="93">
        <v>0</v>
      </c>
      <c r="K103" s="93">
        <v>0</v>
      </c>
      <c r="L103" s="93">
        <v>0</v>
      </c>
      <c r="M103" s="6">
        <f t="shared" si="1"/>
        <v>171360000</v>
      </c>
      <c r="N103" s="29">
        <v>43231</v>
      </c>
      <c r="O103" s="30">
        <v>43799</v>
      </c>
      <c r="P103" s="12" t="s">
        <v>583</v>
      </c>
      <c r="Q103" s="13" t="s">
        <v>56</v>
      </c>
      <c r="R103" s="26" t="s">
        <v>777</v>
      </c>
      <c r="S103" s="26" t="s">
        <v>778</v>
      </c>
      <c r="T103" s="26" t="s">
        <v>779</v>
      </c>
      <c r="U103" s="26" t="s">
        <v>780</v>
      </c>
      <c r="V103" s="32" t="s">
        <v>781</v>
      </c>
      <c r="W103" s="26" t="s">
        <v>28</v>
      </c>
    </row>
    <row r="104" spans="1:23" ht="104.25" hidden="1" customHeight="1" x14ac:dyDescent="0.2">
      <c r="A104" s="27" t="s">
        <v>782</v>
      </c>
      <c r="B104" s="42" t="s">
        <v>3328</v>
      </c>
      <c r="C104" s="41" t="s">
        <v>3329</v>
      </c>
      <c r="D104" s="7">
        <v>29834963</v>
      </c>
      <c r="E104" s="28"/>
      <c r="F104" s="28"/>
      <c r="G104" s="7"/>
      <c r="H104" s="7">
        <v>29834963</v>
      </c>
      <c r="I104" s="93">
        <v>0</v>
      </c>
      <c r="J104" s="93">
        <v>0</v>
      </c>
      <c r="K104" s="93">
        <v>0</v>
      </c>
      <c r="L104" s="93">
        <v>0</v>
      </c>
      <c r="M104" s="6">
        <f t="shared" si="1"/>
        <v>29834963</v>
      </c>
      <c r="N104" s="29">
        <v>43235</v>
      </c>
      <c r="O104" s="30">
        <v>43465</v>
      </c>
      <c r="P104" s="12" t="s">
        <v>892</v>
      </c>
      <c r="Q104" s="13" t="s">
        <v>73</v>
      </c>
      <c r="R104" s="26" t="s">
        <v>783</v>
      </c>
      <c r="S104" s="26" t="s">
        <v>784</v>
      </c>
      <c r="T104" s="26" t="s">
        <v>785</v>
      </c>
      <c r="U104" s="26" t="s">
        <v>786</v>
      </c>
      <c r="V104" s="32" t="s">
        <v>787</v>
      </c>
      <c r="W104" s="26" t="s">
        <v>28</v>
      </c>
    </row>
    <row r="105" spans="1:23" ht="104.25" hidden="1" customHeight="1" x14ac:dyDescent="0.2">
      <c r="A105" s="27" t="s">
        <v>788</v>
      </c>
      <c r="B105" s="47" t="s">
        <v>789</v>
      </c>
      <c r="C105" s="46" t="s">
        <v>790</v>
      </c>
      <c r="D105" s="7">
        <v>43000000</v>
      </c>
      <c r="E105" s="28"/>
      <c r="F105" s="28"/>
      <c r="G105" s="7"/>
      <c r="H105" s="7">
        <v>43000000</v>
      </c>
      <c r="I105" s="93">
        <v>0</v>
      </c>
      <c r="J105" s="93">
        <v>0</v>
      </c>
      <c r="K105" s="93">
        <v>0</v>
      </c>
      <c r="L105" s="93">
        <v>0</v>
      </c>
      <c r="M105" s="6">
        <f t="shared" si="1"/>
        <v>43000000</v>
      </c>
      <c r="N105" s="29">
        <v>43235</v>
      </c>
      <c r="O105" s="30">
        <v>43646</v>
      </c>
      <c r="P105" s="12" t="s">
        <v>505</v>
      </c>
      <c r="Q105" s="13" t="s">
        <v>73</v>
      </c>
      <c r="R105" s="26" t="s">
        <v>791</v>
      </c>
      <c r="S105" s="26" t="s">
        <v>792</v>
      </c>
      <c r="T105" s="26" t="s">
        <v>793</v>
      </c>
      <c r="U105" s="26" t="s">
        <v>794</v>
      </c>
      <c r="V105" s="32" t="s">
        <v>795</v>
      </c>
      <c r="W105" s="26" t="s">
        <v>28</v>
      </c>
    </row>
    <row r="106" spans="1:23" ht="102" hidden="1" customHeight="1" x14ac:dyDescent="0.2">
      <c r="A106" s="27" t="s">
        <v>796</v>
      </c>
      <c r="B106" s="42" t="s">
        <v>797</v>
      </c>
      <c r="C106" s="41" t="s">
        <v>3330</v>
      </c>
      <c r="D106" s="7">
        <v>25000000</v>
      </c>
      <c r="E106" s="28"/>
      <c r="F106" s="28"/>
      <c r="G106" s="7"/>
      <c r="H106" s="7">
        <v>25000000</v>
      </c>
      <c r="I106" s="93">
        <v>0</v>
      </c>
      <c r="J106" s="93">
        <v>0</v>
      </c>
      <c r="K106" s="93">
        <v>0</v>
      </c>
      <c r="L106" s="93">
        <v>0</v>
      </c>
      <c r="M106" s="6">
        <f t="shared" si="1"/>
        <v>25000000</v>
      </c>
      <c r="N106" s="29">
        <v>43236</v>
      </c>
      <c r="O106" s="30">
        <v>43465</v>
      </c>
      <c r="P106" s="12" t="s">
        <v>617</v>
      </c>
      <c r="Q106" s="13" t="s">
        <v>73</v>
      </c>
      <c r="R106" s="26" t="s">
        <v>798</v>
      </c>
      <c r="S106" s="26" t="s">
        <v>799</v>
      </c>
      <c r="T106" s="26" t="s">
        <v>800</v>
      </c>
      <c r="U106" s="26" t="s">
        <v>801</v>
      </c>
      <c r="V106" s="32" t="s">
        <v>802</v>
      </c>
      <c r="W106" s="26" t="s">
        <v>28</v>
      </c>
    </row>
    <row r="107" spans="1:23" ht="84.95" hidden="1" customHeight="1" x14ac:dyDescent="0.2">
      <c r="A107" s="27" t="s">
        <v>803</v>
      </c>
      <c r="B107" s="47" t="s">
        <v>3239</v>
      </c>
      <c r="C107" s="46" t="s">
        <v>804</v>
      </c>
      <c r="D107" s="7">
        <v>13000000</v>
      </c>
      <c r="E107" s="28"/>
      <c r="F107" s="28"/>
      <c r="G107" s="7"/>
      <c r="H107" s="7">
        <v>13000000</v>
      </c>
      <c r="I107" s="93">
        <v>0</v>
      </c>
      <c r="J107" s="93">
        <v>0</v>
      </c>
      <c r="K107" s="93">
        <v>0</v>
      </c>
      <c r="L107" s="93">
        <v>0</v>
      </c>
      <c r="M107" s="6">
        <f t="shared" si="1"/>
        <v>13000000</v>
      </c>
      <c r="N107" s="29">
        <v>43236</v>
      </c>
      <c r="O107" s="30">
        <v>43830</v>
      </c>
      <c r="P107" s="12" t="s">
        <v>805</v>
      </c>
      <c r="Q107" s="11" t="s">
        <v>32</v>
      </c>
      <c r="R107" s="26" t="s">
        <v>806</v>
      </c>
      <c r="S107" s="26" t="s">
        <v>807</v>
      </c>
      <c r="T107" s="26" t="s">
        <v>808</v>
      </c>
      <c r="U107" s="26" t="s">
        <v>809</v>
      </c>
      <c r="V107" s="32" t="s">
        <v>810</v>
      </c>
      <c r="W107" s="26" t="s">
        <v>28</v>
      </c>
    </row>
    <row r="108" spans="1:23" ht="84.95" hidden="1" customHeight="1" x14ac:dyDescent="0.2">
      <c r="A108" s="27" t="s">
        <v>811</v>
      </c>
      <c r="B108" s="42" t="s">
        <v>812</v>
      </c>
      <c r="C108" s="41" t="s">
        <v>3331</v>
      </c>
      <c r="D108" s="7">
        <v>37377900</v>
      </c>
      <c r="E108" s="28"/>
      <c r="F108" s="28"/>
      <c r="G108" s="7"/>
      <c r="H108" s="7">
        <v>37377900</v>
      </c>
      <c r="I108" s="93">
        <v>0</v>
      </c>
      <c r="J108" s="93">
        <v>0</v>
      </c>
      <c r="K108" s="93">
        <v>0</v>
      </c>
      <c r="L108" s="93">
        <v>0</v>
      </c>
      <c r="M108" s="6">
        <f t="shared" si="1"/>
        <v>37377900</v>
      </c>
      <c r="N108" s="29">
        <v>43236</v>
      </c>
      <c r="O108" s="30">
        <v>43465</v>
      </c>
      <c r="P108" s="12" t="s">
        <v>892</v>
      </c>
      <c r="Q108" s="13" t="s">
        <v>73</v>
      </c>
      <c r="R108" s="26" t="s">
        <v>813</v>
      </c>
      <c r="S108" s="26" t="s">
        <v>814</v>
      </c>
      <c r="T108" s="26" t="s">
        <v>815</v>
      </c>
      <c r="U108" s="26" t="s">
        <v>816</v>
      </c>
      <c r="V108" s="32" t="s">
        <v>817</v>
      </c>
      <c r="W108" s="26" t="s">
        <v>28</v>
      </c>
    </row>
    <row r="109" spans="1:23" ht="84.95" hidden="1" customHeight="1" x14ac:dyDescent="0.2">
      <c r="A109" s="27" t="s">
        <v>818</v>
      </c>
      <c r="B109" s="42" t="s">
        <v>819</v>
      </c>
      <c r="C109" s="41" t="s">
        <v>820</v>
      </c>
      <c r="D109" s="7">
        <v>9163000</v>
      </c>
      <c r="E109" s="28"/>
      <c r="F109" s="28"/>
      <c r="G109" s="7"/>
      <c r="H109" s="7">
        <v>9163000</v>
      </c>
      <c r="I109" s="93">
        <v>0</v>
      </c>
      <c r="J109" s="93">
        <v>0</v>
      </c>
      <c r="K109" s="93">
        <v>0</v>
      </c>
      <c r="L109" s="93">
        <v>0</v>
      </c>
      <c r="M109" s="6">
        <f t="shared" si="1"/>
        <v>9163000</v>
      </c>
      <c r="N109" s="29">
        <v>43237</v>
      </c>
      <c r="O109" s="30">
        <v>43281</v>
      </c>
      <c r="P109" s="12" t="s">
        <v>171</v>
      </c>
      <c r="Q109" s="11" t="s">
        <v>32</v>
      </c>
      <c r="R109" s="26" t="s">
        <v>821</v>
      </c>
      <c r="S109" s="26" t="s">
        <v>822</v>
      </c>
      <c r="T109" s="26" t="s">
        <v>823</v>
      </c>
      <c r="U109" s="26" t="s">
        <v>824</v>
      </c>
      <c r="V109" s="32" t="s">
        <v>825</v>
      </c>
      <c r="W109" s="26" t="s">
        <v>28</v>
      </c>
    </row>
    <row r="110" spans="1:23" ht="100.5" hidden="1" customHeight="1" x14ac:dyDescent="0.2">
      <c r="A110" s="27" t="s">
        <v>826</v>
      </c>
      <c r="B110" s="47" t="s">
        <v>546</v>
      </c>
      <c r="C110" s="46" t="s">
        <v>827</v>
      </c>
      <c r="D110" s="7">
        <v>40000000</v>
      </c>
      <c r="E110" s="28"/>
      <c r="F110" s="28"/>
      <c r="G110" s="7"/>
      <c r="H110" s="7">
        <v>40000000</v>
      </c>
      <c r="I110" s="93">
        <v>0</v>
      </c>
      <c r="J110" s="93">
        <v>0</v>
      </c>
      <c r="K110" s="93">
        <v>0</v>
      </c>
      <c r="L110" s="93">
        <v>0</v>
      </c>
      <c r="M110" s="6">
        <f t="shared" si="1"/>
        <v>40000000</v>
      </c>
      <c r="N110" s="29">
        <v>43238</v>
      </c>
      <c r="O110" s="30">
        <v>43465</v>
      </c>
      <c r="P110" s="12" t="s">
        <v>617</v>
      </c>
      <c r="Q110" s="13" t="s">
        <v>73</v>
      </c>
      <c r="R110" s="26" t="s">
        <v>828</v>
      </c>
      <c r="S110" s="26" t="s">
        <v>549</v>
      </c>
      <c r="T110" s="26" t="s">
        <v>550</v>
      </c>
      <c r="U110" s="26" t="s">
        <v>551</v>
      </c>
      <c r="V110" s="32" t="s">
        <v>552</v>
      </c>
      <c r="W110" s="26" t="s">
        <v>28</v>
      </c>
    </row>
    <row r="111" spans="1:23" ht="84.95" hidden="1" customHeight="1" x14ac:dyDescent="0.2">
      <c r="A111" s="27" t="s">
        <v>829</v>
      </c>
      <c r="B111" s="43" t="s">
        <v>830</v>
      </c>
      <c r="C111" s="16" t="s">
        <v>831</v>
      </c>
      <c r="D111" s="7">
        <v>220000000</v>
      </c>
      <c r="E111" s="28"/>
      <c r="F111" s="28"/>
      <c r="G111" s="7"/>
      <c r="H111" s="7">
        <v>220000000</v>
      </c>
      <c r="I111" s="93">
        <v>0</v>
      </c>
      <c r="J111" s="93">
        <v>0</v>
      </c>
      <c r="K111" s="93">
        <v>0</v>
      </c>
      <c r="L111" s="93">
        <v>0</v>
      </c>
      <c r="M111" s="6">
        <f t="shared" si="1"/>
        <v>220000000</v>
      </c>
      <c r="N111" s="29">
        <v>43241</v>
      </c>
      <c r="O111" s="30">
        <v>43465</v>
      </c>
      <c r="P111" s="12" t="s">
        <v>359</v>
      </c>
      <c r="Q111" s="13" t="s">
        <v>73</v>
      </c>
      <c r="R111" s="26" t="s">
        <v>832</v>
      </c>
      <c r="S111" s="26" t="s">
        <v>833</v>
      </c>
      <c r="T111" s="26" t="s">
        <v>834</v>
      </c>
      <c r="U111" s="26" t="s">
        <v>835</v>
      </c>
      <c r="V111" s="32" t="s">
        <v>836</v>
      </c>
      <c r="W111" s="26" t="s">
        <v>28</v>
      </c>
    </row>
    <row r="112" spans="1:23" ht="84.95" hidden="1" customHeight="1" x14ac:dyDescent="0.2">
      <c r="A112" s="27" t="s">
        <v>837</v>
      </c>
      <c r="B112" s="43" t="s">
        <v>838</v>
      </c>
      <c r="C112" s="16" t="s">
        <v>831</v>
      </c>
      <c r="D112" s="7">
        <v>530351640</v>
      </c>
      <c r="E112" s="28"/>
      <c r="F112" s="28"/>
      <c r="G112" s="7"/>
      <c r="H112" s="7">
        <f t="shared" ref="H112" si="2">+E112+G112</f>
        <v>0</v>
      </c>
      <c r="I112" s="93">
        <v>0</v>
      </c>
      <c r="J112" s="93">
        <v>0</v>
      </c>
      <c r="K112" s="93">
        <v>0</v>
      </c>
      <c r="L112" s="93">
        <v>0</v>
      </c>
      <c r="M112" s="6">
        <f t="shared" si="1"/>
        <v>0</v>
      </c>
      <c r="N112" s="29">
        <v>43241</v>
      </c>
      <c r="O112" s="30">
        <v>43465</v>
      </c>
      <c r="P112" s="12" t="s">
        <v>839</v>
      </c>
      <c r="Q112" s="13" t="s">
        <v>73</v>
      </c>
      <c r="R112" s="26" t="s">
        <v>840</v>
      </c>
      <c r="S112" s="26" t="s">
        <v>841</v>
      </c>
      <c r="T112" s="26" t="s">
        <v>842</v>
      </c>
      <c r="U112" s="26" t="s">
        <v>843</v>
      </c>
      <c r="V112" s="32" t="s">
        <v>844</v>
      </c>
      <c r="W112" s="26" t="s">
        <v>28</v>
      </c>
    </row>
    <row r="113" spans="1:23" ht="123" hidden="1" customHeight="1" x14ac:dyDescent="0.2">
      <c r="A113" s="27" t="s">
        <v>845</v>
      </c>
      <c r="B113" s="42" t="s">
        <v>846</v>
      </c>
      <c r="C113" s="41" t="s">
        <v>3342</v>
      </c>
      <c r="D113" s="7">
        <v>10529120</v>
      </c>
      <c r="E113" s="28"/>
      <c r="F113" s="28"/>
      <c r="G113" s="7"/>
      <c r="H113" s="7">
        <v>10529120</v>
      </c>
      <c r="I113" s="93">
        <v>0</v>
      </c>
      <c r="J113" s="93">
        <v>0</v>
      </c>
      <c r="K113" s="93">
        <v>0</v>
      </c>
      <c r="L113" s="93">
        <v>0</v>
      </c>
      <c r="M113" s="6">
        <f t="shared" si="1"/>
        <v>10529120</v>
      </c>
      <c r="N113" s="29">
        <v>43242</v>
      </c>
      <c r="O113" s="30">
        <v>43465</v>
      </c>
      <c r="P113" s="12" t="s">
        <v>617</v>
      </c>
      <c r="Q113" s="13" t="s">
        <v>73</v>
      </c>
      <c r="R113" s="26" t="s">
        <v>847</v>
      </c>
      <c r="S113" s="26" t="s">
        <v>848</v>
      </c>
      <c r="T113" s="26" t="s">
        <v>849</v>
      </c>
      <c r="U113" s="26" t="s">
        <v>850</v>
      </c>
      <c r="V113" s="32" t="s">
        <v>851</v>
      </c>
      <c r="W113" s="26" t="s">
        <v>28</v>
      </c>
    </row>
    <row r="114" spans="1:23" ht="84.95" hidden="1" customHeight="1" x14ac:dyDescent="0.2">
      <c r="A114" s="27" t="s">
        <v>852</v>
      </c>
      <c r="B114" s="48" t="s">
        <v>853</v>
      </c>
      <c r="C114" s="52" t="s">
        <v>854</v>
      </c>
      <c r="D114" s="7">
        <v>12489954</v>
      </c>
      <c r="E114" s="28"/>
      <c r="F114" s="28"/>
      <c r="G114" s="7"/>
      <c r="H114" s="7">
        <v>12489954</v>
      </c>
      <c r="I114" s="93">
        <v>0</v>
      </c>
      <c r="J114" s="93">
        <v>0</v>
      </c>
      <c r="K114" s="93">
        <v>0</v>
      </c>
      <c r="L114" s="93">
        <v>0</v>
      </c>
      <c r="M114" s="6">
        <f t="shared" si="1"/>
        <v>12489954</v>
      </c>
      <c r="N114" s="29">
        <v>43242</v>
      </c>
      <c r="O114" s="30">
        <v>43465</v>
      </c>
      <c r="P114" s="12" t="s">
        <v>855</v>
      </c>
      <c r="Q114" s="11" t="s">
        <v>32</v>
      </c>
      <c r="R114" s="26" t="s">
        <v>204</v>
      </c>
      <c r="S114" s="26" t="s">
        <v>205</v>
      </c>
      <c r="T114" s="26" t="s">
        <v>206</v>
      </c>
      <c r="U114" s="26" t="s">
        <v>207</v>
      </c>
      <c r="V114" s="32" t="s">
        <v>208</v>
      </c>
      <c r="W114" s="26" t="s">
        <v>28</v>
      </c>
    </row>
    <row r="115" spans="1:23" ht="84.95" hidden="1" customHeight="1" x14ac:dyDescent="0.2">
      <c r="A115" s="27" t="s">
        <v>856</v>
      </c>
      <c r="B115" s="53" t="s">
        <v>857</v>
      </c>
      <c r="C115" s="41" t="s">
        <v>3343</v>
      </c>
      <c r="D115" s="7">
        <v>25000000</v>
      </c>
      <c r="E115" s="28"/>
      <c r="F115" s="28"/>
      <c r="G115" s="7"/>
      <c r="H115" s="7">
        <v>25000000</v>
      </c>
      <c r="I115" s="93">
        <v>0</v>
      </c>
      <c r="J115" s="93">
        <v>0</v>
      </c>
      <c r="K115" s="93">
        <v>0</v>
      </c>
      <c r="L115" s="93">
        <v>0</v>
      </c>
      <c r="M115" s="6">
        <f t="shared" si="1"/>
        <v>25000000</v>
      </c>
      <c r="N115" s="29">
        <v>43242</v>
      </c>
      <c r="O115" s="30">
        <v>43646</v>
      </c>
      <c r="P115" s="12" t="s">
        <v>892</v>
      </c>
      <c r="Q115" s="13" t="s">
        <v>73</v>
      </c>
      <c r="R115" s="26" t="s">
        <v>858</v>
      </c>
      <c r="S115" s="26" t="s">
        <v>859</v>
      </c>
      <c r="T115" s="26" t="s">
        <v>860</v>
      </c>
      <c r="U115" s="26" t="s">
        <v>861</v>
      </c>
      <c r="V115" s="32" t="s">
        <v>862</v>
      </c>
      <c r="W115" s="26" t="s">
        <v>28</v>
      </c>
    </row>
    <row r="116" spans="1:23" ht="84.95" hidden="1" customHeight="1" x14ac:dyDescent="0.2">
      <c r="A116" s="27" t="s">
        <v>863</v>
      </c>
      <c r="B116" s="38" t="s">
        <v>3240</v>
      </c>
      <c r="C116" s="16" t="s">
        <v>864</v>
      </c>
      <c r="D116" s="7">
        <v>60000000</v>
      </c>
      <c r="E116" s="28">
        <v>30000000</v>
      </c>
      <c r="F116" s="28"/>
      <c r="G116" s="7"/>
      <c r="H116" s="7">
        <v>60000000</v>
      </c>
      <c r="I116" s="93">
        <v>0</v>
      </c>
      <c r="J116" s="93">
        <v>0</v>
      </c>
      <c r="K116" s="93">
        <v>0</v>
      </c>
      <c r="L116" s="93">
        <v>0</v>
      </c>
      <c r="M116" s="6">
        <f t="shared" si="1"/>
        <v>60000000</v>
      </c>
      <c r="N116" s="29">
        <v>43243</v>
      </c>
      <c r="O116" s="30">
        <v>43951</v>
      </c>
      <c r="P116" s="12" t="s">
        <v>343</v>
      </c>
      <c r="Q116" s="13" t="s">
        <v>56</v>
      </c>
      <c r="R116" s="26" t="s">
        <v>865</v>
      </c>
      <c r="S116" s="26" t="s">
        <v>866</v>
      </c>
      <c r="T116" s="26" t="s">
        <v>867</v>
      </c>
      <c r="U116" s="26" t="s">
        <v>868</v>
      </c>
      <c r="V116" s="32" t="s">
        <v>869</v>
      </c>
      <c r="W116" s="26" t="s">
        <v>28</v>
      </c>
    </row>
    <row r="117" spans="1:23" ht="84.95" hidden="1" customHeight="1" x14ac:dyDescent="0.2">
      <c r="A117" s="27" t="s">
        <v>870</v>
      </c>
      <c r="B117" s="43" t="s">
        <v>871</v>
      </c>
      <c r="C117" s="16" t="s">
        <v>872</v>
      </c>
      <c r="D117" s="7">
        <v>837103500</v>
      </c>
      <c r="E117" s="28"/>
      <c r="F117" s="28"/>
      <c r="G117" s="7"/>
      <c r="H117" s="7">
        <v>837103500</v>
      </c>
      <c r="I117" s="93">
        <v>0</v>
      </c>
      <c r="J117" s="93">
        <v>0</v>
      </c>
      <c r="K117" s="93">
        <v>0</v>
      </c>
      <c r="L117" s="93">
        <v>0</v>
      </c>
      <c r="M117" s="6">
        <f t="shared" si="1"/>
        <v>837103500</v>
      </c>
      <c r="N117" s="29">
        <v>43248</v>
      </c>
      <c r="O117" s="30">
        <v>43646</v>
      </c>
      <c r="P117" s="12" t="s">
        <v>873</v>
      </c>
      <c r="Q117" s="13" t="s">
        <v>56</v>
      </c>
      <c r="R117" s="26" t="s">
        <v>874</v>
      </c>
      <c r="S117" s="26" t="s">
        <v>875</v>
      </c>
      <c r="T117" s="26" t="s">
        <v>876</v>
      </c>
      <c r="U117" s="26" t="s">
        <v>877</v>
      </c>
      <c r="V117" s="32" t="s">
        <v>878</v>
      </c>
      <c r="W117" s="26" t="s">
        <v>28</v>
      </c>
    </row>
    <row r="118" spans="1:23" ht="84.95" hidden="1" customHeight="1" x14ac:dyDescent="0.2">
      <c r="A118" s="27" t="s">
        <v>879</v>
      </c>
      <c r="B118" s="43" t="s">
        <v>880</v>
      </c>
      <c r="C118" s="16" t="s">
        <v>872</v>
      </c>
      <c r="D118" s="7">
        <v>837103500</v>
      </c>
      <c r="E118" s="28"/>
      <c r="F118" s="28"/>
      <c r="G118" s="7"/>
      <c r="H118" s="7">
        <v>837103500</v>
      </c>
      <c r="I118" s="93">
        <v>0</v>
      </c>
      <c r="J118" s="93">
        <v>0</v>
      </c>
      <c r="K118" s="93">
        <v>0</v>
      </c>
      <c r="L118" s="93">
        <v>0</v>
      </c>
      <c r="M118" s="6">
        <f t="shared" si="1"/>
        <v>837103500</v>
      </c>
      <c r="N118" s="29">
        <v>43248</v>
      </c>
      <c r="O118" s="30">
        <v>43465</v>
      </c>
      <c r="P118" s="12" t="s">
        <v>873</v>
      </c>
      <c r="Q118" s="13" t="s">
        <v>56</v>
      </c>
      <c r="R118" s="26" t="s">
        <v>881</v>
      </c>
      <c r="S118" s="26" t="s">
        <v>882</v>
      </c>
      <c r="T118" s="26" t="s">
        <v>883</v>
      </c>
      <c r="U118" s="26" t="s">
        <v>884</v>
      </c>
      <c r="V118" s="32" t="s">
        <v>885</v>
      </c>
      <c r="W118" s="26" t="s">
        <v>28</v>
      </c>
    </row>
    <row r="119" spans="1:23" ht="84.95" hidden="1" customHeight="1" x14ac:dyDescent="0.2">
      <c r="A119" s="27" t="s">
        <v>886</v>
      </c>
      <c r="B119" s="48" t="s">
        <v>887</v>
      </c>
      <c r="C119" s="46" t="s">
        <v>888</v>
      </c>
      <c r="D119" s="7">
        <v>50000000</v>
      </c>
      <c r="E119" s="28"/>
      <c r="F119" s="28"/>
      <c r="G119" s="7"/>
      <c r="H119" s="7">
        <v>50000000</v>
      </c>
      <c r="I119" s="93">
        <v>0</v>
      </c>
      <c r="J119" s="93">
        <v>0</v>
      </c>
      <c r="K119" s="93">
        <v>0</v>
      </c>
      <c r="L119" s="93">
        <v>0</v>
      </c>
      <c r="M119" s="6">
        <f t="shared" si="1"/>
        <v>50000000</v>
      </c>
      <c r="N119" s="29">
        <v>43243</v>
      </c>
      <c r="O119" s="30">
        <v>43465</v>
      </c>
      <c r="P119" s="12" t="s">
        <v>211</v>
      </c>
      <c r="Q119" s="13" t="s">
        <v>56</v>
      </c>
      <c r="R119" s="26" t="s">
        <v>889</v>
      </c>
      <c r="S119" s="26" t="s">
        <v>213</v>
      </c>
      <c r="T119" s="26" t="s">
        <v>214</v>
      </c>
      <c r="U119" s="26" t="s">
        <v>215</v>
      </c>
      <c r="V119" s="32" t="s">
        <v>216</v>
      </c>
      <c r="W119" s="26" t="s">
        <v>28</v>
      </c>
    </row>
    <row r="120" spans="1:23" ht="84.95" hidden="1" customHeight="1" x14ac:dyDescent="0.2">
      <c r="A120" s="27" t="s">
        <v>890</v>
      </c>
      <c r="B120" s="49" t="s">
        <v>711</v>
      </c>
      <c r="C120" s="50" t="s">
        <v>891</v>
      </c>
      <c r="D120" s="7">
        <v>8700000</v>
      </c>
      <c r="E120" s="28"/>
      <c r="F120" s="28"/>
      <c r="G120" s="7"/>
      <c r="H120" s="7">
        <v>8700000</v>
      </c>
      <c r="I120" s="93">
        <v>0</v>
      </c>
      <c r="J120" s="93">
        <v>0</v>
      </c>
      <c r="K120" s="93">
        <v>0</v>
      </c>
      <c r="L120" s="93">
        <v>0</v>
      </c>
      <c r="M120" s="6">
        <f t="shared" si="1"/>
        <v>8700000</v>
      </c>
      <c r="N120" s="29">
        <v>43243</v>
      </c>
      <c r="O120" s="30">
        <v>43465</v>
      </c>
      <c r="P120" s="12" t="s">
        <v>892</v>
      </c>
      <c r="Q120" s="13" t="s">
        <v>73</v>
      </c>
      <c r="R120" s="26" t="s">
        <v>893</v>
      </c>
      <c r="S120" s="26" t="s">
        <v>713</v>
      </c>
      <c r="T120" s="26" t="s">
        <v>714</v>
      </c>
      <c r="U120" s="26" t="s">
        <v>715</v>
      </c>
      <c r="V120" s="32" t="s">
        <v>716</v>
      </c>
      <c r="W120" s="26" t="s">
        <v>28</v>
      </c>
    </row>
    <row r="121" spans="1:23" ht="84.95" hidden="1" customHeight="1" x14ac:dyDescent="0.2">
      <c r="A121" s="27" t="s">
        <v>894</v>
      </c>
      <c r="B121" s="53" t="s">
        <v>895</v>
      </c>
      <c r="C121" s="41" t="s">
        <v>896</v>
      </c>
      <c r="D121" s="7">
        <v>50780730</v>
      </c>
      <c r="E121" s="28"/>
      <c r="F121" s="28"/>
      <c r="G121" s="7"/>
      <c r="H121" s="7">
        <v>50780730</v>
      </c>
      <c r="I121" s="93">
        <v>0</v>
      </c>
      <c r="J121" s="93">
        <v>0</v>
      </c>
      <c r="K121" s="93">
        <v>0</v>
      </c>
      <c r="L121" s="93">
        <v>0</v>
      </c>
      <c r="M121" s="6">
        <f t="shared" si="1"/>
        <v>50780730</v>
      </c>
      <c r="N121" s="29">
        <v>43244</v>
      </c>
      <c r="O121" s="30">
        <v>43465</v>
      </c>
      <c r="P121" s="12" t="s">
        <v>897</v>
      </c>
      <c r="Q121" s="13" t="s">
        <v>56</v>
      </c>
      <c r="R121" s="26" t="s">
        <v>898</v>
      </c>
      <c r="S121" s="26" t="s">
        <v>899</v>
      </c>
      <c r="T121" s="26" t="s">
        <v>900</v>
      </c>
      <c r="U121" s="26" t="s">
        <v>901</v>
      </c>
      <c r="V121" s="32" t="s">
        <v>902</v>
      </c>
      <c r="W121" s="26" t="s">
        <v>903</v>
      </c>
    </row>
    <row r="122" spans="1:23" ht="84.95" hidden="1" customHeight="1" x14ac:dyDescent="0.2">
      <c r="A122" s="27" t="s">
        <v>904</v>
      </c>
      <c r="B122" s="53" t="s">
        <v>905</v>
      </c>
      <c r="C122" s="41" t="s">
        <v>906</v>
      </c>
      <c r="D122" s="7">
        <v>30000000</v>
      </c>
      <c r="E122" s="28"/>
      <c r="F122" s="28"/>
      <c r="G122" s="7"/>
      <c r="H122" s="7">
        <v>30000000</v>
      </c>
      <c r="I122" s="93">
        <v>0</v>
      </c>
      <c r="J122" s="93">
        <v>0</v>
      </c>
      <c r="K122" s="93">
        <v>0</v>
      </c>
      <c r="L122" s="93">
        <v>0</v>
      </c>
      <c r="M122" s="6">
        <f t="shared" si="1"/>
        <v>30000000</v>
      </c>
      <c r="N122" s="29">
        <v>43248</v>
      </c>
      <c r="O122" s="30">
        <v>43465</v>
      </c>
      <c r="P122" s="12" t="s">
        <v>907</v>
      </c>
      <c r="Q122" s="11" t="s">
        <v>32</v>
      </c>
      <c r="R122" s="26" t="s">
        <v>908</v>
      </c>
      <c r="S122" s="26" t="s">
        <v>909</v>
      </c>
      <c r="T122" s="26" t="s">
        <v>910</v>
      </c>
      <c r="U122" s="26" t="s">
        <v>911</v>
      </c>
      <c r="V122" s="32" t="s">
        <v>912</v>
      </c>
      <c r="W122" s="26" t="s">
        <v>28</v>
      </c>
    </row>
    <row r="123" spans="1:23" ht="84.95" hidden="1" customHeight="1" x14ac:dyDescent="0.2">
      <c r="A123" s="27" t="s">
        <v>913</v>
      </c>
      <c r="B123" s="38" t="s">
        <v>914</v>
      </c>
      <c r="C123" s="16" t="s">
        <v>915</v>
      </c>
      <c r="D123" s="7">
        <v>451830000</v>
      </c>
      <c r="E123" s="28"/>
      <c r="F123" s="28"/>
      <c r="G123" s="7"/>
      <c r="H123" s="7">
        <v>451830000</v>
      </c>
      <c r="I123" s="93">
        <v>0</v>
      </c>
      <c r="J123" s="93">
        <v>0</v>
      </c>
      <c r="K123" s="93">
        <v>0</v>
      </c>
      <c r="L123" s="93">
        <v>0</v>
      </c>
      <c r="M123" s="6">
        <f t="shared" si="1"/>
        <v>451830000</v>
      </c>
      <c r="N123" s="29">
        <v>43251</v>
      </c>
      <c r="O123" s="30">
        <v>43465</v>
      </c>
      <c r="P123" s="12" t="s">
        <v>359</v>
      </c>
      <c r="Q123" s="13" t="s">
        <v>73</v>
      </c>
      <c r="R123" s="26" t="s">
        <v>916</v>
      </c>
      <c r="S123" s="26" t="s">
        <v>917</v>
      </c>
      <c r="T123" s="26" t="s">
        <v>918</v>
      </c>
      <c r="U123" s="26" t="s">
        <v>919</v>
      </c>
      <c r="V123" s="32" t="s">
        <v>920</v>
      </c>
      <c r="W123" s="26" t="s">
        <v>28</v>
      </c>
    </row>
    <row r="124" spans="1:23" ht="84.95" hidden="1" customHeight="1" x14ac:dyDescent="0.2">
      <c r="A124" s="27" t="s">
        <v>921</v>
      </c>
      <c r="B124" s="53" t="s">
        <v>922</v>
      </c>
      <c r="C124" s="41" t="s">
        <v>923</v>
      </c>
      <c r="D124" s="7">
        <v>36700000</v>
      </c>
      <c r="E124" s="28"/>
      <c r="F124" s="28"/>
      <c r="G124" s="7"/>
      <c r="H124" s="7">
        <v>36700000</v>
      </c>
      <c r="I124" s="93">
        <v>0</v>
      </c>
      <c r="J124" s="93">
        <v>0</v>
      </c>
      <c r="K124" s="93">
        <v>0</v>
      </c>
      <c r="L124" s="93">
        <v>0</v>
      </c>
      <c r="M124" s="6">
        <f t="shared" si="1"/>
        <v>36700000</v>
      </c>
      <c r="N124" s="29">
        <v>43250</v>
      </c>
      <c r="O124" s="30">
        <v>43465</v>
      </c>
      <c r="P124" s="12" t="s">
        <v>695</v>
      </c>
      <c r="Q124" s="11" t="s">
        <v>32</v>
      </c>
      <c r="R124" s="26" t="s">
        <v>924</v>
      </c>
      <c r="S124" s="26" t="s">
        <v>925</v>
      </c>
      <c r="T124" s="26" t="s">
        <v>926</v>
      </c>
      <c r="U124" s="26" t="s">
        <v>927</v>
      </c>
      <c r="V124" s="32" t="s">
        <v>928</v>
      </c>
      <c r="W124" s="26" t="s">
        <v>28</v>
      </c>
    </row>
    <row r="125" spans="1:23" ht="84.95" hidden="1" customHeight="1" x14ac:dyDescent="0.2">
      <c r="A125" s="27" t="s">
        <v>929</v>
      </c>
      <c r="B125" s="53" t="s">
        <v>930</v>
      </c>
      <c r="C125" s="41" t="s">
        <v>3332</v>
      </c>
      <c r="D125" s="7">
        <v>50780000</v>
      </c>
      <c r="E125" s="28"/>
      <c r="F125" s="28"/>
      <c r="G125" s="7"/>
      <c r="H125" s="7">
        <v>50780000</v>
      </c>
      <c r="I125" s="93">
        <v>0</v>
      </c>
      <c r="J125" s="93">
        <v>0</v>
      </c>
      <c r="K125" s="93">
        <v>0</v>
      </c>
      <c r="L125" s="93">
        <v>0</v>
      </c>
      <c r="M125" s="6">
        <f t="shared" si="1"/>
        <v>50780000</v>
      </c>
      <c r="N125" s="29">
        <v>43251</v>
      </c>
      <c r="O125" s="30">
        <v>43646</v>
      </c>
      <c r="P125" s="12" t="s">
        <v>931</v>
      </c>
      <c r="Q125" s="13" t="s">
        <v>56</v>
      </c>
      <c r="R125" s="26" t="s">
        <v>932</v>
      </c>
      <c r="S125" s="26" t="s">
        <v>933</v>
      </c>
      <c r="T125" s="26" t="s">
        <v>934</v>
      </c>
      <c r="U125" s="26" t="s">
        <v>935</v>
      </c>
      <c r="V125" s="32" t="s">
        <v>936</v>
      </c>
      <c r="W125" s="26" t="s">
        <v>28</v>
      </c>
    </row>
    <row r="126" spans="1:23" ht="84.95" hidden="1" customHeight="1" x14ac:dyDescent="0.2">
      <c r="A126" s="27" t="s">
        <v>937</v>
      </c>
      <c r="B126" s="38" t="s">
        <v>938</v>
      </c>
      <c r="C126" s="16">
        <v>8</v>
      </c>
      <c r="D126" s="7">
        <v>1500000000</v>
      </c>
      <c r="E126" s="28">
        <v>200000000</v>
      </c>
      <c r="F126" s="28"/>
      <c r="G126" s="7"/>
      <c r="H126" s="7">
        <v>1500000000</v>
      </c>
      <c r="I126" s="93">
        <v>0</v>
      </c>
      <c r="J126" s="93">
        <v>0</v>
      </c>
      <c r="K126" s="93">
        <v>0</v>
      </c>
      <c r="L126" s="93">
        <v>0</v>
      </c>
      <c r="M126" s="6">
        <f t="shared" si="1"/>
        <v>1500000000</v>
      </c>
      <c r="N126" s="29">
        <v>43251</v>
      </c>
      <c r="O126" s="30">
        <v>43624</v>
      </c>
      <c r="P126" s="12" t="s">
        <v>3286</v>
      </c>
      <c r="Q126" s="13" t="s">
        <v>56</v>
      </c>
      <c r="R126" s="26" t="s">
        <v>939</v>
      </c>
      <c r="S126" s="26" t="s">
        <v>940</v>
      </c>
      <c r="T126" s="14" t="s">
        <v>941</v>
      </c>
      <c r="U126" s="26" t="s">
        <v>942</v>
      </c>
      <c r="V126" s="32" t="s">
        <v>943</v>
      </c>
      <c r="W126" s="26" t="s">
        <v>28</v>
      </c>
    </row>
    <row r="127" spans="1:23" ht="84.95" hidden="1" customHeight="1" x14ac:dyDescent="0.2">
      <c r="A127" s="27" t="s">
        <v>944</v>
      </c>
      <c r="B127" s="38" t="s">
        <v>945</v>
      </c>
      <c r="C127" s="16" t="s">
        <v>3333</v>
      </c>
      <c r="D127" s="7">
        <v>46430230</v>
      </c>
      <c r="E127" s="28"/>
      <c r="F127" s="28"/>
      <c r="G127" s="7"/>
      <c r="H127" s="7">
        <v>46430230</v>
      </c>
      <c r="I127" s="93">
        <v>0</v>
      </c>
      <c r="J127" s="93">
        <v>0</v>
      </c>
      <c r="K127" s="93">
        <v>0</v>
      </c>
      <c r="L127" s="93">
        <v>0</v>
      </c>
      <c r="M127" s="6">
        <f t="shared" si="1"/>
        <v>46430230</v>
      </c>
      <c r="N127" s="29">
        <v>43251</v>
      </c>
      <c r="O127" s="30">
        <v>43373</v>
      </c>
      <c r="P127" s="12" t="s">
        <v>171</v>
      </c>
      <c r="Q127" s="11" t="s">
        <v>32</v>
      </c>
      <c r="R127" s="26" t="s">
        <v>946</v>
      </c>
      <c r="S127" s="26" t="s">
        <v>822</v>
      </c>
      <c r="T127" s="26" t="s">
        <v>823</v>
      </c>
      <c r="U127" s="26" t="s">
        <v>824</v>
      </c>
      <c r="V127" s="32" t="s">
        <v>825</v>
      </c>
      <c r="W127" s="26" t="s">
        <v>28</v>
      </c>
    </row>
    <row r="128" spans="1:23" ht="84.95" hidden="1" customHeight="1" x14ac:dyDescent="0.2">
      <c r="A128" s="27" t="s">
        <v>947</v>
      </c>
      <c r="B128" s="38" t="s">
        <v>948</v>
      </c>
      <c r="C128" s="16" t="s">
        <v>3334</v>
      </c>
      <c r="D128" s="7">
        <v>63796000</v>
      </c>
      <c r="E128" s="28"/>
      <c r="F128" s="28"/>
      <c r="G128" s="7"/>
      <c r="H128" s="7">
        <v>63796000</v>
      </c>
      <c r="I128" s="93">
        <v>0</v>
      </c>
      <c r="J128" s="93">
        <v>0</v>
      </c>
      <c r="K128" s="93">
        <v>0</v>
      </c>
      <c r="L128" s="93">
        <v>0</v>
      </c>
      <c r="M128" s="6">
        <f t="shared" si="1"/>
        <v>63796000</v>
      </c>
      <c r="N128" s="29">
        <v>43263</v>
      </c>
      <c r="O128" s="30">
        <v>43799</v>
      </c>
      <c r="P128" s="12" t="s">
        <v>3307</v>
      </c>
      <c r="Q128" s="13" t="s">
        <v>56</v>
      </c>
      <c r="R128" s="26" t="s">
        <v>949</v>
      </c>
      <c r="S128" s="26" t="s">
        <v>950</v>
      </c>
      <c r="T128" s="26" t="s">
        <v>951</v>
      </c>
      <c r="U128" s="26" t="s">
        <v>952</v>
      </c>
      <c r="V128" s="32" t="s">
        <v>953</v>
      </c>
      <c r="W128" s="26" t="s">
        <v>28</v>
      </c>
    </row>
    <row r="129" spans="1:23" ht="84.95" hidden="1" customHeight="1" x14ac:dyDescent="0.2">
      <c r="A129" s="54" t="s">
        <v>954</v>
      </c>
      <c r="B129" s="55" t="s">
        <v>955</v>
      </c>
      <c r="C129" s="55" t="s">
        <v>955</v>
      </c>
      <c r="D129" s="55" t="s">
        <v>955</v>
      </c>
      <c r="E129" s="55" t="s">
        <v>955</v>
      </c>
      <c r="F129" s="55"/>
      <c r="G129" s="55" t="s">
        <v>955</v>
      </c>
      <c r="H129" s="55" t="s">
        <v>955</v>
      </c>
      <c r="I129" s="55" t="s">
        <v>955</v>
      </c>
      <c r="J129" s="55" t="s">
        <v>955</v>
      </c>
      <c r="K129" s="55" t="s">
        <v>955</v>
      </c>
      <c r="L129" s="55" t="s">
        <v>955</v>
      </c>
      <c r="M129" s="6">
        <f t="shared" si="1"/>
        <v>0</v>
      </c>
      <c r="N129" s="91" t="s">
        <v>955</v>
      </c>
      <c r="O129" s="79" t="s">
        <v>955</v>
      </c>
      <c r="P129" s="57" t="s">
        <v>955</v>
      </c>
      <c r="Q129" s="57" t="s">
        <v>955</v>
      </c>
      <c r="R129" s="57" t="s">
        <v>955</v>
      </c>
      <c r="S129" s="57" t="s">
        <v>955</v>
      </c>
      <c r="T129" s="57" t="s">
        <v>955</v>
      </c>
      <c r="U129" s="57" t="s">
        <v>955</v>
      </c>
      <c r="V129" s="57" t="s">
        <v>955</v>
      </c>
      <c r="W129" s="57" t="s">
        <v>955</v>
      </c>
    </row>
    <row r="130" spans="1:23" ht="84.95" hidden="1" customHeight="1" x14ac:dyDescent="0.2">
      <c r="A130" s="27" t="s">
        <v>956</v>
      </c>
      <c r="B130" s="37" t="s">
        <v>957</v>
      </c>
      <c r="C130" s="34" t="s">
        <v>3335</v>
      </c>
      <c r="D130" s="7">
        <v>48533640</v>
      </c>
      <c r="E130" s="28">
        <v>24266820</v>
      </c>
      <c r="F130" s="28"/>
      <c r="G130" s="7"/>
      <c r="H130" s="7">
        <v>48533640</v>
      </c>
      <c r="I130" s="93">
        <v>0</v>
      </c>
      <c r="J130" s="93">
        <v>0</v>
      </c>
      <c r="K130" s="93">
        <v>0</v>
      </c>
      <c r="L130" s="93">
        <v>0</v>
      </c>
      <c r="M130" s="6">
        <f t="shared" si="1"/>
        <v>48533640</v>
      </c>
      <c r="N130" s="29">
        <v>43264</v>
      </c>
      <c r="O130" s="30">
        <v>43799</v>
      </c>
      <c r="P130" s="12" t="s">
        <v>3307</v>
      </c>
      <c r="Q130" s="13" t="s">
        <v>56</v>
      </c>
      <c r="R130" s="26" t="s">
        <v>958</v>
      </c>
      <c r="S130" s="26" t="s">
        <v>959</v>
      </c>
      <c r="T130" s="26" t="s">
        <v>960</v>
      </c>
      <c r="U130" s="26" t="s">
        <v>961</v>
      </c>
      <c r="V130" s="32" t="s">
        <v>962</v>
      </c>
      <c r="W130" s="26" t="s">
        <v>28</v>
      </c>
    </row>
    <row r="131" spans="1:23" ht="84.95" customHeight="1" x14ac:dyDescent="0.2">
      <c r="A131" s="27" t="s">
        <v>963</v>
      </c>
      <c r="B131" s="48" t="s">
        <v>964</v>
      </c>
      <c r="C131" s="34" t="s">
        <v>965</v>
      </c>
      <c r="D131" s="7" t="s">
        <v>40</v>
      </c>
      <c r="E131" s="28"/>
      <c r="F131" s="28"/>
      <c r="G131" s="7"/>
      <c r="H131" s="7" t="s">
        <v>40</v>
      </c>
      <c r="I131" s="93">
        <v>0</v>
      </c>
      <c r="J131" s="93">
        <v>0</v>
      </c>
      <c r="K131" s="93">
        <v>0</v>
      </c>
      <c r="L131" s="93">
        <v>0</v>
      </c>
      <c r="M131" s="6">
        <f t="shared" si="1"/>
        <v>0</v>
      </c>
      <c r="N131" s="29">
        <v>43258</v>
      </c>
      <c r="O131" s="30">
        <v>44402</v>
      </c>
      <c r="P131" s="12" t="s">
        <v>966</v>
      </c>
      <c r="Q131" s="13" t="s">
        <v>73</v>
      </c>
      <c r="R131" s="26" t="s">
        <v>967</v>
      </c>
      <c r="S131" s="26" t="s">
        <v>968</v>
      </c>
      <c r="T131" s="26" t="s">
        <v>969</v>
      </c>
      <c r="U131" s="26" t="s">
        <v>970</v>
      </c>
      <c r="V131" s="32" t="s">
        <v>971</v>
      </c>
      <c r="W131" s="26" t="s">
        <v>28</v>
      </c>
    </row>
    <row r="132" spans="1:23" ht="84.95" hidden="1" customHeight="1" x14ac:dyDescent="0.2">
      <c r="A132" s="27" t="s">
        <v>972</v>
      </c>
      <c r="B132" s="37" t="s">
        <v>973</v>
      </c>
      <c r="C132" s="34" t="s">
        <v>974</v>
      </c>
      <c r="D132" s="7">
        <v>223472480</v>
      </c>
      <c r="E132" s="28"/>
      <c r="F132" s="28"/>
      <c r="G132" s="7"/>
      <c r="H132" s="7">
        <v>223472480</v>
      </c>
      <c r="I132" s="93">
        <v>0</v>
      </c>
      <c r="J132" s="93">
        <v>0</v>
      </c>
      <c r="K132" s="93">
        <v>0</v>
      </c>
      <c r="L132" s="93">
        <v>0</v>
      </c>
      <c r="M132" s="6">
        <f t="shared" ref="M132:M195" si="3">SUM(H132:L132)</f>
        <v>223472480</v>
      </c>
      <c r="N132" s="29">
        <v>43259</v>
      </c>
      <c r="O132" s="30">
        <v>43465</v>
      </c>
      <c r="P132" s="12" t="s">
        <v>426</v>
      </c>
      <c r="Q132" s="13" t="s">
        <v>73</v>
      </c>
      <c r="R132" s="26" t="s">
        <v>975</v>
      </c>
      <c r="S132" s="26" t="s">
        <v>976</v>
      </c>
      <c r="T132" s="26" t="s">
        <v>977</v>
      </c>
      <c r="U132" s="26" t="s">
        <v>978</v>
      </c>
      <c r="V132" s="32" t="s">
        <v>979</v>
      </c>
      <c r="W132" s="26" t="s">
        <v>28</v>
      </c>
    </row>
    <row r="133" spans="1:23" ht="84.95" hidden="1" customHeight="1" x14ac:dyDescent="0.2">
      <c r="A133" s="27" t="s">
        <v>980</v>
      </c>
      <c r="B133" s="48" t="s">
        <v>981</v>
      </c>
      <c r="C133" s="16" t="s">
        <v>982</v>
      </c>
      <c r="D133" s="7">
        <v>290000000</v>
      </c>
      <c r="E133" s="80" t="s">
        <v>3360</v>
      </c>
      <c r="F133" s="80"/>
      <c r="G133" s="7"/>
      <c r="H133" s="7">
        <v>290000000</v>
      </c>
      <c r="I133" s="7">
        <v>94035228</v>
      </c>
      <c r="J133" s="93">
        <v>0</v>
      </c>
      <c r="K133" s="93">
        <v>0</v>
      </c>
      <c r="L133" s="93">
        <v>0</v>
      </c>
      <c r="M133" s="6">
        <f t="shared" si="3"/>
        <v>384035228</v>
      </c>
      <c r="N133" s="29">
        <v>43263</v>
      </c>
      <c r="O133" s="30">
        <v>43830</v>
      </c>
      <c r="P133" s="12" t="s">
        <v>3290</v>
      </c>
      <c r="Q133" s="13" t="s">
        <v>73</v>
      </c>
      <c r="R133" s="26" t="s">
        <v>984</v>
      </c>
      <c r="S133" s="26" t="s">
        <v>985</v>
      </c>
      <c r="T133" s="26" t="s">
        <v>986</v>
      </c>
      <c r="U133" s="26" t="s">
        <v>987</v>
      </c>
      <c r="V133" s="32" t="s">
        <v>988</v>
      </c>
      <c r="W133" s="26" t="s">
        <v>28</v>
      </c>
    </row>
    <row r="134" spans="1:23" ht="84.95" hidden="1" customHeight="1" x14ac:dyDescent="0.2">
      <c r="A134" s="27" t="s">
        <v>989</v>
      </c>
      <c r="B134" s="58" t="s">
        <v>990</v>
      </c>
      <c r="C134" s="59" t="s">
        <v>991</v>
      </c>
      <c r="D134" s="7">
        <v>19600000</v>
      </c>
      <c r="E134" s="28"/>
      <c r="F134" s="28"/>
      <c r="G134" s="7"/>
      <c r="H134" s="7">
        <v>19600000</v>
      </c>
      <c r="I134" s="93">
        <v>0</v>
      </c>
      <c r="J134" s="93">
        <v>0</v>
      </c>
      <c r="K134" s="93">
        <v>0</v>
      </c>
      <c r="L134" s="93">
        <v>0</v>
      </c>
      <c r="M134" s="6">
        <f t="shared" si="3"/>
        <v>19600000</v>
      </c>
      <c r="N134" s="29">
        <v>43258</v>
      </c>
      <c r="O134" s="30">
        <v>43465</v>
      </c>
      <c r="P134" s="12" t="s">
        <v>892</v>
      </c>
      <c r="Q134" s="13" t="s">
        <v>73</v>
      </c>
      <c r="R134" s="26" t="s">
        <v>992</v>
      </c>
      <c r="S134" s="26" t="s">
        <v>368</v>
      </c>
      <c r="T134" s="26" t="s">
        <v>369</v>
      </c>
      <c r="U134" s="26" t="s">
        <v>370</v>
      </c>
      <c r="V134" s="32" t="s">
        <v>371</v>
      </c>
      <c r="W134" s="26" t="s">
        <v>28</v>
      </c>
    </row>
    <row r="135" spans="1:23" ht="84.95" hidden="1" customHeight="1" x14ac:dyDescent="0.2">
      <c r="A135" s="27" t="s">
        <v>993</v>
      </c>
      <c r="B135" s="38" t="s">
        <v>3336</v>
      </c>
      <c r="C135" s="16" t="s">
        <v>3337</v>
      </c>
      <c r="D135" s="7">
        <v>115000000</v>
      </c>
      <c r="E135" s="28">
        <v>57500000</v>
      </c>
      <c r="F135" s="28"/>
      <c r="G135" s="7"/>
      <c r="H135" s="7">
        <v>115000000</v>
      </c>
      <c r="I135" s="93">
        <v>0</v>
      </c>
      <c r="J135" s="93">
        <v>0</v>
      </c>
      <c r="K135" s="93">
        <v>0</v>
      </c>
      <c r="L135" s="93">
        <v>0</v>
      </c>
      <c r="M135" s="6">
        <f t="shared" si="3"/>
        <v>115000000</v>
      </c>
      <c r="N135" s="29">
        <v>43263</v>
      </c>
      <c r="O135" s="30">
        <v>43555</v>
      </c>
      <c r="P135" s="12" t="s">
        <v>637</v>
      </c>
      <c r="Q135" s="13" t="s">
        <v>56</v>
      </c>
      <c r="R135" s="26" t="s">
        <v>994</v>
      </c>
      <c r="S135" s="26" t="s">
        <v>995</v>
      </c>
      <c r="T135" s="26" t="s">
        <v>996</v>
      </c>
      <c r="U135" s="26" t="s">
        <v>997</v>
      </c>
      <c r="V135" s="32" t="s">
        <v>998</v>
      </c>
      <c r="W135" s="26" t="s">
        <v>28</v>
      </c>
    </row>
    <row r="136" spans="1:23" ht="84.95" hidden="1" customHeight="1" x14ac:dyDescent="0.2">
      <c r="A136" s="27" t="s">
        <v>999</v>
      </c>
      <c r="B136" s="53" t="s">
        <v>3338</v>
      </c>
      <c r="C136" s="41" t="s">
        <v>1000</v>
      </c>
      <c r="D136" s="7">
        <v>19000000</v>
      </c>
      <c r="E136" s="28"/>
      <c r="F136" s="28"/>
      <c r="G136" s="7"/>
      <c r="H136" s="7">
        <v>19000000</v>
      </c>
      <c r="I136" s="93">
        <v>0</v>
      </c>
      <c r="J136" s="93">
        <v>0</v>
      </c>
      <c r="K136" s="93">
        <v>0</v>
      </c>
      <c r="L136" s="93">
        <v>0</v>
      </c>
      <c r="M136" s="6">
        <f t="shared" si="3"/>
        <v>19000000</v>
      </c>
      <c r="N136" s="29">
        <v>43259</v>
      </c>
      <c r="O136" s="30">
        <v>43465</v>
      </c>
      <c r="P136" s="12" t="s">
        <v>31</v>
      </c>
      <c r="Q136" s="11" t="s">
        <v>32</v>
      </c>
      <c r="R136" s="26" t="s">
        <v>1001</v>
      </c>
      <c r="S136" s="26" t="s">
        <v>1002</v>
      </c>
      <c r="T136" s="26" t="s">
        <v>1003</v>
      </c>
      <c r="U136" s="26" t="s">
        <v>1004</v>
      </c>
      <c r="V136" s="32" t="s">
        <v>1005</v>
      </c>
      <c r="W136" s="26" t="s">
        <v>28</v>
      </c>
    </row>
    <row r="137" spans="1:23" ht="84.95" hidden="1" customHeight="1" x14ac:dyDescent="0.2">
      <c r="A137" s="27" t="s">
        <v>1006</v>
      </c>
      <c r="B137" s="53" t="s">
        <v>3339</v>
      </c>
      <c r="C137" s="41" t="s">
        <v>3340</v>
      </c>
      <c r="D137" s="7">
        <v>3000000</v>
      </c>
      <c r="E137" s="28"/>
      <c r="F137" s="28"/>
      <c r="G137" s="7"/>
      <c r="H137" s="7">
        <v>3000000</v>
      </c>
      <c r="I137" s="93">
        <v>0</v>
      </c>
      <c r="J137" s="93">
        <v>0</v>
      </c>
      <c r="K137" s="93">
        <v>0</v>
      </c>
      <c r="L137" s="93">
        <v>0</v>
      </c>
      <c r="M137" s="6">
        <f t="shared" si="3"/>
        <v>3000000</v>
      </c>
      <c r="N137" s="29">
        <v>43263</v>
      </c>
      <c r="O137" s="30">
        <v>43465</v>
      </c>
      <c r="P137" s="12" t="s">
        <v>617</v>
      </c>
      <c r="Q137" s="13" t="s">
        <v>73</v>
      </c>
      <c r="R137" s="26" t="s">
        <v>533</v>
      </c>
      <c r="S137" s="26" t="s">
        <v>534</v>
      </c>
      <c r="T137" s="26" t="s">
        <v>535</v>
      </c>
      <c r="U137" s="26" t="s">
        <v>536</v>
      </c>
      <c r="V137" s="32" t="s">
        <v>537</v>
      </c>
      <c r="W137" s="26" t="s">
        <v>28</v>
      </c>
    </row>
    <row r="138" spans="1:23" ht="84.95" hidden="1" customHeight="1" x14ac:dyDescent="0.2">
      <c r="A138" s="27" t="s">
        <v>1007</v>
      </c>
      <c r="B138" s="47" t="s">
        <v>1008</v>
      </c>
      <c r="C138" s="46" t="s">
        <v>1009</v>
      </c>
      <c r="D138" s="7">
        <v>9900800</v>
      </c>
      <c r="E138" s="28"/>
      <c r="F138" s="28"/>
      <c r="G138" s="7"/>
      <c r="H138" s="7">
        <v>9900800</v>
      </c>
      <c r="I138" s="93">
        <v>0</v>
      </c>
      <c r="J138" s="93">
        <v>0</v>
      </c>
      <c r="K138" s="93">
        <v>0</v>
      </c>
      <c r="L138" s="93">
        <v>0</v>
      </c>
      <c r="M138" s="6">
        <f t="shared" si="3"/>
        <v>9900800</v>
      </c>
      <c r="N138" s="29">
        <v>43265</v>
      </c>
      <c r="O138" s="30">
        <v>43646</v>
      </c>
      <c r="P138" s="12" t="s">
        <v>3300</v>
      </c>
      <c r="Q138" s="13" t="s">
        <v>73</v>
      </c>
      <c r="R138" s="26" t="s">
        <v>1010</v>
      </c>
      <c r="S138" s="26" t="s">
        <v>1011</v>
      </c>
      <c r="T138" s="26" t="s">
        <v>1012</v>
      </c>
      <c r="U138" s="26" t="s">
        <v>1013</v>
      </c>
      <c r="V138" s="32" t="s">
        <v>1014</v>
      </c>
      <c r="W138" s="26" t="s">
        <v>28</v>
      </c>
    </row>
    <row r="139" spans="1:23" ht="84.95" hidden="1" customHeight="1" x14ac:dyDescent="0.2">
      <c r="A139" s="27" t="s">
        <v>1015</v>
      </c>
      <c r="B139" s="53" t="s">
        <v>3241</v>
      </c>
      <c r="C139" s="41" t="s">
        <v>3341</v>
      </c>
      <c r="D139" s="7">
        <v>5176500</v>
      </c>
      <c r="E139" s="28"/>
      <c r="F139" s="28"/>
      <c r="G139" s="7"/>
      <c r="H139" s="7">
        <v>5176500</v>
      </c>
      <c r="I139" s="93">
        <v>0</v>
      </c>
      <c r="J139" s="93">
        <v>0</v>
      </c>
      <c r="K139" s="93">
        <v>0</v>
      </c>
      <c r="L139" s="93">
        <v>0</v>
      </c>
      <c r="M139" s="6">
        <f t="shared" si="3"/>
        <v>5176500</v>
      </c>
      <c r="N139" s="29">
        <v>43265</v>
      </c>
      <c r="O139" s="30">
        <v>43465</v>
      </c>
      <c r="P139" s="12" t="s">
        <v>617</v>
      </c>
      <c r="Q139" s="13" t="s">
        <v>73</v>
      </c>
      <c r="R139" s="26" t="s">
        <v>1016</v>
      </c>
      <c r="S139" s="26" t="s">
        <v>1017</v>
      </c>
      <c r="T139" s="26" t="s">
        <v>1018</v>
      </c>
      <c r="U139" s="26" t="s">
        <v>1019</v>
      </c>
      <c r="V139" s="32" t="s">
        <v>1020</v>
      </c>
      <c r="W139" s="26" t="s">
        <v>28</v>
      </c>
    </row>
    <row r="140" spans="1:23" ht="84.95" hidden="1" customHeight="1" x14ac:dyDescent="0.2">
      <c r="A140" s="27" t="s">
        <v>1021</v>
      </c>
      <c r="B140" s="43" t="s">
        <v>1022</v>
      </c>
      <c r="C140" s="16" t="s">
        <v>1023</v>
      </c>
      <c r="D140" s="7">
        <v>1238000000</v>
      </c>
      <c r="E140" s="28">
        <v>369358332</v>
      </c>
      <c r="F140" s="28"/>
      <c r="G140" s="7"/>
      <c r="H140" s="7">
        <v>1238000000</v>
      </c>
      <c r="I140" s="93">
        <v>0</v>
      </c>
      <c r="J140" s="93">
        <v>0</v>
      </c>
      <c r="K140" s="93">
        <v>0</v>
      </c>
      <c r="L140" s="93">
        <v>0</v>
      </c>
      <c r="M140" s="6">
        <f t="shared" si="3"/>
        <v>1238000000</v>
      </c>
      <c r="N140" s="29">
        <v>43269</v>
      </c>
      <c r="O140" s="30">
        <v>43677</v>
      </c>
      <c r="P140" s="12" t="s">
        <v>892</v>
      </c>
      <c r="Q140" s="13" t="s">
        <v>73</v>
      </c>
      <c r="R140" s="26" t="s">
        <v>1024</v>
      </c>
      <c r="S140" s="26" t="s">
        <v>1025</v>
      </c>
      <c r="T140" s="26" t="s">
        <v>1026</v>
      </c>
      <c r="U140" s="26" t="s">
        <v>1027</v>
      </c>
      <c r="V140" s="32" t="s">
        <v>1028</v>
      </c>
      <c r="W140" s="26" t="s">
        <v>28</v>
      </c>
    </row>
    <row r="141" spans="1:23" ht="84.95" hidden="1" customHeight="1" x14ac:dyDescent="0.2">
      <c r="A141" s="27" t="s">
        <v>1029</v>
      </c>
      <c r="B141" s="43" t="s">
        <v>1030</v>
      </c>
      <c r="C141" s="16" t="s">
        <v>1023</v>
      </c>
      <c r="D141" s="7">
        <v>40000000</v>
      </c>
      <c r="E141" s="28"/>
      <c r="F141" s="28"/>
      <c r="G141" s="7"/>
      <c r="H141" s="7">
        <v>40000000</v>
      </c>
      <c r="I141" s="93">
        <v>0</v>
      </c>
      <c r="J141" s="93">
        <v>0</v>
      </c>
      <c r="K141" s="93">
        <v>0</v>
      </c>
      <c r="L141" s="93">
        <v>0</v>
      </c>
      <c r="M141" s="6">
        <f t="shared" si="3"/>
        <v>40000000</v>
      </c>
      <c r="N141" s="29">
        <v>43269</v>
      </c>
      <c r="O141" s="30">
        <v>43555</v>
      </c>
      <c r="P141" s="12" t="s">
        <v>505</v>
      </c>
      <c r="Q141" s="13" t="s">
        <v>73</v>
      </c>
      <c r="R141" s="26" t="s">
        <v>1031</v>
      </c>
      <c r="S141" s="26" t="s">
        <v>1032</v>
      </c>
      <c r="T141" s="26" t="s">
        <v>1033</v>
      </c>
      <c r="U141" s="26" t="s">
        <v>1034</v>
      </c>
      <c r="V141" s="32" t="s">
        <v>1035</v>
      </c>
      <c r="W141" s="26" t="s">
        <v>28</v>
      </c>
    </row>
    <row r="142" spans="1:23" ht="84.95" hidden="1" customHeight="1" x14ac:dyDescent="0.2">
      <c r="A142" s="27" t="s">
        <v>1036</v>
      </c>
      <c r="B142" s="42" t="s">
        <v>1037</v>
      </c>
      <c r="C142" s="41" t="s">
        <v>1038</v>
      </c>
      <c r="D142" s="7">
        <v>22610000</v>
      </c>
      <c r="E142" s="28"/>
      <c r="F142" s="28"/>
      <c r="G142" s="7"/>
      <c r="H142" s="7">
        <v>22610000</v>
      </c>
      <c r="I142" s="93">
        <v>0</v>
      </c>
      <c r="J142" s="93">
        <v>0</v>
      </c>
      <c r="K142" s="93">
        <v>0</v>
      </c>
      <c r="L142" s="93">
        <v>0</v>
      </c>
      <c r="M142" s="6">
        <f t="shared" si="3"/>
        <v>22610000</v>
      </c>
      <c r="N142" s="29">
        <v>43269</v>
      </c>
      <c r="O142" s="30">
        <v>43343</v>
      </c>
      <c r="P142" s="12" t="s">
        <v>897</v>
      </c>
      <c r="Q142" s="13" t="s">
        <v>56</v>
      </c>
      <c r="R142" s="26" t="s">
        <v>1039</v>
      </c>
      <c r="S142" s="26" t="s">
        <v>1040</v>
      </c>
      <c r="T142" s="26" t="s">
        <v>1041</v>
      </c>
      <c r="U142" s="26" t="s">
        <v>1042</v>
      </c>
      <c r="V142" s="32" t="s">
        <v>1043</v>
      </c>
      <c r="W142" s="26" t="s">
        <v>1044</v>
      </c>
    </row>
    <row r="143" spans="1:23" ht="84.95" hidden="1" customHeight="1" x14ac:dyDescent="0.2">
      <c r="A143" s="27" t="s">
        <v>1045</v>
      </c>
      <c r="B143" s="38" t="s">
        <v>1046</v>
      </c>
      <c r="C143" s="16" t="s">
        <v>1047</v>
      </c>
      <c r="D143" s="7">
        <v>47400000</v>
      </c>
      <c r="E143" s="28">
        <v>15273333</v>
      </c>
      <c r="F143" s="28"/>
      <c r="G143" s="7"/>
      <c r="H143" s="7">
        <v>62673333</v>
      </c>
      <c r="I143" s="93">
        <v>0</v>
      </c>
      <c r="J143" s="93">
        <v>0</v>
      </c>
      <c r="K143" s="93">
        <v>0</v>
      </c>
      <c r="L143" s="93">
        <v>0</v>
      </c>
      <c r="M143" s="6">
        <f t="shared" si="3"/>
        <v>62673333</v>
      </c>
      <c r="N143" s="29">
        <v>43273</v>
      </c>
      <c r="O143" s="30">
        <v>43465</v>
      </c>
      <c r="P143" s="12" t="s">
        <v>505</v>
      </c>
      <c r="Q143" s="13" t="s">
        <v>73</v>
      </c>
      <c r="R143" s="26" t="s">
        <v>1048</v>
      </c>
      <c r="S143" s="26" t="s">
        <v>1049</v>
      </c>
      <c r="T143" s="26" t="s">
        <v>1050</v>
      </c>
      <c r="U143" s="26" t="s">
        <v>1051</v>
      </c>
      <c r="V143" s="32" t="s">
        <v>1052</v>
      </c>
      <c r="W143" s="26" t="s">
        <v>28</v>
      </c>
    </row>
    <row r="144" spans="1:23" ht="108" hidden="1" customHeight="1" x14ac:dyDescent="0.2">
      <c r="A144" s="27" t="s">
        <v>1053</v>
      </c>
      <c r="B144" s="47" t="s">
        <v>1054</v>
      </c>
      <c r="C144" s="46" t="s">
        <v>1055</v>
      </c>
      <c r="D144" s="7">
        <v>25000000</v>
      </c>
      <c r="E144" s="28"/>
      <c r="F144" s="28"/>
      <c r="G144" s="7"/>
      <c r="H144" s="7">
        <v>25000000</v>
      </c>
      <c r="I144" s="93">
        <v>0</v>
      </c>
      <c r="J144" s="93">
        <v>0</v>
      </c>
      <c r="K144" s="93">
        <v>0</v>
      </c>
      <c r="L144" s="93">
        <v>0</v>
      </c>
      <c r="M144" s="6">
        <f t="shared" si="3"/>
        <v>25000000</v>
      </c>
      <c r="N144" s="29">
        <v>43272</v>
      </c>
      <c r="O144" s="30">
        <v>43465</v>
      </c>
      <c r="P144" s="12" t="s">
        <v>203</v>
      </c>
      <c r="Q144" s="13" t="s">
        <v>56</v>
      </c>
      <c r="R144" s="26" t="s">
        <v>403</v>
      </c>
      <c r="S144" s="26" t="s">
        <v>404</v>
      </c>
      <c r="T144" s="26" t="s">
        <v>405</v>
      </c>
      <c r="U144" s="26" t="s">
        <v>406</v>
      </c>
      <c r="V144" s="32" t="s">
        <v>407</v>
      </c>
      <c r="W144" s="26" t="s">
        <v>28</v>
      </c>
    </row>
    <row r="145" spans="1:23" ht="102" hidden="1" customHeight="1" x14ac:dyDescent="0.2">
      <c r="A145" s="27" t="s">
        <v>1057</v>
      </c>
      <c r="B145" s="47" t="s">
        <v>1058</v>
      </c>
      <c r="C145" s="46" t="s">
        <v>1059</v>
      </c>
      <c r="D145" s="7">
        <v>15000000</v>
      </c>
      <c r="E145" s="28">
        <v>7500000</v>
      </c>
      <c r="F145" s="28"/>
      <c r="G145" s="7"/>
      <c r="H145" s="7">
        <v>15000000</v>
      </c>
      <c r="I145" s="93">
        <v>0</v>
      </c>
      <c r="J145" s="93">
        <v>0</v>
      </c>
      <c r="K145" s="93">
        <v>0</v>
      </c>
      <c r="L145" s="93">
        <v>0</v>
      </c>
      <c r="M145" s="6">
        <f t="shared" si="3"/>
        <v>15000000</v>
      </c>
      <c r="N145" s="29">
        <v>43272</v>
      </c>
      <c r="O145" s="30">
        <v>43465</v>
      </c>
      <c r="P145" s="12" t="s">
        <v>1056</v>
      </c>
      <c r="Q145" s="13" t="s">
        <v>56</v>
      </c>
      <c r="R145" s="26" t="s">
        <v>1060</v>
      </c>
      <c r="S145" s="26" t="s">
        <v>577</v>
      </c>
      <c r="T145" s="26" t="s">
        <v>1061</v>
      </c>
      <c r="U145" s="26" t="s">
        <v>579</v>
      </c>
      <c r="V145" s="32" t="s">
        <v>580</v>
      </c>
      <c r="W145" s="26" t="s">
        <v>28</v>
      </c>
    </row>
    <row r="146" spans="1:23" ht="107.25" hidden="1" customHeight="1" x14ac:dyDescent="0.2">
      <c r="A146" s="27" t="s">
        <v>1062</v>
      </c>
      <c r="B146" s="47" t="s">
        <v>1063</v>
      </c>
      <c r="C146" s="46" t="s">
        <v>1055</v>
      </c>
      <c r="D146" s="7">
        <v>10700000</v>
      </c>
      <c r="E146" s="28">
        <v>5350000</v>
      </c>
      <c r="F146" s="28"/>
      <c r="G146" s="7"/>
      <c r="H146" s="7">
        <v>10700000</v>
      </c>
      <c r="I146" s="93">
        <v>0</v>
      </c>
      <c r="J146" s="93">
        <v>0</v>
      </c>
      <c r="K146" s="93">
        <v>0</v>
      </c>
      <c r="L146" s="93">
        <v>0</v>
      </c>
      <c r="M146" s="6">
        <f t="shared" si="3"/>
        <v>10700000</v>
      </c>
      <c r="N146" s="29">
        <v>43272</v>
      </c>
      <c r="O146" s="30">
        <v>43465</v>
      </c>
      <c r="P146" s="12" t="s">
        <v>1056</v>
      </c>
      <c r="Q146" s="13" t="s">
        <v>56</v>
      </c>
      <c r="R146" s="26" t="s">
        <v>1064</v>
      </c>
      <c r="S146" s="26" t="s">
        <v>1065</v>
      </c>
      <c r="T146" s="26" t="s">
        <v>1066</v>
      </c>
      <c r="U146" s="26" t="s">
        <v>1067</v>
      </c>
      <c r="V146" s="32" t="s">
        <v>1068</v>
      </c>
      <c r="W146" s="26" t="s">
        <v>28</v>
      </c>
    </row>
    <row r="147" spans="1:23" ht="84.95" hidden="1" customHeight="1" x14ac:dyDescent="0.2">
      <c r="A147" s="27" t="s">
        <v>1069</v>
      </c>
      <c r="B147" s="3" t="s">
        <v>1070</v>
      </c>
      <c r="C147" s="46" t="s">
        <v>1071</v>
      </c>
      <c r="D147" s="7">
        <v>649861961</v>
      </c>
      <c r="E147" s="80" t="s">
        <v>3357</v>
      </c>
      <c r="F147" s="80"/>
      <c r="G147" s="7"/>
      <c r="H147" s="7">
        <v>994228584</v>
      </c>
      <c r="I147" s="93">
        <v>0</v>
      </c>
      <c r="J147" s="93">
        <v>0</v>
      </c>
      <c r="K147" s="93">
        <v>0</v>
      </c>
      <c r="L147" s="93">
        <v>0</v>
      </c>
      <c r="M147" s="6">
        <f t="shared" si="3"/>
        <v>994228584</v>
      </c>
      <c r="N147" s="29">
        <v>43277</v>
      </c>
      <c r="O147" s="31">
        <v>43829</v>
      </c>
      <c r="P147" s="12" t="s">
        <v>1072</v>
      </c>
      <c r="Q147" s="11" t="s">
        <v>32</v>
      </c>
      <c r="R147" s="26" t="s">
        <v>1073</v>
      </c>
      <c r="S147" s="26" t="s">
        <v>1074</v>
      </c>
      <c r="T147" s="26" t="s">
        <v>1075</v>
      </c>
      <c r="U147" s="26" t="s">
        <v>1076</v>
      </c>
      <c r="V147" s="32" t="s">
        <v>1077</v>
      </c>
      <c r="W147" s="26" t="s">
        <v>28</v>
      </c>
    </row>
    <row r="148" spans="1:23" ht="84.95" hidden="1" customHeight="1" x14ac:dyDescent="0.2">
      <c r="A148" s="27" t="s">
        <v>1078</v>
      </c>
      <c r="B148" s="3" t="s">
        <v>1079</v>
      </c>
      <c r="C148" s="46" t="s">
        <v>1080</v>
      </c>
      <c r="D148" s="7">
        <v>10649800</v>
      </c>
      <c r="E148" s="28"/>
      <c r="F148" s="28"/>
      <c r="G148" s="7"/>
      <c r="H148" s="7">
        <v>10649800</v>
      </c>
      <c r="I148" s="93">
        <v>0</v>
      </c>
      <c r="J148" s="93">
        <v>0</v>
      </c>
      <c r="K148" s="93">
        <v>0</v>
      </c>
      <c r="L148" s="93">
        <v>0</v>
      </c>
      <c r="M148" s="6">
        <f t="shared" si="3"/>
        <v>10649800</v>
      </c>
      <c r="N148" s="29">
        <v>43276</v>
      </c>
      <c r="O148" s="30">
        <v>43465</v>
      </c>
      <c r="P148" s="12" t="s">
        <v>426</v>
      </c>
      <c r="Q148" s="13" t="s">
        <v>73</v>
      </c>
      <c r="R148" s="26" t="s">
        <v>1081</v>
      </c>
      <c r="S148" s="26" t="s">
        <v>1082</v>
      </c>
      <c r="T148" s="26" t="s">
        <v>1083</v>
      </c>
      <c r="U148" s="26" t="s">
        <v>1084</v>
      </c>
      <c r="V148" s="32" t="s">
        <v>1085</v>
      </c>
      <c r="W148" s="26" t="s">
        <v>28</v>
      </c>
    </row>
    <row r="149" spans="1:23" ht="84.95" hidden="1" customHeight="1" x14ac:dyDescent="0.2">
      <c r="A149" s="27" t="s">
        <v>1086</v>
      </c>
      <c r="B149" s="38" t="s">
        <v>1087</v>
      </c>
      <c r="C149" s="16" t="s">
        <v>1088</v>
      </c>
      <c r="D149" s="7">
        <v>80000000</v>
      </c>
      <c r="E149" s="28"/>
      <c r="F149" s="28"/>
      <c r="G149" s="7"/>
      <c r="H149" s="7">
        <v>80000000</v>
      </c>
      <c r="I149" s="93">
        <v>0</v>
      </c>
      <c r="J149" s="93">
        <v>0</v>
      </c>
      <c r="K149" s="93">
        <v>0</v>
      </c>
      <c r="L149" s="93">
        <v>0</v>
      </c>
      <c r="M149" s="6">
        <f t="shared" si="3"/>
        <v>80000000</v>
      </c>
      <c r="N149" s="29">
        <v>43277</v>
      </c>
      <c r="O149" s="31">
        <v>43799</v>
      </c>
      <c r="P149" s="12" t="s">
        <v>1602</v>
      </c>
      <c r="Q149" s="13" t="s">
        <v>56</v>
      </c>
      <c r="R149" s="26" t="s">
        <v>1089</v>
      </c>
      <c r="S149" s="26" t="s">
        <v>1090</v>
      </c>
      <c r="T149" s="26" t="s">
        <v>1091</v>
      </c>
      <c r="U149" s="26" t="s">
        <v>1092</v>
      </c>
      <c r="V149" s="32" t="s">
        <v>1093</v>
      </c>
      <c r="W149" s="26" t="s">
        <v>28</v>
      </c>
    </row>
    <row r="150" spans="1:23" ht="84.95" hidden="1" customHeight="1" x14ac:dyDescent="0.2">
      <c r="A150" s="27" t="s">
        <v>1094</v>
      </c>
      <c r="B150" s="60" t="s">
        <v>1095</v>
      </c>
      <c r="C150" s="59" t="s">
        <v>1096</v>
      </c>
      <c r="D150" s="7">
        <v>447200738</v>
      </c>
      <c r="E150" s="28"/>
      <c r="F150" s="28"/>
      <c r="G150" s="7"/>
      <c r="H150" s="7">
        <v>491956315</v>
      </c>
      <c r="I150" s="93">
        <v>0</v>
      </c>
      <c r="J150" s="93">
        <v>0</v>
      </c>
      <c r="K150" s="93">
        <v>0</v>
      </c>
      <c r="L150" s="93">
        <v>0</v>
      </c>
      <c r="M150" s="6">
        <f t="shared" si="3"/>
        <v>491956315</v>
      </c>
      <c r="N150" s="29">
        <v>43277</v>
      </c>
      <c r="O150" s="30">
        <v>43373</v>
      </c>
      <c r="P150" s="12" t="s">
        <v>258</v>
      </c>
      <c r="Q150" s="13" t="s">
        <v>73</v>
      </c>
      <c r="R150" s="26" t="s">
        <v>1097</v>
      </c>
      <c r="S150" s="26" t="s">
        <v>1098</v>
      </c>
      <c r="T150" s="26" t="s">
        <v>1099</v>
      </c>
      <c r="U150" s="26" t="s">
        <v>1100</v>
      </c>
      <c r="V150" s="32" t="s">
        <v>1101</v>
      </c>
      <c r="W150" s="26" t="s">
        <v>28</v>
      </c>
    </row>
    <row r="151" spans="1:23" ht="84.95" hidden="1" customHeight="1" x14ac:dyDescent="0.2">
      <c r="A151" s="27" t="s">
        <v>1102</v>
      </c>
      <c r="B151" s="60" t="s">
        <v>1103</v>
      </c>
      <c r="C151" s="59" t="s">
        <v>1104</v>
      </c>
      <c r="D151" s="7">
        <v>48746000</v>
      </c>
      <c r="E151" s="28"/>
      <c r="F151" s="28"/>
      <c r="G151" s="7"/>
      <c r="H151" s="7">
        <v>491956315</v>
      </c>
      <c r="I151" s="93">
        <v>0</v>
      </c>
      <c r="J151" s="93">
        <v>0</v>
      </c>
      <c r="K151" s="93">
        <v>0</v>
      </c>
      <c r="L151" s="93">
        <v>0</v>
      </c>
      <c r="M151" s="6">
        <f t="shared" si="3"/>
        <v>491956315</v>
      </c>
      <c r="N151" s="29">
        <v>43277</v>
      </c>
      <c r="O151" s="30">
        <v>43465</v>
      </c>
      <c r="P151" s="12" t="s">
        <v>31</v>
      </c>
      <c r="Q151" s="11" t="s">
        <v>32</v>
      </c>
      <c r="R151" s="26" t="s">
        <v>1105</v>
      </c>
      <c r="S151" s="26" t="s">
        <v>1106</v>
      </c>
      <c r="T151" s="26" t="s">
        <v>1107</v>
      </c>
      <c r="U151" s="26" t="s">
        <v>1108</v>
      </c>
      <c r="V151" s="32" t="s">
        <v>1109</v>
      </c>
      <c r="W151" s="26" t="s">
        <v>28</v>
      </c>
    </row>
    <row r="152" spans="1:23" ht="84.95" hidden="1" customHeight="1" x14ac:dyDescent="0.2">
      <c r="A152" s="27" t="s">
        <v>1110</v>
      </c>
      <c r="B152" s="60" t="s">
        <v>1111</v>
      </c>
      <c r="C152" s="59" t="s">
        <v>3224</v>
      </c>
      <c r="D152" s="7">
        <v>491956315</v>
      </c>
      <c r="E152" s="28"/>
      <c r="F152" s="28"/>
      <c r="G152" s="7"/>
      <c r="H152" s="7">
        <v>491956315</v>
      </c>
      <c r="I152" s="93">
        <v>0</v>
      </c>
      <c r="J152" s="93">
        <v>0</v>
      </c>
      <c r="K152" s="93">
        <v>0</v>
      </c>
      <c r="L152" s="93">
        <v>0</v>
      </c>
      <c r="M152" s="6">
        <f t="shared" si="3"/>
        <v>491956315</v>
      </c>
      <c r="N152" s="29">
        <v>43280</v>
      </c>
      <c r="O152" s="30">
        <v>43465</v>
      </c>
      <c r="P152" s="12" t="s">
        <v>1112</v>
      </c>
      <c r="Q152" s="11" t="s">
        <v>32</v>
      </c>
      <c r="R152" s="26" t="s">
        <v>1113</v>
      </c>
      <c r="S152" s="26" t="s">
        <v>1114</v>
      </c>
      <c r="T152" s="26" t="s">
        <v>1115</v>
      </c>
      <c r="U152" s="26" t="s">
        <v>1116</v>
      </c>
      <c r="V152" s="32" t="s">
        <v>1117</v>
      </c>
      <c r="W152" s="26" t="s">
        <v>264</v>
      </c>
    </row>
    <row r="153" spans="1:23" ht="84.95" hidden="1" customHeight="1" x14ac:dyDescent="0.2">
      <c r="A153" s="27" t="s">
        <v>1118</v>
      </c>
      <c r="B153" s="60" t="s">
        <v>853</v>
      </c>
      <c r="C153" s="59" t="s">
        <v>1119</v>
      </c>
      <c r="D153" s="7">
        <v>16744217</v>
      </c>
      <c r="E153" s="28"/>
      <c r="F153" s="28"/>
      <c r="G153" s="7"/>
      <c r="H153" s="7">
        <v>52272000</v>
      </c>
      <c r="I153" s="93">
        <v>0</v>
      </c>
      <c r="J153" s="93">
        <v>0</v>
      </c>
      <c r="K153" s="93">
        <v>0</v>
      </c>
      <c r="L153" s="93">
        <v>0</v>
      </c>
      <c r="M153" s="6">
        <f t="shared" si="3"/>
        <v>52272000</v>
      </c>
      <c r="N153" s="29">
        <v>43280</v>
      </c>
      <c r="O153" s="30">
        <v>43342</v>
      </c>
      <c r="P153" s="12" t="s">
        <v>1120</v>
      </c>
      <c r="Q153" s="13" t="s">
        <v>56</v>
      </c>
      <c r="R153" s="26" t="s">
        <v>204</v>
      </c>
      <c r="S153" s="26" t="s">
        <v>205</v>
      </c>
      <c r="T153" s="26" t="s">
        <v>206</v>
      </c>
      <c r="U153" s="26" t="s">
        <v>207</v>
      </c>
      <c r="V153" s="32" t="s">
        <v>208</v>
      </c>
      <c r="W153" s="26" t="s">
        <v>28</v>
      </c>
    </row>
    <row r="154" spans="1:23" ht="84.95" hidden="1" customHeight="1" x14ac:dyDescent="0.2">
      <c r="A154" s="27" t="s">
        <v>1121</v>
      </c>
      <c r="B154" s="60" t="s">
        <v>1122</v>
      </c>
      <c r="C154" s="59" t="s">
        <v>1123</v>
      </c>
      <c r="D154" s="7">
        <v>52272000</v>
      </c>
      <c r="E154" s="28"/>
      <c r="F154" s="28"/>
      <c r="G154" s="7"/>
      <c r="H154" s="7">
        <v>52272000</v>
      </c>
      <c r="I154" s="93">
        <v>0</v>
      </c>
      <c r="J154" s="93">
        <v>0</v>
      </c>
      <c r="K154" s="93">
        <v>0</v>
      </c>
      <c r="L154" s="93">
        <v>0</v>
      </c>
      <c r="M154" s="6">
        <f t="shared" si="3"/>
        <v>52272000</v>
      </c>
      <c r="N154" s="29">
        <v>43280</v>
      </c>
      <c r="O154" s="30">
        <v>43465</v>
      </c>
      <c r="P154" s="12" t="s">
        <v>1124</v>
      </c>
      <c r="Q154" s="13" t="s">
        <v>56</v>
      </c>
      <c r="R154" s="26" t="s">
        <v>1125</v>
      </c>
      <c r="S154" s="26" t="s">
        <v>1126</v>
      </c>
      <c r="T154" s="26" t="s">
        <v>1127</v>
      </c>
      <c r="U154" s="26" t="s">
        <v>1128</v>
      </c>
      <c r="V154" s="32" t="s">
        <v>1129</v>
      </c>
      <c r="W154" s="26" t="s">
        <v>28</v>
      </c>
    </row>
    <row r="155" spans="1:23" ht="84.95" hidden="1" customHeight="1" x14ac:dyDescent="0.2">
      <c r="A155" s="27" t="s">
        <v>1130</v>
      </c>
      <c r="B155" s="60" t="s">
        <v>1131</v>
      </c>
      <c r="C155" s="59" t="s">
        <v>1123</v>
      </c>
      <c r="D155" s="7">
        <v>52038184</v>
      </c>
      <c r="E155" s="28"/>
      <c r="F155" s="28"/>
      <c r="G155" s="7"/>
      <c r="H155" s="7">
        <v>52038184</v>
      </c>
      <c r="I155" s="93">
        <v>0</v>
      </c>
      <c r="J155" s="93">
        <v>0</v>
      </c>
      <c r="K155" s="93">
        <v>0</v>
      </c>
      <c r="L155" s="93">
        <v>0</v>
      </c>
      <c r="M155" s="6">
        <f t="shared" si="3"/>
        <v>52038184</v>
      </c>
      <c r="N155" s="29">
        <v>43280</v>
      </c>
      <c r="O155" s="30">
        <v>43465</v>
      </c>
      <c r="P155" s="12" t="s">
        <v>1124</v>
      </c>
      <c r="Q155" s="13" t="s">
        <v>56</v>
      </c>
      <c r="R155" s="26" t="s">
        <v>1132</v>
      </c>
      <c r="S155" s="26" t="s">
        <v>1133</v>
      </c>
      <c r="T155" s="26" t="s">
        <v>1134</v>
      </c>
      <c r="U155" s="26" t="s">
        <v>1135</v>
      </c>
      <c r="V155" s="32" t="s">
        <v>1136</v>
      </c>
      <c r="W155" s="26" t="s">
        <v>28</v>
      </c>
    </row>
    <row r="156" spans="1:23" ht="84.95" hidden="1" customHeight="1" x14ac:dyDescent="0.2">
      <c r="A156" s="27" t="s">
        <v>1137</v>
      </c>
      <c r="B156" s="60" t="s">
        <v>1138</v>
      </c>
      <c r="C156" s="59" t="s">
        <v>1123</v>
      </c>
      <c r="D156" s="7">
        <v>52272000</v>
      </c>
      <c r="E156" s="28"/>
      <c r="F156" s="28"/>
      <c r="G156" s="7"/>
      <c r="H156" s="7">
        <v>52272000</v>
      </c>
      <c r="I156" s="93">
        <v>0</v>
      </c>
      <c r="J156" s="93">
        <v>0</v>
      </c>
      <c r="K156" s="93">
        <v>0</v>
      </c>
      <c r="L156" s="93">
        <v>0</v>
      </c>
      <c r="M156" s="6">
        <f t="shared" si="3"/>
        <v>52272000</v>
      </c>
      <c r="N156" s="29">
        <v>43280</v>
      </c>
      <c r="O156" s="30">
        <v>43465</v>
      </c>
      <c r="P156" s="12" t="s">
        <v>1124</v>
      </c>
      <c r="Q156" s="13" t="s">
        <v>56</v>
      </c>
      <c r="R156" s="26" t="s">
        <v>1139</v>
      </c>
      <c r="S156" s="26" t="s">
        <v>1140</v>
      </c>
      <c r="T156" s="26" t="s">
        <v>1141</v>
      </c>
      <c r="U156" s="26" t="s">
        <v>1142</v>
      </c>
      <c r="V156" s="32" t="s">
        <v>1143</v>
      </c>
      <c r="W156" s="26" t="s">
        <v>28</v>
      </c>
    </row>
    <row r="157" spans="1:23" ht="84.95" hidden="1" customHeight="1" x14ac:dyDescent="0.2">
      <c r="A157" s="27" t="s">
        <v>1144</v>
      </c>
      <c r="B157" s="60" t="s">
        <v>1145</v>
      </c>
      <c r="C157" s="59" t="s">
        <v>1123</v>
      </c>
      <c r="D157" s="7">
        <v>52272000</v>
      </c>
      <c r="E157" s="28"/>
      <c r="F157" s="28"/>
      <c r="G157" s="7"/>
      <c r="H157" s="7">
        <v>52272000</v>
      </c>
      <c r="I157" s="93">
        <v>0</v>
      </c>
      <c r="J157" s="93">
        <v>0</v>
      </c>
      <c r="K157" s="93">
        <v>0</v>
      </c>
      <c r="L157" s="93">
        <v>0</v>
      </c>
      <c r="M157" s="6">
        <f t="shared" si="3"/>
        <v>52272000</v>
      </c>
      <c r="N157" s="29">
        <v>43280</v>
      </c>
      <c r="O157" s="30">
        <v>43465</v>
      </c>
      <c r="P157" s="12" t="s">
        <v>1124</v>
      </c>
      <c r="Q157" s="13" t="s">
        <v>56</v>
      </c>
      <c r="R157" s="26" t="s">
        <v>1146</v>
      </c>
      <c r="S157" s="26" t="s">
        <v>1147</v>
      </c>
      <c r="T157" s="26" t="s">
        <v>1148</v>
      </c>
      <c r="U157" s="26" t="s">
        <v>1149</v>
      </c>
      <c r="V157" s="32" t="s">
        <v>1150</v>
      </c>
      <c r="W157" s="26" t="s">
        <v>28</v>
      </c>
    </row>
    <row r="158" spans="1:23" ht="84.95" hidden="1" customHeight="1" x14ac:dyDescent="0.2">
      <c r="A158" s="27" t="s">
        <v>1151</v>
      </c>
      <c r="B158" s="60" t="s">
        <v>1152</v>
      </c>
      <c r="C158" s="59" t="s">
        <v>1123</v>
      </c>
      <c r="D158" s="7">
        <v>52272000</v>
      </c>
      <c r="E158" s="28"/>
      <c r="F158" s="28"/>
      <c r="G158" s="7"/>
      <c r="H158" s="7">
        <v>52272000</v>
      </c>
      <c r="I158" s="93">
        <v>0</v>
      </c>
      <c r="J158" s="93">
        <v>0</v>
      </c>
      <c r="K158" s="93">
        <v>0</v>
      </c>
      <c r="L158" s="93">
        <v>0</v>
      </c>
      <c r="M158" s="6">
        <f t="shared" si="3"/>
        <v>52272000</v>
      </c>
      <c r="N158" s="29">
        <v>43280</v>
      </c>
      <c r="O158" s="30">
        <v>43465</v>
      </c>
      <c r="P158" s="12" t="s">
        <v>1124</v>
      </c>
      <c r="Q158" s="13" t="s">
        <v>56</v>
      </c>
      <c r="R158" s="26" t="s">
        <v>1152</v>
      </c>
      <c r="S158" s="26" t="s">
        <v>1153</v>
      </c>
      <c r="T158" s="26" t="s">
        <v>1154</v>
      </c>
      <c r="U158" s="26" t="s">
        <v>1155</v>
      </c>
      <c r="V158" s="32" t="s">
        <v>1156</v>
      </c>
      <c r="W158" s="26" t="s">
        <v>28</v>
      </c>
    </row>
    <row r="159" spans="1:23" ht="84.95" hidden="1" customHeight="1" x14ac:dyDescent="0.2">
      <c r="A159" s="27" t="s">
        <v>1157</v>
      </c>
      <c r="B159" s="60" t="s">
        <v>1158</v>
      </c>
      <c r="C159" s="59" t="s">
        <v>1123</v>
      </c>
      <c r="D159" s="7">
        <v>52272000</v>
      </c>
      <c r="E159" s="28"/>
      <c r="F159" s="28"/>
      <c r="G159" s="7"/>
      <c r="H159" s="7">
        <v>52272000</v>
      </c>
      <c r="I159" s="93">
        <v>0</v>
      </c>
      <c r="J159" s="93">
        <v>0</v>
      </c>
      <c r="K159" s="93">
        <v>0</v>
      </c>
      <c r="L159" s="93">
        <v>0</v>
      </c>
      <c r="M159" s="6">
        <f t="shared" si="3"/>
        <v>52272000</v>
      </c>
      <c r="N159" s="29">
        <v>43280</v>
      </c>
      <c r="O159" s="30">
        <v>43465</v>
      </c>
      <c r="P159" s="12" t="s">
        <v>1124</v>
      </c>
      <c r="Q159" s="13" t="s">
        <v>56</v>
      </c>
      <c r="R159" s="26" t="s">
        <v>1159</v>
      </c>
      <c r="S159" s="26" t="s">
        <v>1160</v>
      </c>
      <c r="T159" s="26" t="s">
        <v>1161</v>
      </c>
      <c r="U159" s="26" t="s">
        <v>1162</v>
      </c>
      <c r="V159" s="32" t="s">
        <v>1163</v>
      </c>
      <c r="W159" s="26" t="s">
        <v>28</v>
      </c>
    </row>
    <row r="160" spans="1:23" ht="84.95" hidden="1" customHeight="1" x14ac:dyDescent="0.2">
      <c r="A160" s="27" t="s">
        <v>1164</v>
      </c>
      <c r="B160" s="60" t="s">
        <v>1165</v>
      </c>
      <c r="C160" s="59" t="s">
        <v>1123</v>
      </c>
      <c r="D160" s="7">
        <v>52272000</v>
      </c>
      <c r="E160" s="28"/>
      <c r="F160" s="28"/>
      <c r="G160" s="7"/>
      <c r="H160" s="7">
        <v>52272000</v>
      </c>
      <c r="I160" s="93">
        <v>0</v>
      </c>
      <c r="J160" s="93">
        <v>0</v>
      </c>
      <c r="K160" s="93">
        <v>0</v>
      </c>
      <c r="L160" s="93">
        <v>0</v>
      </c>
      <c r="M160" s="6">
        <f t="shared" si="3"/>
        <v>52272000</v>
      </c>
      <c r="N160" s="29">
        <v>43280</v>
      </c>
      <c r="O160" s="30">
        <v>43465</v>
      </c>
      <c r="P160" s="12" t="s">
        <v>1124</v>
      </c>
      <c r="Q160" s="13" t="s">
        <v>56</v>
      </c>
      <c r="R160" s="26" t="s">
        <v>1166</v>
      </c>
      <c r="S160" s="26" t="s">
        <v>1167</v>
      </c>
      <c r="T160" s="26" t="s">
        <v>1168</v>
      </c>
      <c r="U160" s="26" t="s">
        <v>1169</v>
      </c>
      <c r="V160" s="32" t="s">
        <v>1170</v>
      </c>
      <c r="W160" s="26" t="s">
        <v>28</v>
      </c>
    </row>
    <row r="161" spans="1:23" ht="84.95" hidden="1" customHeight="1" x14ac:dyDescent="0.2">
      <c r="A161" s="27" t="s">
        <v>1171</v>
      </c>
      <c r="B161" s="60" t="s">
        <v>1172</v>
      </c>
      <c r="C161" s="59" t="s">
        <v>1123</v>
      </c>
      <c r="D161" s="7">
        <v>52272000</v>
      </c>
      <c r="E161" s="28"/>
      <c r="F161" s="28"/>
      <c r="G161" s="7"/>
      <c r="H161" s="7">
        <v>52272000</v>
      </c>
      <c r="I161" s="93">
        <v>0</v>
      </c>
      <c r="J161" s="93">
        <v>0</v>
      </c>
      <c r="K161" s="93">
        <v>0</v>
      </c>
      <c r="L161" s="93">
        <v>0</v>
      </c>
      <c r="M161" s="6">
        <f t="shared" si="3"/>
        <v>52272000</v>
      </c>
      <c r="N161" s="29">
        <v>43280</v>
      </c>
      <c r="O161" s="30">
        <v>43465</v>
      </c>
      <c r="P161" s="12" t="s">
        <v>1124</v>
      </c>
      <c r="Q161" s="13" t="s">
        <v>56</v>
      </c>
      <c r="R161" s="26" t="s">
        <v>1173</v>
      </c>
      <c r="S161" s="26" t="s">
        <v>1174</v>
      </c>
      <c r="T161" s="26" t="s">
        <v>1175</v>
      </c>
      <c r="U161" s="26" t="s">
        <v>1176</v>
      </c>
      <c r="V161" s="32" t="s">
        <v>1177</v>
      </c>
      <c r="W161" s="26" t="s">
        <v>28</v>
      </c>
    </row>
    <row r="162" spans="1:23" ht="84.95" hidden="1" customHeight="1" x14ac:dyDescent="0.2">
      <c r="A162" s="27" t="s">
        <v>1178</v>
      </c>
      <c r="B162" s="60" t="s">
        <v>1179</v>
      </c>
      <c r="C162" s="59" t="s">
        <v>1123</v>
      </c>
      <c r="D162" s="7">
        <v>52272000</v>
      </c>
      <c r="E162" s="28"/>
      <c r="F162" s="28"/>
      <c r="G162" s="7"/>
      <c r="H162" s="7">
        <v>52272000</v>
      </c>
      <c r="I162" s="93">
        <v>0</v>
      </c>
      <c r="J162" s="93">
        <v>0</v>
      </c>
      <c r="K162" s="93">
        <v>0</v>
      </c>
      <c r="L162" s="93">
        <v>0</v>
      </c>
      <c r="M162" s="6">
        <f t="shared" si="3"/>
        <v>52272000</v>
      </c>
      <c r="N162" s="29">
        <v>43280</v>
      </c>
      <c r="O162" s="30">
        <v>43465</v>
      </c>
      <c r="P162" s="12" t="s">
        <v>1124</v>
      </c>
      <c r="Q162" s="13" t="s">
        <v>56</v>
      </c>
      <c r="R162" s="26" t="s">
        <v>1180</v>
      </c>
      <c r="S162" s="26" t="s">
        <v>1181</v>
      </c>
      <c r="T162" s="26" t="s">
        <v>1182</v>
      </c>
      <c r="U162" s="26" t="s">
        <v>1183</v>
      </c>
      <c r="V162" s="32" t="s">
        <v>1184</v>
      </c>
      <c r="W162" s="26" t="s">
        <v>28</v>
      </c>
    </row>
    <row r="163" spans="1:23" ht="84.95" hidden="1" customHeight="1" x14ac:dyDescent="0.2">
      <c r="A163" s="27" t="s">
        <v>1185</v>
      </c>
      <c r="B163" s="60" t="s">
        <v>1186</v>
      </c>
      <c r="C163" s="59" t="s">
        <v>1123</v>
      </c>
      <c r="D163" s="7">
        <v>52272000</v>
      </c>
      <c r="E163" s="28"/>
      <c r="F163" s="28"/>
      <c r="G163" s="7"/>
      <c r="H163" s="7">
        <v>52272000</v>
      </c>
      <c r="I163" s="93">
        <v>0</v>
      </c>
      <c r="J163" s="93">
        <v>0</v>
      </c>
      <c r="K163" s="93">
        <v>0</v>
      </c>
      <c r="L163" s="93">
        <v>0</v>
      </c>
      <c r="M163" s="6">
        <f t="shared" si="3"/>
        <v>52272000</v>
      </c>
      <c r="N163" s="29">
        <v>43280</v>
      </c>
      <c r="O163" s="30">
        <v>43465</v>
      </c>
      <c r="P163" s="12" t="s">
        <v>1124</v>
      </c>
      <c r="Q163" s="13" t="s">
        <v>56</v>
      </c>
      <c r="R163" s="26" t="s">
        <v>1187</v>
      </c>
      <c r="S163" s="26" t="s">
        <v>1188</v>
      </c>
      <c r="T163" s="26" t="s">
        <v>1189</v>
      </c>
      <c r="U163" s="26" t="s">
        <v>1190</v>
      </c>
      <c r="V163" s="32" t="s">
        <v>1191</v>
      </c>
      <c r="W163" s="26" t="s">
        <v>28</v>
      </c>
    </row>
    <row r="164" spans="1:23" ht="84.95" hidden="1" customHeight="1" x14ac:dyDescent="0.2">
      <c r="A164" s="27" t="s">
        <v>1192</v>
      </c>
      <c r="B164" s="60" t="s">
        <v>1193</v>
      </c>
      <c r="C164" s="59" t="s">
        <v>1123</v>
      </c>
      <c r="D164" s="7">
        <v>52272000</v>
      </c>
      <c r="E164" s="28"/>
      <c r="F164" s="28"/>
      <c r="G164" s="7"/>
      <c r="H164" s="7">
        <v>52272000</v>
      </c>
      <c r="I164" s="93">
        <v>0</v>
      </c>
      <c r="J164" s="93">
        <v>0</v>
      </c>
      <c r="K164" s="93">
        <v>0</v>
      </c>
      <c r="L164" s="93">
        <v>0</v>
      </c>
      <c r="M164" s="6">
        <f t="shared" si="3"/>
        <v>52272000</v>
      </c>
      <c r="N164" s="29">
        <v>43280</v>
      </c>
      <c r="O164" s="30">
        <v>43465</v>
      </c>
      <c r="P164" s="12" t="s">
        <v>1124</v>
      </c>
      <c r="Q164" s="13" t="s">
        <v>56</v>
      </c>
      <c r="R164" s="26" t="s">
        <v>1194</v>
      </c>
      <c r="S164" s="26" t="s">
        <v>1195</v>
      </c>
      <c r="T164" s="26" t="s">
        <v>1196</v>
      </c>
      <c r="U164" s="26" t="s">
        <v>1197</v>
      </c>
      <c r="V164" s="32" t="s">
        <v>1198</v>
      </c>
      <c r="W164" s="26" t="s">
        <v>28</v>
      </c>
    </row>
    <row r="165" spans="1:23" ht="84.95" hidden="1" customHeight="1" x14ac:dyDescent="0.2">
      <c r="A165" s="27" t="s">
        <v>1199</v>
      </c>
      <c r="B165" s="60" t="s">
        <v>1200</v>
      </c>
      <c r="C165" s="59" t="s">
        <v>1123</v>
      </c>
      <c r="D165" s="7">
        <v>52272000</v>
      </c>
      <c r="E165" s="28"/>
      <c r="F165" s="28"/>
      <c r="G165" s="7"/>
      <c r="H165" s="7">
        <v>52272000</v>
      </c>
      <c r="I165" s="93">
        <v>0</v>
      </c>
      <c r="J165" s="93">
        <v>0</v>
      </c>
      <c r="K165" s="93">
        <v>0</v>
      </c>
      <c r="L165" s="93">
        <v>0</v>
      </c>
      <c r="M165" s="6">
        <f t="shared" si="3"/>
        <v>52272000</v>
      </c>
      <c r="N165" s="29">
        <v>43280</v>
      </c>
      <c r="O165" s="30">
        <v>43465</v>
      </c>
      <c r="P165" s="12" t="s">
        <v>1124</v>
      </c>
      <c r="Q165" s="13" t="s">
        <v>56</v>
      </c>
      <c r="R165" s="26" t="s">
        <v>1201</v>
      </c>
      <c r="S165" s="26" t="s">
        <v>1202</v>
      </c>
      <c r="T165" s="26" t="s">
        <v>1203</v>
      </c>
      <c r="U165" s="26" t="s">
        <v>1204</v>
      </c>
      <c r="V165" s="32" t="s">
        <v>1205</v>
      </c>
      <c r="W165" s="26" t="s">
        <v>28</v>
      </c>
    </row>
    <row r="166" spans="1:23" ht="84.95" hidden="1" customHeight="1" x14ac:dyDescent="0.2">
      <c r="A166" s="27" t="s">
        <v>1206</v>
      </c>
      <c r="B166" s="60" t="s">
        <v>1207</v>
      </c>
      <c r="C166" s="59" t="s">
        <v>1123</v>
      </c>
      <c r="D166" s="7">
        <v>52272000</v>
      </c>
      <c r="E166" s="28"/>
      <c r="F166" s="28"/>
      <c r="G166" s="7"/>
      <c r="H166" s="7">
        <v>52272000</v>
      </c>
      <c r="I166" s="93">
        <v>0</v>
      </c>
      <c r="J166" s="93">
        <v>0</v>
      </c>
      <c r="K166" s="93">
        <v>0</v>
      </c>
      <c r="L166" s="93">
        <v>0</v>
      </c>
      <c r="M166" s="6">
        <f t="shared" si="3"/>
        <v>52272000</v>
      </c>
      <c r="N166" s="29">
        <v>43280</v>
      </c>
      <c r="O166" s="30">
        <v>43465</v>
      </c>
      <c r="P166" s="12" t="s">
        <v>1124</v>
      </c>
      <c r="Q166" s="13" t="s">
        <v>56</v>
      </c>
      <c r="R166" s="26" t="s">
        <v>1207</v>
      </c>
      <c r="S166" s="26" t="s">
        <v>1208</v>
      </c>
      <c r="T166" s="26" t="s">
        <v>1209</v>
      </c>
      <c r="U166" s="26" t="s">
        <v>1210</v>
      </c>
      <c r="V166" s="32" t="s">
        <v>1211</v>
      </c>
      <c r="W166" s="26" t="s">
        <v>28</v>
      </c>
    </row>
    <row r="167" spans="1:23" ht="84.95" hidden="1" customHeight="1" x14ac:dyDescent="0.2">
      <c r="A167" s="27" t="s">
        <v>1212</v>
      </c>
      <c r="B167" s="60" t="s">
        <v>1213</v>
      </c>
      <c r="C167" s="59" t="s">
        <v>1123</v>
      </c>
      <c r="D167" s="7">
        <v>52272000</v>
      </c>
      <c r="E167" s="28"/>
      <c r="F167" s="28"/>
      <c r="G167" s="7"/>
      <c r="H167" s="7">
        <v>52272000</v>
      </c>
      <c r="I167" s="93">
        <v>0</v>
      </c>
      <c r="J167" s="93">
        <v>0</v>
      </c>
      <c r="K167" s="93">
        <v>0</v>
      </c>
      <c r="L167" s="93">
        <v>0</v>
      </c>
      <c r="M167" s="6">
        <f t="shared" si="3"/>
        <v>52272000</v>
      </c>
      <c r="N167" s="29">
        <v>43280</v>
      </c>
      <c r="O167" s="30">
        <v>43465</v>
      </c>
      <c r="P167" s="12" t="s">
        <v>1124</v>
      </c>
      <c r="Q167" s="13" t="s">
        <v>56</v>
      </c>
      <c r="R167" s="26" t="s">
        <v>1214</v>
      </c>
      <c r="S167" s="26" t="s">
        <v>1215</v>
      </c>
      <c r="T167" s="26" t="s">
        <v>1216</v>
      </c>
      <c r="U167" s="26" t="s">
        <v>1217</v>
      </c>
      <c r="V167" s="32" t="s">
        <v>1218</v>
      </c>
      <c r="W167" s="26" t="s">
        <v>28</v>
      </c>
    </row>
    <row r="168" spans="1:23" ht="132" hidden="1" customHeight="1" x14ac:dyDescent="0.2">
      <c r="A168" s="27" t="s">
        <v>1219</v>
      </c>
      <c r="B168" s="60" t="s">
        <v>1220</v>
      </c>
      <c r="C168" s="59" t="s">
        <v>1221</v>
      </c>
      <c r="D168" s="7">
        <v>11469928615</v>
      </c>
      <c r="E168" s="28"/>
      <c r="F168" s="28"/>
      <c r="G168" s="7"/>
      <c r="H168" s="7">
        <v>11469928615</v>
      </c>
      <c r="I168" s="93">
        <v>0</v>
      </c>
      <c r="J168" s="93">
        <v>0</v>
      </c>
      <c r="K168" s="93">
        <v>0</v>
      </c>
      <c r="L168" s="93">
        <v>0</v>
      </c>
      <c r="M168" s="6">
        <f t="shared" si="3"/>
        <v>11469928615</v>
      </c>
      <c r="N168" s="29">
        <v>43286</v>
      </c>
      <c r="O168" s="30">
        <v>43462</v>
      </c>
      <c r="P168" s="12" t="s">
        <v>1222</v>
      </c>
      <c r="Q168" s="13" t="s">
        <v>56</v>
      </c>
      <c r="R168" s="26" t="s">
        <v>1223</v>
      </c>
      <c r="S168" s="26" t="s">
        <v>1224</v>
      </c>
      <c r="T168" s="26" t="s">
        <v>1225</v>
      </c>
      <c r="U168" s="26" t="s">
        <v>1226</v>
      </c>
      <c r="V168" s="32" t="s">
        <v>1227</v>
      </c>
      <c r="W168" s="26" t="s">
        <v>28</v>
      </c>
    </row>
    <row r="169" spans="1:23" ht="105.75" hidden="1" customHeight="1" x14ac:dyDescent="0.2">
      <c r="A169" s="27" t="s">
        <v>1228</v>
      </c>
      <c r="B169" s="60" t="s">
        <v>1229</v>
      </c>
      <c r="C169" s="59" t="s">
        <v>1230</v>
      </c>
      <c r="D169" s="7">
        <v>89447477</v>
      </c>
      <c r="E169" s="28"/>
      <c r="F169" s="28"/>
      <c r="G169" s="7"/>
      <c r="H169" s="7">
        <v>89447477</v>
      </c>
      <c r="I169" s="93">
        <v>0</v>
      </c>
      <c r="J169" s="93">
        <v>0</v>
      </c>
      <c r="K169" s="93">
        <v>0</v>
      </c>
      <c r="L169" s="93">
        <v>0</v>
      </c>
      <c r="M169" s="6">
        <f t="shared" si="3"/>
        <v>89447477</v>
      </c>
      <c r="N169" s="29">
        <v>43298</v>
      </c>
      <c r="O169" s="30">
        <v>43419</v>
      </c>
      <c r="P169" s="12" t="s">
        <v>1231</v>
      </c>
      <c r="Q169" s="13" t="s">
        <v>73</v>
      </c>
      <c r="R169" s="26" t="s">
        <v>1229</v>
      </c>
      <c r="S169" s="26" t="s">
        <v>1232</v>
      </c>
      <c r="T169" s="26" t="s">
        <v>1233</v>
      </c>
      <c r="U169" s="26" t="s">
        <v>1234</v>
      </c>
      <c r="V169" s="32" t="s">
        <v>1235</v>
      </c>
      <c r="W169" s="26" t="s">
        <v>28</v>
      </c>
    </row>
    <row r="170" spans="1:23" ht="108" hidden="1" customHeight="1" x14ac:dyDescent="0.2">
      <c r="A170" s="27" t="s">
        <v>1236</v>
      </c>
      <c r="B170" s="60" t="s">
        <v>1237</v>
      </c>
      <c r="C170" s="59" t="s">
        <v>1238</v>
      </c>
      <c r="D170" s="7">
        <v>40000000</v>
      </c>
      <c r="E170" s="28">
        <v>20000000</v>
      </c>
      <c r="F170" s="28"/>
      <c r="G170" s="7"/>
      <c r="H170" s="7">
        <v>60000000</v>
      </c>
      <c r="I170" s="93">
        <v>0</v>
      </c>
      <c r="J170" s="93">
        <v>0</v>
      </c>
      <c r="K170" s="93">
        <v>0</v>
      </c>
      <c r="L170" s="93">
        <v>0</v>
      </c>
      <c r="M170" s="6">
        <f t="shared" si="3"/>
        <v>60000000</v>
      </c>
      <c r="N170" s="29">
        <v>43286</v>
      </c>
      <c r="O170" s="30">
        <v>43555</v>
      </c>
      <c r="P170" s="12" t="s">
        <v>892</v>
      </c>
      <c r="Q170" s="13" t="s">
        <v>73</v>
      </c>
      <c r="R170" s="26" t="s">
        <v>1239</v>
      </c>
      <c r="S170" s="26" t="s">
        <v>1240</v>
      </c>
      <c r="T170" s="26" t="s">
        <v>1241</v>
      </c>
      <c r="U170" s="26" t="s">
        <v>1242</v>
      </c>
      <c r="V170" s="32" t="s">
        <v>1243</v>
      </c>
      <c r="W170" s="26" t="s">
        <v>28</v>
      </c>
    </row>
    <row r="171" spans="1:23" ht="84.95" hidden="1" customHeight="1" x14ac:dyDescent="0.2">
      <c r="A171" s="27" t="s">
        <v>1244</v>
      </c>
      <c r="B171" s="60" t="s">
        <v>1245</v>
      </c>
      <c r="C171" s="59" t="s">
        <v>1246</v>
      </c>
      <c r="D171" s="7">
        <v>25000000</v>
      </c>
      <c r="E171" s="28"/>
      <c r="F171" s="28"/>
      <c r="G171" s="7"/>
      <c r="H171" s="7">
        <v>25000000</v>
      </c>
      <c r="I171" s="93">
        <v>0</v>
      </c>
      <c r="J171" s="93">
        <v>0</v>
      </c>
      <c r="K171" s="93">
        <v>0</v>
      </c>
      <c r="L171" s="93">
        <v>0</v>
      </c>
      <c r="M171" s="6">
        <f t="shared" si="3"/>
        <v>25000000</v>
      </c>
      <c r="N171" s="29">
        <v>43291</v>
      </c>
      <c r="O171" s="30">
        <v>43555</v>
      </c>
      <c r="P171" s="12" t="s">
        <v>1247</v>
      </c>
      <c r="Q171" s="11" t="s">
        <v>32</v>
      </c>
      <c r="R171" s="26" t="s">
        <v>1248</v>
      </c>
      <c r="S171" s="26" t="s">
        <v>1249</v>
      </c>
      <c r="T171" s="26" t="s">
        <v>1250</v>
      </c>
      <c r="U171" s="26" t="s">
        <v>1251</v>
      </c>
      <c r="V171" s="32" t="s">
        <v>1252</v>
      </c>
      <c r="W171" s="26" t="s">
        <v>28</v>
      </c>
    </row>
    <row r="172" spans="1:23" ht="84.95" hidden="1" customHeight="1" x14ac:dyDescent="0.2">
      <c r="A172" s="27" t="s">
        <v>1253</v>
      </c>
      <c r="B172" s="60" t="s">
        <v>1254</v>
      </c>
      <c r="C172" s="59" t="s">
        <v>1255</v>
      </c>
      <c r="D172" s="7">
        <v>50700000</v>
      </c>
      <c r="E172" s="28">
        <v>25000000</v>
      </c>
      <c r="F172" s="28"/>
      <c r="G172" s="7"/>
      <c r="H172" s="7">
        <v>50700000</v>
      </c>
      <c r="I172" s="93">
        <v>0</v>
      </c>
      <c r="J172" s="93">
        <v>0</v>
      </c>
      <c r="K172" s="93">
        <v>0</v>
      </c>
      <c r="L172" s="93">
        <v>0</v>
      </c>
      <c r="M172" s="6">
        <f t="shared" si="3"/>
        <v>50700000</v>
      </c>
      <c r="N172" s="29">
        <v>43294</v>
      </c>
      <c r="O172" s="30">
        <v>43465</v>
      </c>
      <c r="P172" s="12" t="s">
        <v>1256</v>
      </c>
      <c r="Q172" s="13" t="s">
        <v>56</v>
      </c>
      <c r="R172" s="26" t="s">
        <v>1257</v>
      </c>
      <c r="S172" s="26" t="s">
        <v>1258</v>
      </c>
      <c r="T172" s="26" t="s">
        <v>1259</v>
      </c>
      <c r="U172" s="26" t="s">
        <v>1260</v>
      </c>
      <c r="V172" s="32" t="s">
        <v>1261</v>
      </c>
      <c r="W172" s="26" t="s">
        <v>28</v>
      </c>
    </row>
    <row r="173" spans="1:23" ht="84.95" hidden="1" customHeight="1" x14ac:dyDescent="0.2">
      <c r="A173" s="27" t="s">
        <v>1262</v>
      </c>
      <c r="B173" s="60" t="s">
        <v>1263</v>
      </c>
      <c r="C173" s="59" t="s">
        <v>1264</v>
      </c>
      <c r="D173" s="7">
        <v>11361168</v>
      </c>
      <c r="E173" s="28"/>
      <c r="F173" s="28"/>
      <c r="G173" s="7"/>
      <c r="H173" s="7">
        <v>11361168</v>
      </c>
      <c r="I173" s="93">
        <v>0</v>
      </c>
      <c r="J173" s="93">
        <v>0</v>
      </c>
      <c r="K173" s="93">
        <v>0</v>
      </c>
      <c r="L173" s="93">
        <v>0</v>
      </c>
      <c r="M173" s="6">
        <f t="shared" si="3"/>
        <v>11361168</v>
      </c>
      <c r="N173" s="29">
        <v>43297</v>
      </c>
      <c r="O173" s="30">
        <v>43465</v>
      </c>
      <c r="P173" s="12" t="s">
        <v>2636</v>
      </c>
      <c r="Q173" s="11" t="s">
        <v>32</v>
      </c>
      <c r="R173" s="26" t="s">
        <v>1265</v>
      </c>
      <c r="S173" s="26" t="s">
        <v>1266</v>
      </c>
      <c r="T173" s="26" t="s">
        <v>1267</v>
      </c>
      <c r="U173" s="26" t="s">
        <v>1268</v>
      </c>
      <c r="V173" s="32" t="s">
        <v>1269</v>
      </c>
      <c r="W173" s="26" t="s">
        <v>28</v>
      </c>
    </row>
    <row r="174" spans="1:23" ht="84.95" hidden="1" customHeight="1" x14ac:dyDescent="0.2">
      <c r="A174" s="27" t="s">
        <v>1270</v>
      </c>
      <c r="B174" s="60" t="s">
        <v>1271</v>
      </c>
      <c r="C174" s="59" t="s">
        <v>1264</v>
      </c>
      <c r="D174" s="7">
        <v>19825400</v>
      </c>
      <c r="E174" s="28"/>
      <c r="F174" s="28"/>
      <c r="G174" s="7"/>
      <c r="H174" s="7">
        <v>19825400</v>
      </c>
      <c r="I174" s="93">
        <v>0</v>
      </c>
      <c r="J174" s="93">
        <v>0</v>
      </c>
      <c r="K174" s="93">
        <v>0</v>
      </c>
      <c r="L174" s="93">
        <v>0</v>
      </c>
      <c r="M174" s="6">
        <f t="shared" si="3"/>
        <v>19825400</v>
      </c>
      <c r="N174" s="29">
        <v>43294</v>
      </c>
      <c r="O174" s="30">
        <v>43495</v>
      </c>
      <c r="P174" s="12" t="s">
        <v>1272</v>
      </c>
      <c r="Q174" s="11" t="s">
        <v>32</v>
      </c>
      <c r="R174" s="26" t="s">
        <v>798</v>
      </c>
      <c r="S174" s="26" t="s">
        <v>799</v>
      </c>
      <c r="T174" s="26" t="s">
        <v>800</v>
      </c>
      <c r="U174" s="26" t="s">
        <v>801</v>
      </c>
      <c r="V174" s="32" t="s">
        <v>802</v>
      </c>
      <c r="W174" s="26" t="s">
        <v>28</v>
      </c>
    </row>
    <row r="175" spans="1:23" ht="84.95" hidden="1" customHeight="1" x14ac:dyDescent="0.2">
      <c r="A175" s="27" t="s">
        <v>1273</v>
      </c>
      <c r="B175" s="60" t="s">
        <v>1274</v>
      </c>
      <c r="C175" s="59" t="s">
        <v>1275</v>
      </c>
      <c r="D175" s="7">
        <v>7090000</v>
      </c>
      <c r="E175" s="28"/>
      <c r="F175" s="28"/>
      <c r="G175" s="7"/>
      <c r="H175" s="7">
        <v>7090000</v>
      </c>
      <c r="I175" s="93">
        <v>0</v>
      </c>
      <c r="J175" s="93">
        <v>0</v>
      </c>
      <c r="K175" s="93">
        <v>0</v>
      </c>
      <c r="L175" s="93">
        <v>0</v>
      </c>
      <c r="M175" s="6">
        <f t="shared" si="3"/>
        <v>7090000</v>
      </c>
      <c r="N175" s="29">
        <v>43292</v>
      </c>
      <c r="O175" s="30">
        <v>43465</v>
      </c>
      <c r="P175" s="12" t="s">
        <v>1276</v>
      </c>
      <c r="Q175" s="13" t="s">
        <v>1277</v>
      </c>
      <c r="R175" s="26" t="s">
        <v>1278</v>
      </c>
      <c r="S175" s="26" t="s">
        <v>1279</v>
      </c>
      <c r="T175" s="26" t="s">
        <v>1280</v>
      </c>
      <c r="U175" s="26" t="s">
        <v>1281</v>
      </c>
      <c r="V175" s="32" t="s">
        <v>1282</v>
      </c>
      <c r="W175" s="26" t="s">
        <v>28</v>
      </c>
    </row>
    <row r="176" spans="1:23" ht="84.95" hidden="1" customHeight="1" x14ac:dyDescent="0.2">
      <c r="A176" s="27" t="s">
        <v>1283</v>
      </c>
      <c r="B176" s="60" t="s">
        <v>1284</v>
      </c>
      <c r="C176" s="59" t="s">
        <v>1285</v>
      </c>
      <c r="D176" s="7">
        <v>2000000</v>
      </c>
      <c r="E176" s="28"/>
      <c r="F176" s="28"/>
      <c r="G176" s="7"/>
      <c r="H176" s="7">
        <v>2000000</v>
      </c>
      <c r="I176" s="93">
        <v>0</v>
      </c>
      <c r="J176" s="93">
        <v>0</v>
      </c>
      <c r="K176" s="93">
        <v>0</v>
      </c>
      <c r="L176" s="93">
        <v>0</v>
      </c>
      <c r="M176" s="6">
        <f t="shared" si="3"/>
        <v>2000000</v>
      </c>
      <c r="N176" s="29">
        <v>43294</v>
      </c>
      <c r="O176" s="30">
        <v>43465</v>
      </c>
      <c r="P176" s="12" t="s">
        <v>3291</v>
      </c>
      <c r="Q176" s="13" t="s">
        <v>73</v>
      </c>
      <c r="R176" s="26" t="s">
        <v>1286</v>
      </c>
      <c r="S176" s="26" t="s">
        <v>1287</v>
      </c>
      <c r="T176" s="26" t="s">
        <v>1288</v>
      </c>
      <c r="U176" s="26" t="s">
        <v>1289</v>
      </c>
      <c r="V176" s="32" t="s">
        <v>1290</v>
      </c>
      <c r="W176" s="26" t="s">
        <v>28</v>
      </c>
    </row>
    <row r="177" spans="1:29" ht="84.95" hidden="1" customHeight="1" x14ac:dyDescent="0.2">
      <c r="A177" s="27" t="s">
        <v>1291</v>
      </c>
      <c r="B177" s="60" t="s">
        <v>3353</v>
      </c>
      <c r="C177" s="59" t="s">
        <v>1292</v>
      </c>
      <c r="D177" s="7" t="s">
        <v>40</v>
      </c>
      <c r="E177" s="28"/>
      <c r="F177" s="28"/>
      <c r="G177" s="7"/>
      <c r="H177" s="7" t="s">
        <v>40</v>
      </c>
      <c r="I177" s="93">
        <v>0</v>
      </c>
      <c r="J177" s="93">
        <v>0</v>
      </c>
      <c r="K177" s="93">
        <v>0</v>
      </c>
      <c r="L177" s="93">
        <v>0</v>
      </c>
      <c r="M177" s="6">
        <f t="shared" si="3"/>
        <v>0</v>
      </c>
      <c r="N177" s="29">
        <v>43315</v>
      </c>
      <c r="O177" s="30">
        <v>44046</v>
      </c>
      <c r="P177" s="62" t="s">
        <v>148</v>
      </c>
      <c r="Q177" s="61" t="s">
        <v>73</v>
      </c>
      <c r="R177" s="26" t="s">
        <v>1293</v>
      </c>
      <c r="S177" s="26" t="s">
        <v>1294</v>
      </c>
      <c r="T177" s="26" t="s">
        <v>1295</v>
      </c>
      <c r="U177" s="26" t="s">
        <v>1296</v>
      </c>
      <c r="V177" s="32" t="s">
        <v>1297</v>
      </c>
      <c r="W177" s="26" t="s">
        <v>28</v>
      </c>
    </row>
    <row r="178" spans="1:29" ht="84.95" hidden="1" customHeight="1" x14ac:dyDescent="0.2">
      <c r="A178" s="27" t="s">
        <v>1298</v>
      </c>
      <c r="B178" s="60" t="s">
        <v>1299</v>
      </c>
      <c r="C178" s="59" t="s">
        <v>3255</v>
      </c>
      <c r="D178" s="7">
        <v>7295000</v>
      </c>
      <c r="E178" s="28"/>
      <c r="F178" s="28"/>
      <c r="G178" s="7"/>
      <c r="H178" s="7">
        <v>7295000</v>
      </c>
      <c r="I178" s="93">
        <v>0</v>
      </c>
      <c r="J178" s="93">
        <v>0</v>
      </c>
      <c r="K178" s="93">
        <v>0</v>
      </c>
      <c r="L178" s="93">
        <v>0</v>
      </c>
      <c r="M178" s="6">
        <f t="shared" si="3"/>
        <v>7295000</v>
      </c>
      <c r="N178" s="29">
        <v>43304</v>
      </c>
      <c r="O178" s="30">
        <v>43373</v>
      </c>
      <c r="P178" s="12" t="s">
        <v>1276</v>
      </c>
      <c r="Q178" s="13" t="s">
        <v>1277</v>
      </c>
      <c r="R178" s="26" t="s">
        <v>1300</v>
      </c>
      <c r="S178" s="26" t="s">
        <v>1301</v>
      </c>
      <c r="T178" s="26" t="s">
        <v>1302</v>
      </c>
      <c r="U178" s="26" t="s">
        <v>1303</v>
      </c>
      <c r="V178" s="32" t="s">
        <v>1304</v>
      </c>
      <c r="W178" s="26" t="s">
        <v>28</v>
      </c>
    </row>
    <row r="179" spans="1:29" ht="84.95" hidden="1" customHeight="1" x14ac:dyDescent="0.2">
      <c r="A179" s="27" t="s">
        <v>1305</v>
      </c>
      <c r="B179" s="60" t="s">
        <v>1306</v>
      </c>
      <c r="C179" s="59" t="s">
        <v>3207</v>
      </c>
      <c r="D179" s="7">
        <v>700100000</v>
      </c>
      <c r="E179" s="28"/>
      <c r="F179" s="28"/>
      <c r="G179" s="7"/>
      <c r="H179" s="7">
        <v>700100000</v>
      </c>
      <c r="I179" s="93">
        <v>0</v>
      </c>
      <c r="J179" s="93">
        <v>0</v>
      </c>
      <c r="K179" s="93">
        <v>0</v>
      </c>
      <c r="L179" s="93">
        <v>0</v>
      </c>
      <c r="M179" s="6">
        <f t="shared" si="3"/>
        <v>700100000</v>
      </c>
      <c r="N179" s="29">
        <v>43304</v>
      </c>
      <c r="O179" s="30">
        <v>43396</v>
      </c>
      <c r="P179" s="62" t="s">
        <v>1307</v>
      </c>
      <c r="Q179" s="61" t="s">
        <v>73</v>
      </c>
      <c r="R179" s="26" t="s">
        <v>1308</v>
      </c>
      <c r="S179" s="26" t="s">
        <v>1309</v>
      </c>
      <c r="T179" s="26" t="s">
        <v>1310</v>
      </c>
      <c r="U179" s="26" t="s">
        <v>1311</v>
      </c>
      <c r="V179" s="32" t="s">
        <v>1312</v>
      </c>
      <c r="W179" s="26" t="s">
        <v>28</v>
      </c>
    </row>
    <row r="180" spans="1:29" ht="84.95" hidden="1" customHeight="1" x14ac:dyDescent="0.2">
      <c r="A180" s="27" t="s">
        <v>1313</v>
      </c>
      <c r="B180" s="60" t="s">
        <v>1314</v>
      </c>
      <c r="C180" s="59" t="s">
        <v>3207</v>
      </c>
      <c r="D180" s="7">
        <v>198807000</v>
      </c>
      <c r="E180" s="28"/>
      <c r="F180" s="28"/>
      <c r="G180" s="7"/>
      <c r="H180" s="7">
        <v>198807000</v>
      </c>
      <c r="I180" s="93">
        <v>0</v>
      </c>
      <c r="J180" s="93">
        <v>0</v>
      </c>
      <c r="K180" s="93">
        <v>0</v>
      </c>
      <c r="L180" s="93">
        <v>0</v>
      </c>
      <c r="M180" s="6">
        <f t="shared" si="3"/>
        <v>198807000</v>
      </c>
      <c r="N180" s="29">
        <v>43304</v>
      </c>
      <c r="O180" s="30">
        <v>43396</v>
      </c>
      <c r="P180" s="62" t="s">
        <v>1315</v>
      </c>
      <c r="Q180" s="61" t="s">
        <v>73</v>
      </c>
      <c r="R180" s="26" t="s">
        <v>1316</v>
      </c>
      <c r="S180" s="26" t="s">
        <v>1317</v>
      </c>
      <c r="T180" s="26" t="s">
        <v>1318</v>
      </c>
      <c r="U180" s="26" t="s">
        <v>1319</v>
      </c>
      <c r="V180" s="32" t="s">
        <v>1320</v>
      </c>
      <c r="W180" s="26" t="s">
        <v>28</v>
      </c>
    </row>
    <row r="181" spans="1:29" ht="84.95" hidden="1" customHeight="1" x14ac:dyDescent="0.2">
      <c r="A181" s="27" t="s">
        <v>1321</v>
      </c>
      <c r="B181" s="60" t="s">
        <v>1322</v>
      </c>
      <c r="C181" s="59" t="s">
        <v>3207</v>
      </c>
      <c r="D181" s="7">
        <v>30649640</v>
      </c>
      <c r="E181" s="28"/>
      <c r="F181" s="28"/>
      <c r="G181" s="7"/>
      <c r="H181" s="7">
        <v>30649640</v>
      </c>
      <c r="I181" s="93">
        <v>0</v>
      </c>
      <c r="J181" s="93">
        <v>0</v>
      </c>
      <c r="K181" s="93">
        <v>0</v>
      </c>
      <c r="L181" s="93">
        <v>0</v>
      </c>
      <c r="M181" s="6">
        <f t="shared" si="3"/>
        <v>30649640</v>
      </c>
      <c r="N181" s="29">
        <v>43304</v>
      </c>
      <c r="O181" s="30">
        <v>43396</v>
      </c>
      <c r="P181" s="62" t="s">
        <v>1323</v>
      </c>
      <c r="Q181" s="61" t="s">
        <v>73</v>
      </c>
      <c r="R181" s="26" t="s">
        <v>1324</v>
      </c>
      <c r="S181" s="26" t="s">
        <v>1325</v>
      </c>
      <c r="T181" s="26" t="s">
        <v>1326</v>
      </c>
      <c r="U181" s="26" t="s">
        <v>1327</v>
      </c>
      <c r="V181" s="32" t="s">
        <v>1328</v>
      </c>
      <c r="W181" s="26" t="s">
        <v>28</v>
      </c>
    </row>
    <row r="182" spans="1:29" ht="84.95" hidden="1" customHeight="1" x14ac:dyDescent="0.2">
      <c r="A182" s="27" t="s">
        <v>1329</v>
      </c>
      <c r="B182" s="60" t="s">
        <v>1330</v>
      </c>
      <c r="C182" s="59" t="s">
        <v>3207</v>
      </c>
      <c r="D182" s="7">
        <v>337102695</v>
      </c>
      <c r="E182" s="28"/>
      <c r="F182" s="28"/>
      <c r="G182" s="7"/>
      <c r="H182" s="7">
        <v>337102695</v>
      </c>
      <c r="I182" s="93">
        <v>0</v>
      </c>
      <c r="J182" s="93">
        <v>0</v>
      </c>
      <c r="K182" s="93">
        <v>0</v>
      </c>
      <c r="L182" s="93">
        <v>0</v>
      </c>
      <c r="M182" s="6">
        <f t="shared" si="3"/>
        <v>337102695</v>
      </c>
      <c r="N182" s="29">
        <v>43304</v>
      </c>
      <c r="O182" s="30">
        <v>43396</v>
      </c>
      <c r="P182" s="62" t="s">
        <v>3287</v>
      </c>
      <c r="Q182" s="61" t="s">
        <v>73</v>
      </c>
      <c r="R182" s="26" t="s">
        <v>1331</v>
      </c>
      <c r="S182" s="26" t="s">
        <v>1332</v>
      </c>
      <c r="T182" s="26" t="s">
        <v>1333</v>
      </c>
      <c r="U182" s="26" t="s">
        <v>1334</v>
      </c>
      <c r="V182" s="32" t="s">
        <v>1335</v>
      </c>
      <c r="W182" s="26" t="s">
        <v>28</v>
      </c>
    </row>
    <row r="183" spans="1:29" ht="84.95" hidden="1" customHeight="1" x14ac:dyDescent="0.2">
      <c r="A183" s="27" t="s">
        <v>1336</v>
      </c>
      <c r="B183" s="60" t="s">
        <v>1337</v>
      </c>
      <c r="C183" s="59" t="s">
        <v>3207</v>
      </c>
      <c r="D183" s="7">
        <v>112500000</v>
      </c>
      <c r="E183" s="28"/>
      <c r="F183" s="28"/>
      <c r="G183" s="7"/>
      <c r="H183" s="7">
        <v>112500000</v>
      </c>
      <c r="I183" s="93">
        <v>0</v>
      </c>
      <c r="J183" s="93">
        <v>0</v>
      </c>
      <c r="K183" s="93">
        <v>0</v>
      </c>
      <c r="L183" s="93">
        <v>0</v>
      </c>
      <c r="M183" s="6">
        <f t="shared" si="3"/>
        <v>112500000</v>
      </c>
      <c r="N183" s="29">
        <v>43304</v>
      </c>
      <c r="O183" s="30">
        <v>43460</v>
      </c>
      <c r="P183" s="62" t="s">
        <v>1338</v>
      </c>
      <c r="Q183" s="61" t="s">
        <v>73</v>
      </c>
      <c r="R183" s="26" t="s">
        <v>1339</v>
      </c>
      <c r="S183" s="26" t="s">
        <v>1340</v>
      </c>
      <c r="T183" s="26" t="s">
        <v>1341</v>
      </c>
      <c r="U183" s="26" t="s">
        <v>1342</v>
      </c>
      <c r="V183" s="32" t="s">
        <v>1343</v>
      </c>
      <c r="W183" s="26" t="s">
        <v>28</v>
      </c>
      <c r="AC183" s="1" t="s">
        <v>202</v>
      </c>
    </row>
    <row r="184" spans="1:29" ht="84.95" hidden="1" customHeight="1" x14ac:dyDescent="0.2">
      <c r="A184" s="27" t="s">
        <v>1344</v>
      </c>
      <c r="B184" s="60" t="s">
        <v>1345</v>
      </c>
      <c r="C184" s="59" t="s">
        <v>3207</v>
      </c>
      <c r="D184" s="7">
        <v>205341000</v>
      </c>
      <c r="E184" s="28"/>
      <c r="F184" s="28"/>
      <c r="G184" s="7"/>
      <c r="H184" s="7">
        <v>205341000</v>
      </c>
      <c r="I184" s="93">
        <v>0</v>
      </c>
      <c r="J184" s="93">
        <v>0</v>
      </c>
      <c r="K184" s="93">
        <v>0</v>
      </c>
      <c r="L184" s="93">
        <v>0</v>
      </c>
      <c r="M184" s="6">
        <f t="shared" si="3"/>
        <v>205341000</v>
      </c>
      <c r="N184" s="29">
        <v>43304</v>
      </c>
      <c r="O184" s="30">
        <v>43465</v>
      </c>
      <c r="P184" s="62" t="s">
        <v>1346</v>
      </c>
      <c r="Q184" s="61" t="s">
        <v>73</v>
      </c>
      <c r="R184" s="26" t="s">
        <v>1347</v>
      </c>
      <c r="S184" s="26" t="s">
        <v>1348</v>
      </c>
      <c r="T184" s="26" t="s">
        <v>1349</v>
      </c>
      <c r="U184" s="26" t="s">
        <v>1350</v>
      </c>
      <c r="V184" s="32" t="s">
        <v>1351</v>
      </c>
      <c r="W184" s="26" t="s">
        <v>28</v>
      </c>
    </row>
    <row r="185" spans="1:29" ht="84.95" hidden="1" customHeight="1" x14ac:dyDescent="0.2">
      <c r="A185" s="27" t="s">
        <v>1352</v>
      </c>
      <c r="B185" s="60" t="s">
        <v>1353</v>
      </c>
      <c r="C185" s="59" t="s">
        <v>3207</v>
      </c>
      <c r="D185" s="7">
        <v>40574240</v>
      </c>
      <c r="E185" s="28"/>
      <c r="F185" s="28"/>
      <c r="G185" s="7"/>
      <c r="H185" s="7">
        <v>40574240</v>
      </c>
      <c r="I185" s="93">
        <v>0</v>
      </c>
      <c r="J185" s="93">
        <v>0</v>
      </c>
      <c r="K185" s="93">
        <v>0</v>
      </c>
      <c r="L185" s="93">
        <v>0</v>
      </c>
      <c r="M185" s="6">
        <f t="shared" si="3"/>
        <v>40574240</v>
      </c>
      <c r="N185" s="29">
        <v>43304</v>
      </c>
      <c r="O185" s="30">
        <v>43400</v>
      </c>
      <c r="P185" s="62" t="s">
        <v>1354</v>
      </c>
      <c r="Q185" s="61" t="s">
        <v>73</v>
      </c>
      <c r="R185" s="26" t="s">
        <v>1355</v>
      </c>
      <c r="S185" s="26" t="s">
        <v>1356</v>
      </c>
      <c r="T185" s="26" t="s">
        <v>1357</v>
      </c>
      <c r="U185" s="26" t="s">
        <v>1358</v>
      </c>
      <c r="V185" s="32" t="s">
        <v>1359</v>
      </c>
      <c r="W185" s="26" t="s">
        <v>28</v>
      </c>
    </row>
    <row r="186" spans="1:29" ht="84.95" hidden="1" customHeight="1" x14ac:dyDescent="0.2">
      <c r="A186" s="27" t="s">
        <v>1360</v>
      </c>
      <c r="B186" s="60" t="s">
        <v>1361</v>
      </c>
      <c r="C186" s="59" t="s">
        <v>3207</v>
      </c>
      <c r="D186" s="7">
        <v>79000000</v>
      </c>
      <c r="E186" s="28"/>
      <c r="F186" s="28"/>
      <c r="G186" s="7"/>
      <c r="H186" s="7">
        <v>79000000</v>
      </c>
      <c r="I186" s="93">
        <v>0</v>
      </c>
      <c r="J186" s="93">
        <v>0</v>
      </c>
      <c r="K186" s="93">
        <v>0</v>
      </c>
      <c r="L186" s="93">
        <v>0</v>
      </c>
      <c r="M186" s="6">
        <f t="shared" si="3"/>
        <v>79000000</v>
      </c>
      <c r="N186" s="29">
        <v>43304</v>
      </c>
      <c r="O186" s="30">
        <v>43465</v>
      </c>
      <c r="P186" s="62" t="s">
        <v>1362</v>
      </c>
      <c r="Q186" s="61" t="s">
        <v>73</v>
      </c>
      <c r="R186" s="26" t="s">
        <v>1363</v>
      </c>
      <c r="S186" s="26" t="s">
        <v>1364</v>
      </c>
      <c r="T186" s="26" t="s">
        <v>1365</v>
      </c>
      <c r="U186" s="26" t="s">
        <v>1366</v>
      </c>
      <c r="V186" s="32" t="s">
        <v>1367</v>
      </c>
      <c r="W186" s="26" t="s">
        <v>28</v>
      </c>
    </row>
    <row r="187" spans="1:29" ht="84.95" hidden="1" customHeight="1" x14ac:dyDescent="0.2">
      <c r="A187" s="27" t="s">
        <v>1368</v>
      </c>
      <c r="B187" s="60" t="s">
        <v>1369</v>
      </c>
      <c r="C187" s="59" t="s">
        <v>3207</v>
      </c>
      <c r="D187" s="7">
        <v>284180869</v>
      </c>
      <c r="E187" s="28"/>
      <c r="F187" s="28"/>
      <c r="G187" s="7"/>
      <c r="H187" s="7">
        <v>284180869</v>
      </c>
      <c r="I187" s="93">
        <v>0</v>
      </c>
      <c r="J187" s="93">
        <v>0</v>
      </c>
      <c r="K187" s="93">
        <v>0</v>
      </c>
      <c r="L187" s="93">
        <v>0</v>
      </c>
      <c r="M187" s="6">
        <f t="shared" si="3"/>
        <v>284180869</v>
      </c>
      <c r="N187" s="29">
        <v>43304</v>
      </c>
      <c r="O187" s="30">
        <v>43465</v>
      </c>
      <c r="P187" s="62" t="s">
        <v>1370</v>
      </c>
      <c r="Q187" s="61" t="s">
        <v>73</v>
      </c>
      <c r="R187" s="26" t="s">
        <v>1371</v>
      </c>
      <c r="S187" s="26" t="s">
        <v>1372</v>
      </c>
      <c r="T187" s="26" t="s">
        <v>1373</v>
      </c>
      <c r="U187" s="26" t="s">
        <v>1374</v>
      </c>
      <c r="V187" s="32" t="s">
        <v>1375</v>
      </c>
      <c r="W187" s="26" t="s">
        <v>28</v>
      </c>
    </row>
    <row r="188" spans="1:29" ht="84.95" hidden="1" customHeight="1" x14ac:dyDescent="0.2">
      <c r="A188" s="27" t="s">
        <v>1376</v>
      </c>
      <c r="B188" s="60" t="s">
        <v>1377</v>
      </c>
      <c r="C188" s="59" t="s">
        <v>3207</v>
      </c>
      <c r="D188" s="7">
        <v>11061610</v>
      </c>
      <c r="E188" s="28"/>
      <c r="F188" s="28"/>
      <c r="G188" s="7"/>
      <c r="H188" s="7">
        <v>11061610</v>
      </c>
      <c r="I188" s="93">
        <v>0</v>
      </c>
      <c r="J188" s="93">
        <v>0</v>
      </c>
      <c r="K188" s="93">
        <v>0</v>
      </c>
      <c r="L188" s="93">
        <v>0</v>
      </c>
      <c r="M188" s="6">
        <f t="shared" si="3"/>
        <v>11061610</v>
      </c>
      <c r="N188" s="29">
        <v>43304</v>
      </c>
      <c r="O188" s="30">
        <v>43400</v>
      </c>
      <c r="P188" s="62" t="s">
        <v>1378</v>
      </c>
      <c r="Q188" s="61" t="s">
        <v>73</v>
      </c>
      <c r="R188" s="26" t="s">
        <v>806</v>
      </c>
      <c r="S188" s="26" t="s">
        <v>1379</v>
      </c>
      <c r="T188" s="26" t="s">
        <v>808</v>
      </c>
      <c r="U188" s="26" t="s">
        <v>1380</v>
      </c>
      <c r="V188" s="32" t="s">
        <v>1381</v>
      </c>
      <c r="W188" s="26" t="s">
        <v>28</v>
      </c>
    </row>
    <row r="189" spans="1:29" ht="84.95" hidden="1" customHeight="1" x14ac:dyDescent="0.2">
      <c r="A189" s="27" t="s">
        <v>1382</v>
      </c>
      <c r="B189" s="60" t="s">
        <v>948</v>
      </c>
      <c r="C189" s="59" t="s">
        <v>3207</v>
      </c>
      <c r="D189" s="7">
        <v>460000000</v>
      </c>
      <c r="E189" s="28"/>
      <c r="F189" s="28"/>
      <c r="G189" s="7"/>
      <c r="H189" s="7">
        <v>460000000</v>
      </c>
      <c r="I189" s="93">
        <v>0</v>
      </c>
      <c r="J189" s="93">
        <v>0</v>
      </c>
      <c r="K189" s="93">
        <v>0</v>
      </c>
      <c r="L189" s="93">
        <v>0</v>
      </c>
      <c r="M189" s="6">
        <f t="shared" si="3"/>
        <v>460000000</v>
      </c>
      <c r="N189" s="29">
        <v>43304</v>
      </c>
      <c r="O189" s="30">
        <v>43400</v>
      </c>
      <c r="P189" s="62" t="s">
        <v>1338</v>
      </c>
      <c r="Q189" s="61" t="s">
        <v>73</v>
      </c>
      <c r="R189" s="26" t="s">
        <v>1383</v>
      </c>
      <c r="S189" s="26" t="s">
        <v>1384</v>
      </c>
      <c r="T189" s="26" t="s">
        <v>951</v>
      </c>
      <c r="U189" s="26" t="s">
        <v>952</v>
      </c>
      <c r="V189" s="32" t="s">
        <v>953</v>
      </c>
      <c r="W189" s="26" t="s">
        <v>28</v>
      </c>
    </row>
    <row r="190" spans="1:29" ht="84.95" hidden="1" customHeight="1" x14ac:dyDescent="0.2">
      <c r="A190" s="27" t="s">
        <v>1385</v>
      </c>
      <c r="B190" s="60" t="s">
        <v>797</v>
      </c>
      <c r="C190" s="59" t="s">
        <v>3207</v>
      </c>
      <c r="D190" s="7">
        <v>104436080</v>
      </c>
      <c r="E190" s="28"/>
      <c r="F190" s="28"/>
      <c r="G190" s="7"/>
      <c r="H190" s="7">
        <v>104436080</v>
      </c>
      <c r="I190" s="93">
        <v>0</v>
      </c>
      <c r="J190" s="93">
        <v>0</v>
      </c>
      <c r="K190" s="93">
        <v>0</v>
      </c>
      <c r="L190" s="93">
        <v>0</v>
      </c>
      <c r="M190" s="6">
        <f t="shared" si="3"/>
        <v>104436080</v>
      </c>
      <c r="N190" s="29">
        <v>43304</v>
      </c>
      <c r="O190" s="30">
        <v>43400</v>
      </c>
      <c r="P190" s="62" t="s">
        <v>1386</v>
      </c>
      <c r="Q190" s="61" t="s">
        <v>73</v>
      </c>
      <c r="R190" s="26" t="s">
        <v>798</v>
      </c>
      <c r="S190" s="26" t="s">
        <v>799</v>
      </c>
      <c r="T190" s="26" t="s">
        <v>800</v>
      </c>
      <c r="U190" s="26" t="s">
        <v>801</v>
      </c>
      <c r="V190" s="32" t="s">
        <v>802</v>
      </c>
      <c r="W190" s="26" t="s">
        <v>28</v>
      </c>
    </row>
    <row r="191" spans="1:29" ht="84.95" hidden="1" customHeight="1" x14ac:dyDescent="0.2">
      <c r="A191" s="27" t="s">
        <v>1387</v>
      </c>
      <c r="B191" s="60" t="s">
        <v>1388</v>
      </c>
      <c r="C191" s="59" t="s">
        <v>3207</v>
      </c>
      <c r="D191" s="7">
        <v>20158668</v>
      </c>
      <c r="E191" s="28"/>
      <c r="F191" s="28"/>
      <c r="G191" s="7"/>
      <c r="H191" s="7">
        <v>20158668</v>
      </c>
      <c r="I191" s="93">
        <v>0</v>
      </c>
      <c r="J191" s="93">
        <v>0</v>
      </c>
      <c r="K191" s="93">
        <v>0</v>
      </c>
      <c r="L191" s="93">
        <v>0</v>
      </c>
      <c r="M191" s="6">
        <f t="shared" si="3"/>
        <v>20158668</v>
      </c>
      <c r="N191" s="29">
        <v>43304</v>
      </c>
      <c r="O191" s="30">
        <v>43424</v>
      </c>
      <c r="P191" s="62" t="s">
        <v>1386</v>
      </c>
      <c r="Q191" s="61" t="s">
        <v>73</v>
      </c>
      <c r="R191" s="26" t="s">
        <v>1389</v>
      </c>
      <c r="S191" s="26" t="s">
        <v>1390</v>
      </c>
      <c r="T191" s="26" t="s">
        <v>1391</v>
      </c>
      <c r="U191" s="26" t="s">
        <v>1392</v>
      </c>
      <c r="V191" s="32" t="s">
        <v>1393</v>
      </c>
      <c r="W191" s="26" t="s">
        <v>28</v>
      </c>
    </row>
    <row r="192" spans="1:29" ht="84.95" hidden="1" customHeight="1" x14ac:dyDescent="0.2">
      <c r="A192" s="27" t="s">
        <v>1394</v>
      </c>
      <c r="B192" s="60" t="s">
        <v>472</v>
      </c>
      <c r="C192" s="59" t="s">
        <v>3209</v>
      </c>
      <c r="D192" s="7">
        <v>547652730</v>
      </c>
      <c r="E192" s="28"/>
      <c r="F192" s="28"/>
      <c r="G192" s="7"/>
      <c r="H192" s="7">
        <v>547652730</v>
      </c>
      <c r="I192" s="93">
        <v>0</v>
      </c>
      <c r="J192" s="93">
        <v>0</v>
      </c>
      <c r="K192" s="93">
        <v>0</v>
      </c>
      <c r="L192" s="93">
        <v>0</v>
      </c>
      <c r="M192" s="6">
        <f t="shared" si="3"/>
        <v>547652730</v>
      </c>
      <c r="N192" s="29">
        <v>43304</v>
      </c>
      <c r="O192" s="30">
        <v>43404</v>
      </c>
      <c r="P192" s="12" t="s">
        <v>1396</v>
      </c>
      <c r="Q192" s="13" t="s">
        <v>56</v>
      </c>
      <c r="R192" s="26" t="s">
        <v>474</v>
      </c>
      <c r="S192" s="26" t="s">
        <v>475</v>
      </c>
      <c r="T192" s="26" t="s">
        <v>1397</v>
      </c>
      <c r="U192" s="26" t="s">
        <v>1398</v>
      </c>
      <c r="V192" s="32" t="s">
        <v>1393</v>
      </c>
      <c r="W192" s="26" t="s">
        <v>28</v>
      </c>
    </row>
    <row r="193" spans="1:23" ht="84.95" hidden="1" customHeight="1" x14ac:dyDescent="0.2">
      <c r="A193" s="27" t="s">
        <v>1399</v>
      </c>
      <c r="B193" s="60" t="s">
        <v>1400</v>
      </c>
      <c r="C193" s="59" t="s">
        <v>3208</v>
      </c>
      <c r="D193" s="7">
        <v>241247225</v>
      </c>
      <c r="E193" s="28"/>
      <c r="F193" s="28"/>
      <c r="G193" s="7"/>
      <c r="H193" s="7">
        <v>241247225</v>
      </c>
      <c r="I193" s="93">
        <v>0</v>
      </c>
      <c r="J193" s="93">
        <v>0</v>
      </c>
      <c r="K193" s="93">
        <v>0</v>
      </c>
      <c r="L193" s="93">
        <v>0</v>
      </c>
      <c r="M193" s="6">
        <f t="shared" si="3"/>
        <v>241247225</v>
      </c>
      <c r="N193" s="29">
        <v>43304</v>
      </c>
      <c r="O193" s="30">
        <v>43404</v>
      </c>
      <c r="P193" s="12" t="s">
        <v>211</v>
      </c>
      <c r="Q193" s="13" t="s">
        <v>56</v>
      </c>
      <c r="R193" s="26" t="s">
        <v>1401</v>
      </c>
      <c r="S193" s="26" t="s">
        <v>569</v>
      </c>
      <c r="T193" s="26" t="s">
        <v>570</v>
      </c>
      <c r="U193" s="26" t="s">
        <v>571</v>
      </c>
      <c r="V193" s="32" t="s">
        <v>572</v>
      </c>
      <c r="W193" s="26" t="s">
        <v>28</v>
      </c>
    </row>
    <row r="194" spans="1:23" ht="84.95" hidden="1" customHeight="1" x14ac:dyDescent="0.2">
      <c r="A194" s="27" t="s">
        <v>1402</v>
      </c>
      <c r="B194" s="60" t="s">
        <v>1403</v>
      </c>
      <c r="C194" s="59" t="s">
        <v>1395</v>
      </c>
      <c r="D194" s="7">
        <v>79468200</v>
      </c>
      <c r="E194" s="28"/>
      <c r="F194" s="28"/>
      <c r="G194" s="7"/>
      <c r="H194" s="7">
        <v>79468200</v>
      </c>
      <c r="I194" s="93">
        <v>0</v>
      </c>
      <c r="J194" s="93">
        <v>0</v>
      </c>
      <c r="K194" s="93">
        <v>0</v>
      </c>
      <c r="L194" s="93">
        <v>0</v>
      </c>
      <c r="M194" s="6">
        <f t="shared" si="3"/>
        <v>79468200</v>
      </c>
      <c r="N194" s="29">
        <v>43304</v>
      </c>
      <c r="O194" s="30">
        <v>43404</v>
      </c>
      <c r="P194" s="12" t="s">
        <v>575</v>
      </c>
      <c r="Q194" s="13" t="s">
        <v>56</v>
      </c>
      <c r="R194" s="26" t="s">
        <v>1404</v>
      </c>
      <c r="S194" s="26" t="s">
        <v>1405</v>
      </c>
      <c r="T194" s="26" t="s">
        <v>1406</v>
      </c>
      <c r="U194" s="26" t="s">
        <v>1407</v>
      </c>
      <c r="V194" s="32" t="s">
        <v>1408</v>
      </c>
      <c r="W194" s="26" t="s">
        <v>28</v>
      </c>
    </row>
    <row r="195" spans="1:23" ht="84.95" hidden="1" customHeight="1" x14ac:dyDescent="0.2">
      <c r="A195" s="27" t="s">
        <v>1409</v>
      </c>
      <c r="B195" s="60" t="s">
        <v>1410</v>
      </c>
      <c r="C195" s="59" t="s">
        <v>1411</v>
      </c>
      <c r="D195" s="7">
        <v>335000000</v>
      </c>
      <c r="E195" s="28"/>
      <c r="F195" s="28"/>
      <c r="G195" s="7"/>
      <c r="H195" s="7">
        <v>335000000</v>
      </c>
      <c r="I195" s="93">
        <v>0</v>
      </c>
      <c r="J195" s="93">
        <v>0</v>
      </c>
      <c r="K195" s="93">
        <v>0</v>
      </c>
      <c r="L195" s="93">
        <v>0</v>
      </c>
      <c r="M195" s="6">
        <f t="shared" si="3"/>
        <v>335000000</v>
      </c>
      <c r="N195" s="29">
        <v>43304</v>
      </c>
      <c r="O195" s="30">
        <v>43434</v>
      </c>
      <c r="P195" s="12" t="s">
        <v>892</v>
      </c>
      <c r="Q195" s="13" t="s">
        <v>73</v>
      </c>
      <c r="R195" s="26" t="s">
        <v>1412</v>
      </c>
      <c r="S195" s="26" t="s">
        <v>1011</v>
      </c>
      <c r="T195" s="26" t="s">
        <v>1012</v>
      </c>
      <c r="U195" s="26" t="s">
        <v>1013</v>
      </c>
      <c r="V195" s="32" t="s">
        <v>1413</v>
      </c>
      <c r="W195" s="26" t="s">
        <v>28</v>
      </c>
    </row>
    <row r="196" spans="1:23" ht="111" hidden="1" customHeight="1" x14ac:dyDescent="0.2">
      <c r="A196" s="27" t="s">
        <v>1414</v>
      </c>
      <c r="B196" s="60" t="s">
        <v>1415</v>
      </c>
      <c r="C196" s="59" t="s">
        <v>3236</v>
      </c>
      <c r="D196" s="7">
        <v>3669967779</v>
      </c>
      <c r="E196" s="28"/>
      <c r="F196" s="28"/>
      <c r="G196" s="7"/>
      <c r="H196" s="7">
        <v>3669967779</v>
      </c>
      <c r="I196" s="93">
        <v>0</v>
      </c>
      <c r="J196" s="93">
        <v>0</v>
      </c>
      <c r="K196" s="93">
        <v>0</v>
      </c>
      <c r="L196" s="93">
        <v>0</v>
      </c>
      <c r="M196" s="6">
        <f t="shared" ref="M196:M259" si="4">SUM(H196:L196)</f>
        <v>3669967779</v>
      </c>
      <c r="N196" s="29">
        <v>43304</v>
      </c>
      <c r="O196" s="30">
        <v>43464</v>
      </c>
      <c r="P196" s="12" t="s">
        <v>756</v>
      </c>
      <c r="Q196" s="13" t="s">
        <v>73</v>
      </c>
      <c r="R196" s="13" t="s">
        <v>1416</v>
      </c>
      <c r="S196" s="26" t="s">
        <v>1417</v>
      </c>
      <c r="T196" s="26" t="s">
        <v>918</v>
      </c>
      <c r="U196" s="26" t="s">
        <v>919</v>
      </c>
      <c r="V196" s="32" t="s">
        <v>1418</v>
      </c>
      <c r="W196" s="26" t="s">
        <v>28</v>
      </c>
    </row>
    <row r="197" spans="1:23" ht="84.95" hidden="1" customHeight="1" x14ac:dyDescent="0.2">
      <c r="A197" s="27" t="s">
        <v>1419</v>
      </c>
      <c r="B197" s="60" t="s">
        <v>1420</v>
      </c>
      <c r="C197" s="59" t="s">
        <v>1421</v>
      </c>
      <c r="D197" s="7">
        <v>810011737</v>
      </c>
      <c r="E197" s="28">
        <v>377620896</v>
      </c>
      <c r="F197" s="28"/>
      <c r="G197" s="7"/>
      <c r="H197" s="7">
        <v>810011737</v>
      </c>
      <c r="I197" s="93">
        <v>0</v>
      </c>
      <c r="J197" s="93">
        <v>0</v>
      </c>
      <c r="K197" s="93">
        <v>0</v>
      </c>
      <c r="L197" s="93">
        <v>0</v>
      </c>
      <c r="M197" s="6">
        <f t="shared" si="4"/>
        <v>810011737</v>
      </c>
      <c r="N197" s="30">
        <v>43305</v>
      </c>
      <c r="O197" s="30">
        <v>43585</v>
      </c>
      <c r="P197" s="12" t="s">
        <v>1478</v>
      </c>
      <c r="Q197" s="13" t="s">
        <v>73</v>
      </c>
      <c r="R197" s="13" t="s">
        <v>1422</v>
      </c>
      <c r="S197" s="26" t="s">
        <v>1423</v>
      </c>
      <c r="T197" s="26" t="s">
        <v>1424</v>
      </c>
      <c r="U197" s="26" t="s">
        <v>1425</v>
      </c>
      <c r="V197" s="32" t="s">
        <v>1426</v>
      </c>
      <c r="W197" s="26" t="s">
        <v>1427</v>
      </c>
    </row>
    <row r="198" spans="1:23" ht="84.95" hidden="1" customHeight="1" x14ac:dyDescent="0.2">
      <c r="A198" s="27" t="s">
        <v>1428</v>
      </c>
      <c r="B198" s="60" t="s">
        <v>1420</v>
      </c>
      <c r="C198" s="59" t="s">
        <v>1429</v>
      </c>
      <c r="D198" s="7">
        <v>507891949</v>
      </c>
      <c r="E198" s="28">
        <v>269137700</v>
      </c>
      <c r="F198" s="28"/>
      <c r="G198" s="7"/>
      <c r="H198" s="7">
        <v>507891949</v>
      </c>
      <c r="I198" s="93">
        <v>0</v>
      </c>
      <c r="J198" s="93">
        <v>0</v>
      </c>
      <c r="K198" s="93">
        <v>0</v>
      </c>
      <c r="L198" s="93">
        <v>0</v>
      </c>
      <c r="M198" s="6">
        <f t="shared" si="4"/>
        <v>507891949</v>
      </c>
      <c r="N198" s="29">
        <v>43305</v>
      </c>
      <c r="O198" s="30">
        <v>43707</v>
      </c>
      <c r="P198" s="12" t="s">
        <v>1478</v>
      </c>
      <c r="Q198" s="13" t="s">
        <v>73</v>
      </c>
      <c r="R198" s="13" t="s">
        <v>1430</v>
      </c>
      <c r="S198" s="26" t="s">
        <v>1423</v>
      </c>
      <c r="T198" s="26" t="s">
        <v>1431</v>
      </c>
      <c r="U198" s="26" t="s">
        <v>1425</v>
      </c>
      <c r="V198" s="32" t="s">
        <v>1426</v>
      </c>
      <c r="W198" s="26" t="s">
        <v>1427</v>
      </c>
    </row>
    <row r="199" spans="1:23" ht="84.95" hidden="1" customHeight="1" x14ac:dyDescent="0.2">
      <c r="A199" s="27" t="s">
        <v>1432</v>
      </c>
      <c r="B199" s="60" t="s">
        <v>1433</v>
      </c>
      <c r="C199" s="59" t="s">
        <v>1434</v>
      </c>
      <c r="D199" s="7">
        <v>300000000</v>
      </c>
      <c r="E199" s="28">
        <v>42000000</v>
      </c>
      <c r="F199" s="28"/>
      <c r="G199" s="7"/>
      <c r="H199" s="7">
        <v>342000000</v>
      </c>
      <c r="I199" s="93">
        <v>0</v>
      </c>
      <c r="J199" s="93">
        <v>0</v>
      </c>
      <c r="K199" s="93">
        <v>0</v>
      </c>
      <c r="L199" s="93">
        <v>0</v>
      </c>
      <c r="M199" s="6">
        <f t="shared" si="4"/>
        <v>342000000</v>
      </c>
      <c r="N199" s="29">
        <v>43313</v>
      </c>
      <c r="O199" s="30">
        <v>43465</v>
      </c>
      <c r="P199" s="12" t="s">
        <v>258</v>
      </c>
      <c r="Q199" s="13" t="s">
        <v>73</v>
      </c>
      <c r="R199" s="26" t="s">
        <v>1435</v>
      </c>
      <c r="S199" s="26" t="s">
        <v>483</v>
      </c>
      <c r="T199" s="26" t="s">
        <v>484</v>
      </c>
      <c r="U199" s="26" t="s">
        <v>1436</v>
      </c>
      <c r="V199" s="64" t="s">
        <v>3145</v>
      </c>
      <c r="W199" s="26" t="s">
        <v>28</v>
      </c>
    </row>
    <row r="200" spans="1:23" ht="84.95" hidden="1" customHeight="1" x14ac:dyDescent="0.2">
      <c r="A200" s="27" t="s">
        <v>1437</v>
      </c>
      <c r="B200" s="60" t="s">
        <v>1438</v>
      </c>
      <c r="C200" s="59" t="s">
        <v>1439</v>
      </c>
      <c r="D200" s="7">
        <v>29575000</v>
      </c>
      <c r="E200" s="28"/>
      <c r="F200" s="28"/>
      <c r="G200" s="7"/>
      <c r="H200" s="7">
        <v>29575000</v>
      </c>
      <c r="I200" s="93">
        <v>0</v>
      </c>
      <c r="J200" s="93">
        <v>0</v>
      </c>
      <c r="K200" s="93">
        <v>0</v>
      </c>
      <c r="L200" s="93">
        <v>0</v>
      </c>
      <c r="M200" s="6">
        <f t="shared" si="4"/>
        <v>29575000</v>
      </c>
      <c r="N200" s="29">
        <v>43306</v>
      </c>
      <c r="O200" s="30">
        <v>43465</v>
      </c>
      <c r="P200" s="12" t="s">
        <v>907</v>
      </c>
      <c r="Q200" s="11" t="s">
        <v>32</v>
      </c>
      <c r="R200" s="26" t="s">
        <v>1371</v>
      </c>
      <c r="S200" s="26" t="s">
        <v>1440</v>
      </c>
      <c r="T200" s="26" t="s">
        <v>1441</v>
      </c>
      <c r="U200" s="26" t="s">
        <v>1442</v>
      </c>
      <c r="V200" s="32" t="s">
        <v>1443</v>
      </c>
      <c r="W200" s="26" t="s">
        <v>28</v>
      </c>
    </row>
    <row r="201" spans="1:23" ht="118.5" hidden="1" customHeight="1" x14ac:dyDescent="0.2">
      <c r="A201" s="27" t="s">
        <v>1444</v>
      </c>
      <c r="B201" s="60" t="s">
        <v>1445</v>
      </c>
      <c r="C201" s="59" t="s">
        <v>1446</v>
      </c>
      <c r="D201" s="7">
        <v>50000000</v>
      </c>
      <c r="E201" s="28">
        <v>25000000</v>
      </c>
      <c r="F201" s="81">
        <v>8685640</v>
      </c>
      <c r="G201" s="7"/>
      <c r="H201" s="7">
        <v>50000000</v>
      </c>
      <c r="I201" s="93">
        <v>0</v>
      </c>
      <c r="J201" s="93">
        <v>0</v>
      </c>
      <c r="K201" s="93">
        <v>0</v>
      </c>
      <c r="L201" s="93">
        <v>0</v>
      </c>
      <c r="M201" s="6">
        <f t="shared" si="4"/>
        <v>50000000</v>
      </c>
      <c r="N201" s="29">
        <v>43311</v>
      </c>
      <c r="O201" s="30">
        <v>44165</v>
      </c>
      <c r="P201" s="12" t="s">
        <v>3307</v>
      </c>
      <c r="Q201" s="13" t="s">
        <v>56</v>
      </c>
      <c r="R201" s="26" t="s">
        <v>1447</v>
      </c>
      <c r="S201" s="26" t="s">
        <v>1448</v>
      </c>
      <c r="T201" s="26" t="s">
        <v>1449</v>
      </c>
      <c r="U201" s="26" t="s">
        <v>1860</v>
      </c>
      <c r="V201" s="32" t="s">
        <v>1450</v>
      </c>
      <c r="W201" s="26" t="s">
        <v>28</v>
      </c>
    </row>
    <row r="202" spans="1:23" ht="103.5" hidden="1" customHeight="1" x14ac:dyDescent="0.2">
      <c r="A202" s="27" t="s">
        <v>1451</v>
      </c>
      <c r="B202" s="60" t="s">
        <v>230</v>
      </c>
      <c r="C202" s="59" t="s">
        <v>1452</v>
      </c>
      <c r="D202" s="7">
        <v>353192000</v>
      </c>
      <c r="E202" s="28"/>
      <c r="F202" s="28"/>
      <c r="G202" s="7"/>
      <c r="H202" s="7">
        <v>353192000</v>
      </c>
      <c r="I202" s="93">
        <v>0</v>
      </c>
      <c r="J202" s="93">
        <v>0</v>
      </c>
      <c r="K202" s="93">
        <v>0</v>
      </c>
      <c r="L202" s="93">
        <v>0</v>
      </c>
      <c r="M202" s="6">
        <f t="shared" si="4"/>
        <v>353192000</v>
      </c>
      <c r="N202" s="29">
        <v>43308</v>
      </c>
      <c r="O202" s="30">
        <v>43449</v>
      </c>
      <c r="P202" s="12" t="s">
        <v>583</v>
      </c>
      <c r="Q202" s="13" t="s">
        <v>56</v>
      </c>
      <c r="R202" s="26" t="s">
        <v>1453</v>
      </c>
      <c r="S202" s="26" t="s">
        <v>515</v>
      </c>
      <c r="T202" s="26" t="s">
        <v>516</v>
      </c>
      <c r="U202" s="26" t="s">
        <v>1454</v>
      </c>
      <c r="V202" s="32" t="s">
        <v>1455</v>
      </c>
      <c r="W202" s="26" t="s">
        <v>28</v>
      </c>
    </row>
    <row r="203" spans="1:23" ht="140.25" hidden="1" customHeight="1" x14ac:dyDescent="0.2">
      <c r="A203" s="27" t="s">
        <v>1456</v>
      </c>
      <c r="B203" s="60" t="s">
        <v>1457</v>
      </c>
      <c r="C203" s="59" t="s">
        <v>1458</v>
      </c>
      <c r="D203" s="7">
        <v>174109564</v>
      </c>
      <c r="E203" s="28"/>
      <c r="F203" s="28"/>
      <c r="G203" s="7"/>
      <c r="H203" s="7">
        <v>174109564</v>
      </c>
      <c r="I203" s="93">
        <v>0</v>
      </c>
      <c r="J203" s="93">
        <v>0</v>
      </c>
      <c r="K203" s="93">
        <v>0</v>
      </c>
      <c r="L203" s="93">
        <v>0</v>
      </c>
      <c r="M203" s="6">
        <f t="shared" si="4"/>
        <v>174109564</v>
      </c>
      <c r="N203" s="29">
        <v>43306</v>
      </c>
      <c r="O203" s="30">
        <v>43464</v>
      </c>
      <c r="P203" s="12" t="s">
        <v>1459</v>
      </c>
      <c r="Q203" s="13" t="s">
        <v>73</v>
      </c>
      <c r="R203" s="26" t="s">
        <v>1460</v>
      </c>
      <c r="S203" s="26" t="s">
        <v>1461</v>
      </c>
      <c r="T203" s="26" t="s">
        <v>1462</v>
      </c>
      <c r="U203" s="26" t="s">
        <v>1463</v>
      </c>
      <c r="V203" s="32" t="s">
        <v>1464</v>
      </c>
      <c r="W203" s="26" t="s">
        <v>28</v>
      </c>
    </row>
    <row r="204" spans="1:23" ht="84.95" hidden="1" customHeight="1" x14ac:dyDescent="0.2">
      <c r="A204" s="27" t="s">
        <v>1465</v>
      </c>
      <c r="B204" s="60" t="s">
        <v>1466</v>
      </c>
      <c r="C204" s="59" t="s">
        <v>1467</v>
      </c>
      <c r="D204" s="7">
        <v>150780737</v>
      </c>
      <c r="E204" s="28"/>
      <c r="F204" s="28"/>
      <c r="G204" s="7"/>
      <c r="H204" s="7">
        <v>150780737</v>
      </c>
      <c r="I204" s="93">
        <v>0</v>
      </c>
      <c r="J204" s="93">
        <v>0</v>
      </c>
      <c r="K204" s="93">
        <v>0</v>
      </c>
      <c r="L204" s="93">
        <v>0</v>
      </c>
      <c r="M204" s="6">
        <f t="shared" si="4"/>
        <v>150780737</v>
      </c>
      <c r="N204" s="29">
        <v>43306</v>
      </c>
      <c r="O204" s="30">
        <v>43464</v>
      </c>
      <c r="P204" s="12" t="s">
        <v>1459</v>
      </c>
      <c r="Q204" s="13" t="s">
        <v>73</v>
      </c>
      <c r="R204" s="26" t="s">
        <v>1460</v>
      </c>
      <c r="S204" s="26" t="s">
        <v>1461</v>
      </c>
      <c r="T204" s="26" t="s">
        <v>1468</v>
      </c>
      <c r="U204" s="26" t="s">
        <v>1469</v>
      </c>
      <c r="V204" s="32" t="s">
        <v>1418</v>
      </c>
      <c r="W204" s="26" t="s">
        <v>28</v>
      </c>
    </row>
    <row r="205" spans="1:23" ht="84.95" hidden="1" customHeight="1" x14ac:dyDescent="0.2">
      <c r="A205" s="27" t="s">
        <v>1470</v>
      </c>
      <c r="B205" s="60" t="s">
        <v>230</v>
      </c>
      <c r="C205" s="59" t="s">
        <v>3206</v>
      </c>
      <c r="D205" s="7">
        <v>50700000</v>
      </c>
      <c r="E205" s="28"/>
      <c r="F205" s="28"/>
      <c r="G205" s="7"/>
      <c r="H205" s="7">
        <v>50700000</v>
      </c>
      <c r="I205" s="93">
        <v>0</v>
      </c>
      <c r="J205" s="93">
        <v>0</v>
      </c>
      <c r="K205" s="93">
        <v>0</v>
      </c>
      <c r="L205" s="93">
        <v>0</v>
      </c>
      <c r="M205" s="6">
        <f t="shared" si="4"/>
        <v>50700000</v>
      </c>
      <c r="N205" s="29">
        <v>43313</v>
      </c>
      <c r="O205" s="30">
        <v>43465</v>
      </c>
      <c r="P205" s="12" t="s">
        <v>547</v>
      </c>
      <c r="Q205" s="13" t="s">
        <v>56</v>
      </c>
      <c r="R205" s="26" t="s">
        <v>1471</v>
      </c>
      <c r="S205" s="26" t="s">
        <v>515</v>
      </c>
      <c r="T205" s="26" t="s">
        <v>1472</v>
      </c>
      <c r="U205" s="26" t="s">
        <v>1473</v>
      </c>
      <c r="V205" s="32" t="s">
        <v>1474</v>
      </c>
      <c r="W205" s="26" t="s">
        <v>28</v>
      </c>
    </row>
    <row r="206" spans="1:23" ht="128.25" hidden="1" customHeight="1" x14ac:dyDescent="0.2">
      <c r="A206" s="27" t="s">
        <v>1475</v>
      </c>
      <c r="B206" s="60" t="s">
        <v>1476</v>
      </c>
      <c r="C206" s="59" t="s">
        <v>1477</v>
      </c>
      <c r="D206" s="7">
        <v>39582973</v>
      </c>
      <c r="E206" s="28">
        <v>19791407</v>
      </c>
      <c r="F206" s="28"/>
      <c r="G206" s="7"/>
      <c r="H206" s="7">
        <v>39582973</v>
      </c>
      <c r="I206" s="93">
        <v>0</v>
      </c>
      <c r="J206" s="93">
        <v>0</v>
      </c>
      <c r="K206" s="93">
        <v>0</v>
      </c>
      <c r="L206" s="93">
        <v>0</v>
      </c>
      <c r="M206" s="6">
        <f t="shared" si="4"/>
        <v>39582973</v>
      </c>
      <c r="N206" s="29">
        <v>43314</v>
      </c>
      <c r="O206" s="30">
        <v>43585</v>
      </c>
      <c r="P206" s="12" t="s">
        <v>1478</v>
      </c>
      <c r="Q206" s="13" t="s">
        <v>73</v>
      </c>
      <c r="R206" s="26" t="s">
        <v>1476</v>
      </c>
      <c r="S206" s="26" t="s">
        <v>1479</v>
      </c>
      <c r="T206" s="26" t="s">
        <v>1480</v>
      </c>
      <c r="U206" s="26" t="s">
        <v>1481</v>
      </c>
      <c r="V206" s="32" t="s">
        <v>1482</v>
      </c>
      <c r="W206" s="26" t="s">
        <v>28</v>
      </c>
    </row>
    <row r="207" spans="1:23" ht="84.95" hidden="1" customHeight="1" x14ac:dyDescent="0.2">
      <c r="A207" s="27" t="s">
        <v>1483</v>
      </c>
      <c r="B207" s="60" t="s">
        <v>1484</v>
      </c>
      <c r="C207" s="59" t="s">
        <v>1485</v>
      </c>
      <c r="D207" s="7">
        <v>34897652</v>
      </c>
      <c r="E207" s="28">
        <v>13249827</v>
      </c>
      <c r="F207" s="28"/>
      <c r="G207" s="7"/>
      <c r="H207" s="7">
        <v>48148479</v>
      </c>
      <c r="I207" s="93">
        <v>0</v>
      </c>
      <c r="J207" s="93">
        <v>0</v>
      </c>
      <c r="K207" s="93">
        <v>0</v>
      </c>
      <c r="L207" s="93">
        <v>0</v>
      </c>
      <c r="M207" s="6">
        <f t="shared" si="4"/>
        <v>48148479</v>
      </c>
      <c r="N207" s="29">
        <v>43315</v>
      </c>
      <c r="O207" s="30">
        <v>43353</v>
      </c>
      <c r="P207" s="12" t="s">
        <v>1486</v>
      </c>
      <c r="Q207" s="13" t="s">
        <v>73</v>
      </c>
      <c r="R207" s="26" t="s">
        <v>1487</v>
      </c>
      <c r="S207" s="26" t="s">
        <v>1488</v>
      </c>
      <c r="T207" s="26" t="s">
        <v>1489</v>
      </c>
      <c r="U207" s="26" t="s">
        <v>1490</v>
      </c>
      <c r="V207" s="32" t="s">
        <v>1491</v>
      </c>
      <c r="W207" s="26" t="s">
        <v>28</v>
      </c>
    </row>
    <row r="208" spans="1:23" ht="84.95" hidden="1" customHeight="1" x14ac:dyDescent="0.2">
      <c r="A208" s="27" t="s">
        <v>1492</v>
      </c>
      <c r="B208" s="60" t="s">
        <v>1493</v>
      </c>
      <c r="C208" s="59" t="s">
        <v>1494</v>
      </c>
      <c r="D208" s="7">
        <v>50700000</v>
      </c>
      <c r="E208" s="28"/>
      <c r="F208" s="28"/>
      <c r="G208" s="7"/>
      <c r="H208" s="7">
        <v>50700000</v>
      </c>
      <c r="I208" s="93">
        <v>0</v>
      </c>
      <c r="J208" s="93">
        <v>0</v>
      </c>
      <c r="K208" s="93">
        <v>0</v>
      </c>
      <c r="L208" s="93">
        <v>0</v>
      </c>
      <c r="M208" s="6">
        <f t="shared" si="4"/>
        <v>50700000</v>
      </c>
      <c r="N208" s="29">
        <v>43311</v>
      </c>
      <c r="O208" s="30">
        <v>43814</v>
      </c>
      <c r="P208" s="12" t="s">
        <v>547</v>
      </c>
      <c r="Q208" s="13" t="s">
        <v>56</v>
      </c>
      <c r="R208" s="26" t="s">
        <v>1495</v>
      </c>
      <c r="S208" s="26" t="s">
        <v>1496</v>
      </c>
      <c r="T208" s="26" t="s">
        <v>1497</v>
      </c>
      <c r="U208" s="26" t="s">
        <v>1498</v>
      </c>
      <c r="V208" s="32" t="s">
        <v>1499</v>
      </c>
      <c r="W208" s="26" t="s">
        <v>28</v>
      </c>
    </row>
    <row r="209" spans="1:23" ht="117.75" hidden="1" customHeight="1" x14ac:dyDescent="0.2">
      <c r="A209" s="27" t="s">
        <v>1500</v>
      </c>
      <c r="B209" s="60" t="s">
        <v>1501</v>
      </c>
      <c r="C209" s="59" t="s">
        <v>1502</v>
      </c>
      <c r="D209" s="7">
        <v>30367270</v>
      </c>
      <c r="E209" s="28"/>
      <c r="F209" s="28"/>
      <c r="G209" s="7"/>
      <c r="H209" s="7">
        <v>30367270</v>
      </c>
      <c r="I209" s="93">
        <v>0</v>
      </c>
      <c r="J209" s="93">
        <v>0</v>
      </c>
      <c r="K209" s="93">
        <v>0</v>
      </c>
      <c r="L209" s="93">
        <v>0</v>
      </c>
      <c r="M209" s="6">
        <f t="shared" si="4"/>
        <v>30367270</v>
      </c>
      <c r="N209" s="29">
        <v>43326</v>
      </c>
      <c r="O209" s="30">
        <v>43462</v>
      </c>
      <c r="P209" s="12" t="s">
        <v>1478</v>
      </c>
      <c r="Q209" s="13" t="s">
        <v>73</v>
      </c>
      <c r="R209" s="26" t="s">
        <v>1503</v>
      </c>
      <c r="S209" s="26" t="s">
        <v>1504</v>
      </c>
      <c r="T209" s="26" t="s">
        <v>1505</v>
      </c>
      <c r="U209" s="26" t="s">
        <v>1506</v>
      </c>
      <c r="V209" s="32" t="s">
        <v>1507</v>
      </c>
      <c r="W209" s="26" t="s">
        <v>28</v>
      </c>
    </row>
    <row r="210" spans="1:23" ht="84.95" hidden="1" customHeight="1" x14ac:dyDescent="0.2">
      <c r="A210" s="27" t="s">
        <v>1508</v>
      </c>
      <c r="B210" s="60" t="s">
        <v>616</v>
      </c>
      <c r="C210" s="60" t="s">
        <v>1509</v>
      </c>
      <c r="D210" s="7">
        <v>108037062</v>
      </c>
      <c r="E210" s="28">
        <v>54018531</v>
      </c>
      <c r="F210" s="28"/>
      <c r="G210" s="7"/>
      <c r="H210" s="7">
        <v>108037062</v>
      </c>
      <c r="I210" s="93">
        <v>0</v>
      </c>
      <c r="J210" s="93">
        <v>0</v>
      </c>
      <c r="K210" s="93">
        <v>0</v>
      </c>
      <c r="L210" s="93">
        <v>0</v>
      </c>
      <c r="M210" s="6">
        <f t="shared" si="4"/>
        <v>108037062</v>
      </c>
      <c r="N210" s="29">
        <v>43318</v>
      </c>
      <c r="O210" s="30">
        <v>43676</v>
      </c>
      <c r="P210" s="12" t="s">
        <v>3307</v>
      </c>
      <c r="Q210" s="13" t="s">
        <v>56</v>
      </c>
      <c r="R210" s="26" t="s">
        <v>618</v>
      </c>
      <c r="S210" s="26" t="s">
        <v>619</v>
      </c>
      <c r="T210" s="26" t="s">
        <v>1510</v>
      </c>
      <c r="U210" s="26" t="s">
        <v>1511</v>
      </c>
      <c r="V210" s="32" t="s">
        <v>622</v>
      </c>
      <c r="W210" s="26" t="s">
        <v>28</v>
      </c>
    </row>
    <row r="211" spans="1:23" ht="84.95" hidden="1" customHeight="1" x14ac:dyDescent="0.2">
      <c r="A211" s="27" t="s">
        <v>1512</v>
      </c>
      <c r="B211" s="60" t="s">
        <v>230</v>
      </c>
      <c r="C211" s="59" t="s">
        <v>1513</v>
      </c>
      <c r="D211" s="7">
        <v>18000000</v>
      </c>
      <c r="E211" s="28"/>
      <c r="F211" s="28"/>
      <c r="G211" s="7"/>
      <c r="H211" s="7">
        <v>18000000</v>
      </c>
      <c r="I211" s="93">
        <v>0</v>
      </c>
      <c r="J211" s="93">
        <v>0</v>
      </c>
      <c r="K211" s="93">
        <v>0</v>
      </c>
      <c r="L211" s="93">
        <v>0</v>
      </c>
      <c r="M211" s="6">
        <f t="shared" si="4"/>
        <v>18000000</v>
      </c>
      <c r="N211" s="29">
        <v>43315</v>
      </c>
      <c r="O211" s="30">
        <v>43465</v>
      </c>
      <c r="P211" s="12" t="s">
        <v>521</v>
      </c>
      <c r="Q211" s="13" t="s">
        <v>56</v>
      </c>
      <c r="R211" s="26" t="s">
        <v>1471</v>
      </c>
      <c r="S211" s="26" t="s">
        <v>515</v>
      </c>
      <c r="T211" s="26" t="s">
        <v>1472</v>
      </c>
      <c r="U211" s="26" t="s">
        <v>1454</v>
      </c>
      <c r="V211" s="32" t="s">
        <v>1455</v>
      </c>
      <c r="W211" s="26" t="s">
        <v>28</v>
      </c>
    </row>
    <row r="212" spans="1:23" ht="84.95" hidden="1" customHeight="1" x14ac:dyDescent="0.2">
      <c r="A212" s="27" t="s">
        <v>1514</v>
      </c>
      <c r="B212" s="60" t="s">
        <v>1515</v>
      </c>
      <c r="C212" s="59" t="s">
        <v>1513</v>
      </c>
      <c r="D212" s="7">
        <v>2000000</v>
      </c>
      <c r="E212" s="28"/>
      <c r="F212" s="28"/>
      <c r="G212" s="7"/>
      <c r="H212" s="7">
        <v>2000000</v>
      </c>
      <c r="I212" s="93">
        <v>0</v>
      </c>
      <c r="J212" s="93">
        <v>0</v>
      </c>
      <c r="K212" s="93">
        <v>0</v>
      </c>
      <c r="L212" s="93">
        <v>0</v>
      </c>
      <c r="M212" s="6">
        <f t="shared" si="4"/>
        <v>2000000</v>
      </c>
      <c r="N212" s="29">
        <v>43315</v>
      </c>
      <c r="O212" s="30">
        <v>43465</v>
      </c>
      <c r="P212" s="12" t="s">
        <v>2721</v>
      </c>
      <c r="Q212" s="13" t="s">
        <v>56</v>
      </c>
      <c r="R212" s="26" t="s">
        <v>1516</v>
      </c>
      <c r="S212" s="26" t="s">
        <v>569</v>
      </c>
      <c r="T212" s="26" t="s">
        <v>1517</v>
      </c>
      <c r="U212" s="26" t="s">
        <v>571</v>
      </c>
      <c r="V212" s="32" t="s">
        <v>572</v>
      </c>
      <c r="W212" s="26" t="s">
        <v>28</v>
      </c>
    </row>
    <row r="213" spans="1:23" ht="84.95" hidden="1" customHeight="1" x14ac:dyDescent="0.2">
      <c r="A213" s="27" t="s">
        <v>1518</v>
      </c>
      <c r="B213" s="60" t="s">
        <v>1519</v>
      </c>
      <c r="C213" s="59" t="s">
        <v>3256</v>
      </c>
      <c r="D213" s="7">
        <v>1917369</v>
      </c>
      <c r="E213" s="28"/>
      <c r="F213" s="28"/>
      <c r="G213" s="7"/>
      <c r="H213" s="7">
        <v>1917369</v>
      </c>
      <c r="I213" s="93">
        <v>0</v>
      </c>
      <c r="J213" s="93">
        <v>0</v>
      </c>
      <c r="K213" s="93">
        <v>0</v>
      </c>
      <c r="L213" s="93">
        <v>0</v>
      </c>
      <c r="M213" s="6">
        <f t="shared" si="4"/>
        <v>1917369</v>
      </c>
      <c r="N213" s="29">
        <v>43315</v>
      </c>
      <c r="O213" s="30">
        <v>43373</v>
      </c>
      <c r="P213" s="12" t="s">
        <v>171</v>
      </c>
      <c r="Q213" s="11" t="s">
        <v>32</v>
      </c>
      <c r="R213" s="26" t="s">
        <v>1520</v>
      </c>
      <c r="S213" s="26" t="s">
        <v>1521</v>
      </c>
      <c r="T213" s="26" t="s">
        <v>1522</v>
      </c>
      <c r="U213" s="26" t="s">
        <v>1523</v>
      </c>
      <c r="V213" s="32" t="s">
        <v>1524</v>
      </c>
      <c r="W213" s="26" t="s">
        <v>28</v>
      </c>
    </row>
    <row r="214" spans="1:23" ht="84.95" hidden="1" customHeight="1" x14ac:dyDescent="0.2">
      <c r="A214" s="27" t="s">
        <v>1525</v>
      </c>
      <c r="B214" s="60" t="s">
        <v>1526</v>
      </c>
      <c r="C214" s="59" t="s">
        <v>1527</v>
      </c>
      <c r="D214" s="7">
        <v>33257280</v>
      </c>
      <c r="E214" s="28"/>
      <c r="F214" s="28"/>
      <c r="G214" s="7"/>
      <c r="H214" s="7">
        <v>33257280</v>
      </c>
      <c r="I214" s="93">
        <v>0</v>
      </c>
      <c r="J214" s="93">
        <v>0</v>
      </c>
      <c r="K214" s="93">
        <v>0</v>
      </c>
      <c r="L214" s="93">
        <v>0</v>
      </c>
      <c r="M214" s="6">
        <f t="shared" si="4"/>
        <v>33257280</v>
      </c>
      <c r="N214" s="29">
        <v>43328</v>
      </c>
      <c r="O214" s="30">
        <v>43799</v>
      </c>
      <c r="P214" s="12" t="s">
        <v>3299</v>
      </c>
      <c r="Q214" s="13" t="s">
        <v>73</v>
      </c>
      <c r="R214" s="26" t="s">
        <v>1528</v>
      </c>
      <c r="S214" s="26" t="s">
        <v>1529</v>
      </c>
      <c r="T214" s="26" t="s">
        <v>1530</v>
      </c>
      <c r="U214" s="26" t="s">
        <v>1531</v>
      </c>
      <c r="V214" s="32" t="s">
        <v>1532</v>
      </c>
      <c r="W214" s="26" t="s">
        <v>1533</v>
      </c>
    </row>
    <row r="215" spans="1:23" ht="84.95" hidden="1" customHeight="1" x14ac:dyDescent="0.2">
      <c r="A215" s="27" t="s">
        <v>1534</v>
      </c>
      <c r="B215" s="60" t="s">
        <v>1535</v>
      </c>
      <c r="C215" s="59" t="s">
        <v>1536</v>
      </c>
      <c r="D215" s="7">
        <v>700000000</v>
      </c>
      <c r="E215" s="28"/>
      <c r="F215" s="28"/>
      <c r="G215" s="7"/>
      <c r="H215" s="7">
        <v>700000000</v>
      </c>
      <c r="I215" s="93">
        <v>0</v>
      </c>
      <c r="J215" s="93">
        <v>0</v>
      </c>
      <c r="K215" s="93">
        <v>0</v>
      </c>
      <c r="L215" s="93">
        <v>0</v>
      </c>
      <c r="M215" s="6">
        <f t="shared" si="4"/>
        <v>700000000</v>
      </c>
      <c r="N215" s="29">
        <v>43325</v>
      </c>
      <c r="O215" s="30">
        <v>43449</v>
      </c>
      <c r="P215" s="12" t="s">
        <v>31</v>
      </c>
      <c r="Q215" s="11" t="s">
        <v>32</v>
      </c>
      <c r="R215" s="26" t="s">
        <v>1537</v>
      </c>
      <c r="S215" s="26" t="s">
        <v>1538</v>
      </c>
      <c r="T215" s="26" t="s">
        <v>808</v>
      </c>
      <c r="U215" s="26" t="s">
        <v>809</v>
      </c>
      <c r="V215" s="32" t="s">
        <v>810</v>
      </c>
      <c r="W215" s="26" t="s">
        <v>28</v>
      </c>
    </row>
    <row r="216" spans="1:23" ht="140.25" hidden="1" customHeight="1" x14ac:dyDescent="0.2">
      <c r="A216" s="27" t="s">
        <v>1539</v>
      </c>
      <c r="B216" s="60" t="s">
        <v>1540</v>
      </c>
      <c r="C216" s="59" t="s">
        <v>1541</v>
      </c>
      <c r="D216" s="7">
        <v>2500000000</v>
      </c>
      <c r="E216" s="28"/>
      <c r="F216" s="28"/>
      <c r="G216" s="7"/>
      <c r="H216" s="7">
        <v>2500000000</v>
      </c>
      <c r="I216" s="93">
        <v>0</v>
      </c>
      <c r="J216" s="93">
        <v>0</v>
      </c>
      <c r="K216" s="93">
        <v>0</v>
      </c>
      <c r="L216" s="93">
        <v>0</v>
      </c>
      <c r="M216" s="6">
        <f t="shared" si="4"/>
        <v>2500000000</v>
      </c>
      <c r="N216" s="29">
        <v>43326</v>
      </c>
      <c r="O216" s="30">
        <v>43460</v>
      </c>
      <c r="P216" s="12" t="s">
        <v>1542</v>
      </c>
      <c r="Q216" s="13" t="s">
        <v>56</v>
      </c>
      <c r="R216" s="26" t="s">
        <v>1543</v>
      </c>
      <c r="S216" s="26" t="s">
        <v>1544</v>
      </c>
      <c r="T216" s="26" t="s">
        <v>1545</v>
      </c>
      <c r="U216" s="26" t="s">
        <v>1546</v>
      </c>
      <c r="V216" s="32" t="s">
        <v>1547</v>
      </c>
      <c r="W216" s="26" t="s">
        <v>28</v>
      </c>
    </row>
    <row r="217" spans="1:23" ht="84.95" hidden="1" customHeight="1" x14ac:dyDescent="0.2">
      <c r="A217" s="27" t="s">
        <v>1548</v>
      </c>
      <c r="B217" s="60" t="s">
        <v>1549</v>
      </c>
      <c r="C217" s="59" t="s">
        <v>1550</v>
      </c>
      <c r="D217" s="7">
        <v>13486452</v>
      </c>
      <c r="E217" s="28"/>
      <c r="F217" s="28"/>
      <c r="G217" s="7"/>
      <c r="H217" s="7">
        <v>13486452</v>
      </c>
      <c r="I217" s="93">
        <v>0</v>
      </c>
      <c r="J217" s="93">
        <v>0</v>
      </c>
      <c r="K217" s="93">
        <v>0</v>
      </c>
      <c r="L217" s="93">
        <v>0</v>
      </c>
      <c r="M217" s="6">
        <f t="shared" si="4"/>
        <v>13486452</v>
      </c>
      <c r="N217" s="29">
        <v>43326</v>
      </c>
      <c r="O217" s="30">
        <v>43449</v>
      </c>
      <c r="P217" s="12" t="s">
        <v>907</v>
      </c>
      <c r="Q217" s="11" t="s">
        <v>32</v>
      </c>
      <c r="R217" s="26" t="s">
        <v>1551</v>
      </c>
      <c r="S217" s="26" t="s">
        <v>1552</v>
      </c>
      <c r="T217" s="26" t="s">
        <v>1553</v>
      </c>
      <c r="U217" s="26" t="s">
        <v>1554</v>
      </c>
      <c r="V217" s="32" t="s">
        <v>1555</v>
      </c>
      <c r="W217" s="26" t="s">
        <v>28</v>
      </c>
    </row>
    <row r="218" spans="1:23" ht="84.95" hidden="1" customHeight="1" x14ac:dyDescent="0.2">
      <c r="A218" s="27" t="s">
        <v>1556</v>
      </c>
      <c r="B218" s="60" t="s">
        <v>1557</v>
      </c>
      <c r="C218" s="59" t="s">
        <v>1550</v>
      </c>
      <c r="D218" s="7">
        <v>190630000</v>
      </c>
      <c r="E218" s="28"/>
      <c r="F218" s="28"/>
      <c r="G218" s="7"/>
      <c r="H218" s="7">
        <v>190630000</v>
      </c>
      <c r="I218" s="93">
        <v>0</v>
      </c>
      <c r="J218" s="93">
        <v>0</v>
      </c>
      <c r="K218" s="93">
        <v>0</v>
      </c>
      <c r="L218" s="93">
        <v>0</v>
      </c>
      <c r="M218" s="6">
        <f t="shared" si="4"/>
        <v>190630000</v>
      </c>
      <c r="N218" s="29">
        <v>43326</v>
      </c>
      <c r="O218" s="30">
        <v>43449</v>
      </c>
      <c r="P218" s="12" t="s">
        <v>907</v>
      </c>
      <c r="Q218" s="11" t="s">
        <v>32</v>
      </c>
      <c r="R218" s="26" t="s">
        <v>908</v>
      </c>
      <c r="S218" s="26" t="s">
        <v>1558</v>
      </c>
      <c r="T218" s="26" t="s">
        <v>910</v>
      </c>
      <c r="U218" s="26" t="s">
        <v>911</v>
      </c>
      <c r="V218" s="32" t="s">
        <v>912</v>
      </c>
      <c r="W218" s="26" t="s">
        <v>28</v>
      </c>
    </row>
    <row r="219" spans="1:23" ht="84.95" hidden="1" customHeight="1" x14ac:dyDescent="0.2">
      <c r="A219" s="27" t="s">
        <v>1559</v>
      </c>
      <c r="B219" s="60" t="s">
        <v>1560</v>
      </c>
      <c r="C219" s="59" t="s">
        <v>1550</v>
      </c>
      <c r="D219" s="7">
        <v>128130723</v>
      </c>
      <c r="E219" s="28"/>
      <c r="F219" s="28"/>
      <c r="G219" s="7"/>
      <c r="H219" s="7">
        <v>128130723</v>
      </c>
      <c r="I219" s="93">
        <v>0</v>
      </c>
      <c r="J219" s="93">
        <v>0</v>
      </c>
      <c r="K219" s="93">
        <v>0</v>
      </c>
      <c r="L219" s="93">
        <v>0</v>
      </c>
      <c r="M219" s="6">
        <f t="shared" si="4"/>
        <v>128130723</v>
      </c>
      <c r="N219" s="29">
        <v>43326</v>
      </c>
      <c r="O219" s="30">
        <v>43449</v>
      </c>
      <c r="P219" s="12" t="s">
        <v>907</v>
      </c>
      <c r="Q219" s="11" t="s">
        <v>32</v>
      </c>
      <c r="R219" s="26" t="s">
        <v>1561</v>
      </c>
      <c r="S219" s="26" t="s">
        <v>1562</v>
      </c>
      <c r="T219" s="26" t="s">
        <v>1563</v>
      </c>
      <c r="U219" s="26" t="s">
        <v>1564</v>
      </c>
      <c r="V219" s="32" t="s">
        <v>1565</v>
      </c>
      <c r="W219" s="26" t="s">
        <v>28</v>
      </c>
    </row>
    <row r="220" spans="1:23" ht="84.95" hidden="1" customHeight="1" x14ac:dyDescent="0.2">
      <c r="A220" s="27" t="s">
        <v>1566</v>
      </c>
      <c r="B220" s="60" t="s">
        <v>1567</v>
      </c>
      <c r="C220" s="59" t="s">
        <v>1550</v>
      </c>
      <c r="D220" s="7">
        <v>11380000</v>
      </c>
      <c r="E220" s="28">
        <v>5690000</v>
      </c>
      <c r="F220" s="28"/>
      <c r="G220" s="7"/>
      <c r="H220" s="7">
        <v>11380000</v>
      </c>
      <c r="I220" s="93">
        <v>0</v>
      </c>
      <c r="J220" s="93">
        <v>0</v>
      </c>
      <c r="K220" s="93">
        <v>0</v>
      </c>
      <c r="L220" s="93">
        <v>0</v>
      </c>
      <c r="M220" s="6">
        <f t="shared" si="4"/>
        <v>11380000</v>
      </c>
      <c r="N220" s="29">
        <v>43326</v>
      </c>
      <c r="O220" s="30">
        <v>43465</v>
      </c>
      <c r="P220" s="12" t="s">
        <v>907</v>
      </c>
      <c r="Q220" s="11" t="s">
        <v>32</v>
      </c>
      <c r="R220" s="26" t="s">
        <v>1568</v>
      </c>
      <c r="S220" s="26" t="s">
        <v>1569</v>
      </c>
      <c r="T220" s="26" t="s">
        <v>1570</v>
      </c>
      <c r="U220" s="26" t="s">
        <v>1571</v>
      </c>
      <c r="V220" s="32" t="s">
        <v>1572</v>
      </c>
      <c r="W220" s="26" t="s">
        <v>28</v>
      </c>
    </row>
    <row r="221" spans="1:23" ht="84.95" hidden="1" customHeight="1" x14ac:dyDescent="0.2">
      <c r="A221" s="27" t="s">
        <v>1573</v>
      </c>
      <c r="B221" s="60" t="s">
        <v>1574</v>
      </c>
      <c r="C221" s="59" t="s">
        <v>1550</v>
      </c>
      <c r="D221" s="7">
        <v>2365000</v>
      </c>
      <c r="E221" s="28"/>
      <c r="F221" s="28"/>
      <c r="G221" s="7"/>
      <c r="H221" s="7">
        <v>2365000</v>
      </c>
      <c r="I221" s="93">
        <v>0</v>
      </c>
      <c r="J221" s="93">
        <v>0</v>
      </c>
      <c r="K221" s="93">
        <v>0</v>
      </c>
      <c r="L221" s="93">
        <v>0</v>
      </c>
      <c r="M221" s="6">
        <f t="shared" si="4"/>
        <v>2365000</v>
      </c>
      <c r="N221" s="29">
        <v>43326</v>
      </c>
      <c r="O221" s="30">
        <v>43449</v>
      </c>
      <c r="P221" s="12" t="s">
        <v>907</v>
      </c>
      <c r="Q221" s="11" t="s">
        <v>32</v>
      </c>
      <c r="R221" s="26" t="s">
        <v>1575</v>
      </c>
      <c r="S221" s="26" t="s">
        <v>1576</v>
      </c>
      <c r="T221" s="26" t="s">
        <v>1577</v>
      </c>
      <c r="U221" s="26" t="s">
        <v>1578</v>
      </c>
      <c r="V221" s="32" t="s">
        <v>1579</v>
      </c>
      <c r="W221" s="26" t="s">
        <v>28</v>
      </c>
    </row>
    <row r="222" spans="1:23" ht="84.95" hidden="1" customHeight="1" x14ac:dyDescent="0.2">
      <c r="A222" s="27" t="s">
        <v>1580</v>
      </c>
      <c r="B222" s="60" t="s">
        <v>1581</v>
      </c>
      <c r="C222" s="59" t="s">
        <v>1582</v>
      </c>
      <c r="D222" s="7">
        <v>49880000</v>
      </c>
      <c r="E222" s="28">
        <v>12921760</v>
      </c>
      <c r="F222" s="28"/>
      <c r="G222" s="7"/>
      <c r="H222" s="7">
        <v>49880000</v>
      </c>
      <c r="I222" s="93">
        <v>0</v>
      </c>
      <c r="J222" s="93">
        <v>0</v>
      </c>
      <c r="K222" s="93">
        <v>0</v>
      </c>
      <c r="L222" s="93">
        <v>0</v>
      </c>
      <c r="M222" s="6">
        <f t="shared" si="4"/>
        <v>49880000</v>
      </c>
      <c r="N222" s="29">
        <v>43334</v>
      </c>
      <c r="O222" s="30">
        <v>43465</v>
      </c>
      <c r="P222" s="12" t="s">
        <v>1583</v>
      </c>
      <c r="Q222" s="13" t="s">
        <v>73</v>
      </c>
      <c r="R222" s="26" t="s">
        <v>1584</v>
      </c>
      <c r="S222" s="26" t="s">
        <v>1585</v>
      </c>
      <c r="T222" s="26" t="s">
        <v>1586</v>
      </c>
      <c r="U222" s="26" t="s">
        <v>1587</v>
      </c>
      <c r="V222" s="32" t="s">
        <v>1588</v>
      </c>
      <c r="W222" s="26" t="s">
        <v>28</v>
      </c>
    </row>
    <row r="223" spans="1:23" ht="84.95" hidden="1" customHeight="1" x14ac:dyDescent="0.2">
      <c r="A223" s="27" t="s">
        <v>1589</v>
      </c>
      <c r="B223" s="60" t="s">
        <v>1581</v>
      </c>
      <c r="C223" s="59" t="s">
        <v>1590</v>
      </c>
      <c r="D223" s="7">
        <v>49400000</v>
      </c>
      <c r="E223" s="28"/>
      <c r="F223" s="28"/>
      <c r="G223" s="7"/>
      <c r="H223" s="7">
        <v>49400000</v>
      </c>
      <c r="I223" s="93">
        <v>0</v>
      </c>
      <c r="J223" s="93">
        <v>0</v>
      </c>
      <c r="K223" s="93">
        <v>0</v>
      </c>
      <c r="L223" s="93">
        <v>0</v>
      </c>
      <c r="M223" s="6">
        <f t="shared" si="4"/>
        <v>49400000</v>
      </c>
      <c r="N223" s="29">
        <v>43334</v>
      </c>
      <c r="O223" s="30">
        <v>43343</v>
      </c>
      <c r="P223" s="12" t="s">
        <v>1583</v>
      </c>
      <c r="Q223" s="13" t="s">
        <v>73</v>
      </c>
      <c r="R223" s="26" t="s">
        <v>1584</v>
      </c>
      <c r="S223" s="26" t="s">
        <v>1585</v>
      </c>
      <c r="T223" s="26" t="s">
        <v>1586</v>
      </c>
      <c r="U223" s="26" t="s">
        <v>1587</v>
      </c>
      <c r="V223" s="32" t="s">
        <v>1588</v>
      </c>
      <c r="W223" s="26" t="s">
        <v>28</v>
      </c>
    </row>
    <row r="224" spans="1:23" ht="84.95" hidden="1" customHeight="1" x14ac:dyDescent="0.2">
      <c r="A224" s="27" t="s">
        <v>1591</v>
      </c>
      <c r="B224" s="60" t="s">
        <v>1592</v>
      </c>
      <c r="C224" s="59" t="s">
        <v>1593</v>
      </c>
      <c r="D224" s="7">
        <v>25000000</v>
      </c>
      <c r="E224" s="28"/>
      <c r="F224" s="28"/>
      <c r="G224" s="7"/>
      <c r="H224" s="7">
        <v>25000000</v>
      </c>
      <c r="I224" s="93">
        <v>0</v>
      </c>
      <c r="J224" s="93">
        <v>0</v>
      </c>
      <c r="K224" s="93">
        <v>0</v>
      </c>
      <c r="L224" s="93">
        <v>0</v>
      </c>
      <c r="M224" s="6">
        <f t="shared" si="4"/>
        <v>25000000</v>
      </c>
      <c r="N224" s="29">
        <v>43333</v>
      </c>
      <c r="O224" s="30">
        <v>43465</v>
      </c>
      <c r="P224" s="12" t="s">
        <v>617</v>
      </c>
      <c r="Q224" s="13" t="s">
        <v>73</v>
      </c>
      <c r="R224" s="26" t="s">
        <v>1594</v>
      </c>
      <c r="S224" s="26" t="s">
        <v>1595</v>
      </c>
      <c r="T224" s="26" t="s">
        <v>1596</v>
      </c>
      <c r="U224" s="26" t="s">
        <v>1597</v>
      </c>
      <c r="V224" s="32" t="s">
        <v>1598</v>
      </c>
      <c r="W224" s="26" t="s">
        <v>28</v>
      </c>
    </row>
    <row r="225" spans="1:23" ht="84.95" hidden="1" customHeight="1" x14ac:dyDescent="0.2">
      <c r="A225" s="27" t="s">
        <v>1599</v>
      </c>
      <c r="B225" s="60" t="s">
        <v>1600</v>
      </c>
      <c r="C225" s="59" t="s">
        <v>1601</v>
      </c>
      <c r="D225" s="7">
        <v>50000000</v>
      </c>
      <c r="E225" s="28"/>
      <c r="F225" s="28"/>
      <c r="G225" s="7"/>
      <c r="H225" s="7">
        <v>50000000</v>
      </c>
      <c r="I225" s="93">
        <v>0</v>
      </c>
      <c r="J225" s="93">
        <v>0</v>
      </c>
      <c r="K225" s="93">
        <v>0</v>
      </c>
      <c r="L225" s="93">
        <v>0</v>
      </c>
      <c r="M225" s="6">
        <f t="shared" si="4"/>
        <v>50000000</v>
      </c>
      <c r="N225" s="29">
        <v>43333</v>
      </c>
      <c r="O225" s="30">
        <v>43799</v>
      </c>
      <c r="P225" s="12" t="s">
        <v>1602</v>
      </c>
      <c r="Q225" s="13" t="s">
        <v>56</v>
      </c>
      <c r="R225" s="26" t="s">
        <v>1603</v>
      </c>
      <c r="S225" s="26" t="s">
        <v>1604</v>
      </c>
      <c r="T225" s="26" t="s">
        <v>1605</v>
      </c>
      <c r="U225" s="26" t="s">
        <v>1606</v>
      </c>
      <c r="V225" s="32" t="s">
        <v>1607</v>
      </c>
      <c r="W225" s="26" t="s">
        <v>28</v>
      </c>
    </row>
    <row r="226" spans="1:23" ht="84.95" hidden="1" customHeight="1" x14ac:dyDescent="0.2">
      <c r="A226" s="27" t="s">
        <v>1608</v>
      </c>
      <c r="B226" s="60" t="s">
        <v>1609</v>
      </c>
      <c r="C226" s="59" t="s">
        <v>3274</v>
      </c>
      <c r="D226" s="7">
        <v>24890500</v>
      </c>
      <c r="E226" s="28"/>
      <c r="F226" s="28"/>
      <c r="G226" s="7"/>
      <c r="H226" s="7">
        <v>24890500</v>
      </c>
      <c r="I226" s="93">
        <v>0</v>
      </c>
      <c r="J226" s="93">
        <v>0</v>
      </c>
      <c r="K226" s="93">
        <v>0</v>
      </c>
      <c r="L226" s="93">
        <v>0</v>
      </c>
      <c r="M226" s="6">
        <f t="shared" si="4"/>
        <v>24890500</v>
      </c>
      <c r="N226" s="29">
        <v>43326</v>
      </c>
      <c r="O226" s="30">
        <v>43373</v>
      </c>
      <c r="P226" s="12" t="s">
        <v>1610</v>
      </c>
      <c r="Q226" s="13" t="s">
        <v>73</v>
      </c>
      <c r="R226" s="26" t="s">
        <v>1611</v>
      </c>
      <c r="S226" s="26" t="s">
        <v>1612</v>
      </c>
      <c r="T226" s="26" t="s">
        <v>1613</v>
      </c>
      <c r="U226" s="26" t="s">
        <v>1614</v>
      </c>
      <c r="V226" s="32" t="s">
        <v>1615</v>
      </c>
      <c r="W226" s="26" t="s">
        <v>28</v>
      </c>
    </row>
    <row r="227" spans="1:23" ht="84.95" hidden="1" customHeight="1" x14ac:dyDescent="0.2">
      <c r="A227" s="27" t="s">
        <v>1616</v>
      </c>
      <c r="B227" s="60" t="s">
        <v>1617</v>
      </c>
      <c r="C227" s="59" t="s">
        <v>1618</v>
      </c>
      <c r="D227" s="7">
        <v>50000000</v>
      </c>
      <c r="E227" s="28">
        <v>25000000</v>
      </c>
      <c r="F227" s="28"/>
      <c r="G227" s="7"/>
      <c r="H227" s="7">
        <v>50000000</v>
      </c>
      <c r="I227" s="93">
        <v>0</v>
      </c>
      <c r="J227" s="93">
        <v>0</v>
      </c>
      <c r="K227" s="93">
        <v>0</v>
      </c>
      <c r="L227" s="93">
        <v>0</v>
      </c>
      <c r="M227" s="6">
        <f t="shared" si="4"/>
        <v>50000000</v>
      </c>
      <c r="N227" s="29">
        <v>43334</v>
      </c>
      <c r="O227" s="30">
        <v>43434</v>
      </c>
      <c r="P227" s="12" t="s">
        <v>1247</v>
      </c>
      <c r="Q227" s="11" t="s">
        <v>32</v>
      </c>
      <c r="R227" s="26" t="s">
        <v>1619</v>
      </c>
      <c r="S227" s="26" t="s">
        <v>1620</v>
      </c>
      <c r="T227" s="26" t="s">
        <v>1621</v>
      </c>
      <c r="U227" s="26" t="s">
        <v>1622</v>
      </c>
      <c r="V227" s="32" t="s">
        <v>1623</v>
      </c>
      <c r="W227" s="26" t="s">
        <v>28</v>
      </c>
    </row>
    <row r="228" spans="1:23" ht="84.95" hidden="1" customHeight="1" x14ac:dyDescent="0.2">
      <c r="A228" s="27" t="s">
        <v>1624</v>
      </c>
      <c r="B228" s="60" t="s">
        <v>1625</v>
      </c>
      <c r="C228" s="59" t="s">
        <v>1626</v>
      </c>
      <c r="D228" s="7">
        <v>47600000</v>
      </c>
      <c r="E228" s="28">
        <v>11900000</v>
      </c>
      <c r="F228" s="28"/>
      <c r="G228" s="7"/>
      <c r="H228" s="7">
        <v>59500000</v>
      </c>
      <c r="I228" s="93">
        <v>0</v>
      </c>
      <c r="J228" s="93">
        <v>0</v>
      </c>
      <c r="K228" s="93">
        <v>0</v>
      </c>
      <c r="L228" s="93">
        <v>0</v>
      </c>
      <c r="M228" s="6">
        <f t="shared" si="4"/>
        <v>59500000</v>
      </c>
      <c r="N228" s="29">
        <v>43335</v>
      </c>
      <c r="O228" s="30">
        <v>43524</v>
      </c>
      <c r="P228" s="12" t="s">
        <v>1627</v>
      </c>
      <c r="Q228" s="11" t="s">
        <v>32</v>
      </c>
      <c r="R228" s="26" t="s">
        <v>1628</v>
      </c>
      <c r="S228" s="26" t="s">
        <v>1629</v>
      </c>
      <c r="T228" s="26" t="s">
        <v>1630</v>
      </c>
      <c r="U228" s="26" t="s">
        <v>1631</v>
      </c>
      <c r="V228" s="32" t="s">
        <v>1632</v>
      </c>
      <c r="W228" s="26" t="s">
        <v>28</v>
      </c>
    </row>
    <row r="229" spans="1:23" ht="111.75" hidden="1" customHeight="1" x14ac:dyDescent="0.2">
      <c r="A229" s="27" t="s">
        <v>1633</v>
      </c>
      <c r="B229" s="60" t="s">
        <v>1634</v>
      </c>
      <c r="C229" s="59" t="s">
        <v>1635</v>
      </c>
      <c r="D229" s="7">
        <v>98000000</v>
      </c>
      <c r="E229" s="28"/>
      <c r="F229" s="28"/>
      <c r="G229" s="7"/>
      <c r="H229" s="7">
        <v>98000000</v>
      </c>
      <c r="I229" s="93">
        <v>0</v>
      </c>
      <c r="J229" s="93">
        <v>0</v>
      </c>
      <c r="K229" s="93">
        <v>0</v>
      </c>
      <c r="L229" s="93">
        <v>0</v>
      </c>
      <c r="M229" s="6">
        <f t="shared" si="4"/>
        <v>98000000</v>
      </c>
      <c r="N229" s="29">
        <v>43334</v>
      </c>
      <c r="O229" s="30">
        <v>43465</v>
      </c>
      <c r="P229" s="12" t="s">
        <v>1636</v>
      </c>
      <c r="Q229" s="13" t="s">
        <v>73</v>
      </c>
      <c r="R229" s="26" t="s">
        <v>1637</v>
      </c>
      <c r="S229" s="26" t="s">
        <v>1638</v>
      </c>
      <c r="T229" s="26" t="s">
        <v>1639</v>
      </c>
      <c r="U229" s="26" t="s">
        <v>1640</v>
      </c>
      <c r="V229" s="32" t="s">
        <v>1641</v>
      </c>
      <c r="W229" s="26" t="s">
        <v>28</v>
      </c>
    </row>
    <row r="230" spans="1:23" ht="110.25" hidden="1" customHeight="1" x14ac:dyDescent="0.2">
      <c r="A230" s="27" t="s">
        <v>1642</v>
      </c>
      <c r="B230" s="60" t="s">
        <v>138</v>
      </c>
      <c r="C230" s="59" t="s">
        <v>1643</v>
      </c>
      <c r="D230" s="7">
        <v>176119800</v>
      </c>
      <c r="E230" s="28"/>
      <c r="F230" s="28"/>
      <c r="G230" s="7"/>
      <c r="H230" s="7">
        <v>176119800</v>
      </c>
      <c r="I230" s="93">
        <v>0</v>
      </c>
      <c r="J230" s="93">
        <v>0</v>
      </c>
      <c r="K230" s="93">
        <v>0</v>
      </c>
      <c r="L230" s="93">
        <v>0</v>
      </c>
      <c r="M230" s="6">
        <f t="shared" si="4"/>
        <v>176119800</v>
      </c>
      <c r="N230" s="29">
        <v>43341</v>
      </c>
      <c r="O230" s="30">
        <v>43434</v>
      </c>
      <c r="P230" s="12" t="s">
        <v>1636</v>
      </c>
      <c r="Q230" s="13" t="s">
        <v>73</v>
      </c>
      <c r="R230" s="26" t="s">
        <v>1644</v>
      </c>
      <c r="S230" s="26" t="s">
        <v>141</v>
      </c>
      <c r="T230" s="26" t="s">
        <v>1645</v>
      </c>
      <c r="U230" s="26" t="s">
        <v>143</v>
      </c>
      <c r="V230" s="32" t="s">
        <v>1646</v>
      </c>
      <c r="W230" s="26" t="s">
        <v>28</v>
      </c>
    </row>
    <row r="231" spans="1:23" ht="84.95" hidden="1" customHeight="1" x14ac:dyDescent="0.2">
      <c r="A231" s="27" t="s">
        <v>1647</v>
      </c>
      <c r="B231" s="60" t="s">
        <v>1648</v>
      </c>
      <c r="C231" s="59" t="s">
        <v>1649</v>
      </c>
      <c r="D231" s="7">
        <v>62100000</v>
      </c>
      <c r="E231" s="28"/>
      <c r="F231" s="28"/>
      <c r="G231" s="7"/>
      <c r="H231" s="7">
        <v>62100000</v>
      </c>
      <c r="I231" s="93">
        <v>0</v>
      </c>
      <c r="J231" s="93">
        <v>0</v>
      </c>
      <c r="K231" s="93">
        <v>0</v>
      </c>
      <c r="L231" s="93">
        <v>0</v>
      </c>
      <c r="M231" s="6">
        <f t="shared" si="4"/>
        <v>62100000</v>
      </c>
      <c r="N231" s="29">
        <v>43341</v>
      </c>
      <c r="O231" s="30">
        <v>43524</v>
      </c>
      <c r="P231" s="12" t="s">
        <v>426</v>
      </c>
      <c r="Q231" s="13" t="s">
        <v>73</v>
      </c>
      <c r="R231" s="26" t="s">
        <v>1650</v>
      </c>
      <c r="S231" s="26" t="s">
        <v>1651</v>
      </c>
      <c r="T231" s="26" t="s">
        <v>1652</v>
      </c>
      <c r="U231" s="26" t="s">
        <v>1653</v>
      </c>
      <c r="V231" s="32" t="s">
        <v>1654</v>
      </c>
      <c r="W231" s="26" t="s">
        <v>28</v>
      </c>
    </row>
    <row r="232" spans="1:23" ht="84.95" hidden="1" customHeight="1" x14ac:dyDescent="0.2">
      <c r="A232" s="27" t="s">
        <v>1655</v>
      </c>
      <c r="B232" s="60" t="s">
        <v>1656</v>
      </c>
      <c r="C232" s="59" t="s">
        <v>3370</v>
      </c>
      <c r="D232" s="7">
        <v>320000000</v>
      </c>
      <c r="E232" s="28"/>
      <c r="F232" s="28"/>
      <c r="G232" s="7"/>
      <c r="H232" s="7">
        <v>320000000</v>
      </c>
      <c r="I232" s="93">
        <v>0</v>
      </c>
      <c r="J232" s="93">
        <v>0</v>
      </c>
      <c r="K232" s="93">
        <v>0</v>
      </c>
      <c r="L232" s="93">
        <v>0</v>
      </c>
      <c r="M232" s="6">
        <f t="shared" si="4"/>
        <v>320000000</v>
      </c>
      <c r="N232" s="29">
        <v>43343</v>
      </c>
      <c r="O232" s="30">
        <v>43434</v>
      </c>
      <c r="P232" s="12" t="s">
        <v>892</v>
      </c>
      <c r="Q232" s="13" t="s">
        <v>73</v>
      </c>
      <c r="R232" s="26" t="s">
        <v>3371</v>
      </c>
      <c r="S232" s="26" t="s">
        <v>1011</v>
      </c>
      <c r="T232" s="26" t="s">
        <v>1012</v>
      </c>
      <c r="U232" s="26" t="s">
        <v>1013</v>
      </c>
      <c r="V232" s="32" t="s">
        <v>1014</v>
      </c>
      <c r="W232" s="26" t="s">
        <v>28</v>
      </c>
    </row>
    <row r="233" spans="1:23" ht="84.95" hidden="1" customHeight="1" x14ac:dyDescent="0.2">
      <c r="A233" s="27" t="s">
        <v>1657</v>
      </c>
      <c r="B233" s="60" t="s">
        <v>1658</v>
      </c>
      <c r="C233" s="59" t="s">
        <v>1659</v>
      </c>
      <c r="D233" s="7">
        <v>41335800</v>
      </c>
      <c r="E233" s="28"/>
      <c r="F233" s="28"/>
      <c r="G233" s="7"/>
      <c r="H233" s="7">
        <v>41335800</v>
      </c>
      <c r="I233" s="93">
        <v>0</v>
      </c>
      <c r="J233" s="93">
        <v>0</v>
      </c>
      <c r="K233" s="93">
        <v>0</v>
      </c>
      <c r="L233" s="93">
        <v>0</v>
      </c>
      <c r="M233" s="6">
        <f t="shared" si="4"/>
        <v>41335800</v>
      </c>
      <c r="N233" s="29">
        <v>43343</v>
      </c>
      <c r="O233" s="30">
        <v>43465</v>
      </c>
      <c r="P233" s="12" t="s">
        <v>1660</v>
      </c>
      <c r="Q233" s="13" t="s">
        <v>73</v>
      </c>
      <c r="R233" s="26" t="s">
        <v>1661</v>
      </c>
      <c r="S233" s="26" t="s">
        <v>1662</v>
      </c>
      <c r="T233" s="26" t="s">
        <v>1663</v>
      </c>
      <c r="U233" s="26" t="s">
        <v>1664</v>
      </c>
      <c r="V233" s="32" t="s">
        <v>1665</v>
      </c>
      <c r="W233" s="26" t="s">
        <v>1666</v>
      </c>
    </row>
    <row r="234" spans="1:23" ht="84.95" hidden="1" customHeight="1" x14ac:dyDescent="0.2">
      <c r="A234" s="27" t="s">
        <v>1667</v>
      </c>
      <c r="B234" s="60" t="s">
        <v>1668</v>
      </c>
      <c r="C234" s="59" t="s">
        <v>1669</v>
      </c>
      <c r="D234" s="7">
        <v>176000000</v>
      </c>
      <c r="E234" s="28"/>
      <c r="F234" s="28"/>
      <c r="G234" s="7"/>
      <c r="H234" s="7">
        <v>176000000</v>
      </c>
      <c r="I234" s="93">
        <v>0</v>
      </c>
      <c r="J234" s="93">
        <v>0</v>
      </c>
      <c r="K234" s="93">
        <v>0</v>
      </c>
      <c r="L234" s="93">
        <v>0</v>
      </c>
      <c r="M234" s="6">
        <f t="shared" si="4"/>
        <v>176000000</v>
      </c>
      <c r="N234" s="29">
        <v>43348</v>
      </c>
      <c r="O234" s="30">
        <v>43465</v>
      </c>
      <c r="P234" s="12" t="s">
        <v>583</v>
      </c>
      <c r="Q234" s="13" t="s">
        <v>56</v>
      </c>
      <c r="R234" s="26" t="s">
        <v>1670</v>
      </c>
      <c r="S234" s="26" t="s">
        <v>1671</v>
      </c>
      <c r="T234" s="26" t="s">
        <v>1672</v>
      </c>
      <c r="U234" s="26" t="s">
        <v>1673</v>
      </c>
      <c r="V234" s="32" t="s">
        <v>1674</v>
      </c>
      <c r="W234" s="26" t="s">
        <v>1666</v>
      </c>
    </row>
    <row r="235" spans="1:23" ht="84.95" hidden="1" customHeight="1" x14ac:dyDescent="0.2">
      <c r="A235" s="27" t="s">
        <v>1675</v>
      </c>
      <c r="B235" s="60" t="s">
        <v>1676</v>
      </c>
      <c r="C235" s="59" t="s">
        <v>1677</v>
      </c>
      <c r="D235" s="7">
        <v>9600000</v>
      </c>
      <c r="E235" s="28"/>
      <c r="F235" s="28"/>
      <c r="G235" s="7"/>
      <c r="H235" s="7">
        <v>9600000</v>
      </c>
      <c r="I235" s="93">
        <v>0</v>
      </c>
      <c r="J235" s="93">
        <v>0</v>
      </c>
      <c r="K235" s="93">
        <v>0</v>
      </c>
      <c r="L235" s="93">
        <v>0</v>
      </c>
      <c r="M235" s="6">
        <f t="shared" si="4"/>
        <v>9600000</v>
      </c>
      <c r="N235" s="29">
        <v>43347</v>
      </c>
      <c r="O235" s="30">
        <v>43465</v>
      </c>
      <c r="P235" s="12" t="s">
        <v>211</v>
      </c>
      <c r="Q235" s="13" t="s">
        <v>56</v>
      </c>
      <c r="R235" s="26" t="s">
        <v>1678</v>
      </c>
      <c r="S235" s="26" t="s">
        <v>1679</v>
      </c>
      <c r="T235" s="26" t="s">
        <v>1406</v>
      </c>
      <c r="U235" s="26" t="s">
        <v>1407</v>
      </c>
      <c r="V235" s="32" t="s">
        <v>1408</v>
      </c>
      <c r="W235" s="26" t="s">
        <v>28</v>
      </c>
    </row>
    <row r="236" spans="1:23" ht="84.95" hidden="1" customHeight="1" x14ac:dyDescent="0.2">
      <c r="A236" s="27" t="s">
        <v>1680</v>
      </c>
      <c r="B236" s="60" t="s">
        <v>1681</v>
      </c>
      <c r="C236" s="59" t="s">
        <v>1682</v>
      </c>
      <c r="D236" s="7">
        <v>22000000</v>
      </c>
      <c r="E236" s="28"/>
      <c r="F236" s="28"/>
      <c r="G236" s="7"/>
      <c r="H236" s="7">
        <v>22000000</v>
      </c>
      <c r="I236" s="93">
        <v>0</v>
      </c>
      <c r="J236" s="93">
        <v>0</v>
      </c>
      <c r="K236" s="93">
        <v>0</v>
      </c>
      <c r="L236" s="93">
        <v>0</v>
      </c>
      <c r="M236" s="6">
        <f t="shared" si="4"/>
        <v>22000000</v>
      </c>
      <c r="N236" s="29">
        <v>43347</v>
      </c>
      <c r="O236" s="30">
        <v>43465</v>
      </c>
      <c r="P236" s="12" t="s">
        <v>1683</v>
      </c>
      <c r="Q236" s="13" t="s">
        <v>73</v>
      </c>
      <c r="R236" s="26" t="s">
        <v>1684</v>
      </c>
      <c r="S236" s="26" t="s">
        <v>1685</v>
      </c>
      <c r="T236" s="26" t="s">
        <v>1686</v>
      </c>
      <c r="U236" s="26" t="s">
        <v>1687</v>
      </c>
      <c r="V236" s="32" t="s">
        <v>1688</v>
      </c>
      <c r="W236" s="26" t="s">
        <v>28</v>
      </c>
    </row>
    <row r="237" spans="1:23" ht="84.95" hidden="1" customHeight="1" x14ac:dyDescent="0.2">
      <c r="A237" s="27" t="s">
        <v>1689</v>
      </c>
      <c r="B237" s="60" t="s">
        <v>1690</v>
      </c>
      <c r="C237" s="59" t="s">
        <v>1691</v>
      </c>
      <c r="D237" s="7">
        <v>20355500</v>
      </c>
      <c r="E237" s="28"/>
      <c r="F237" s="28"/>
      <c r="G237" s="7"/>
      <c r="H237" s="7">
        <v>20355500</v>
      </c>
      <c r="I237" s="93">
        <v>0</v>
      </c>
      <c r="J237" s="93">
        <v>0</v>
      </c>
      <c r="K237" s="93">
        <v>0</v>
      </c>
      <c r="L237" s="93">
        <v>0</v>
      </c>
      <c r="M237" s="6">
        <f t="shared" si="4"/>
        <v>20355500</v>
      </c>
      <c r="N237" s="29">
        <v>43353</v>
      </c>
      <c r="O237" s="30">
        <v>43465</v>
      </c>
      <c r="P237" s="12" t="s">
        <v>575</v>
      </c>
      <c r="Q237" s="13" t="s">
        <v>73</v>
      </c>
      <c r="R237" s="26" t="s">
        <v>1692</v>
      </c>
      <c r="S237" s="26" t="s">
        <v>1693</v>
      </c>
      <c r="T237" s="26" t="s">
        <v>1694</v>
      </c>
      <c r="U237" s="26" t="s">
        <v>1695</v>
      </c>
      <c r="V237" s="32" t="s">
        <v>1696</v>
      </c>
      <c r="W237" s="26" t="s">
        <v>28</v>
      </c>
    </row>
    <row r="238" spans="1:23" ht="84.95" hidden="1" customHeight="1" x14ac:dyDescent="0.2">
      <c r="A238" s="27" t="s">
        <v>1697</v>
      </c>
      <c r="B238" s="60" t="s">
        <v>3242</v>
      </c>
      <c r="C238" s="59" t="s">
        <v>1698</v>
      </c>
      <c r="D238" s="7">
        <v>13668218</v>
      </c>
      <c r="E238" s="28"/>
      <c r="F238" s="28"/>
      <c r="G238" s="7"/>
      <c r="H238" s="7">
        <v>13668218</v>
      </c>
      <c r="I238" s="93">
        <v>0</v>
      </c>
      <c r="J238" s="93">
        <v>0</v>
      </c>
      <c r="K238" s="93">
        <v>0</v>
      </c>
      <c r="L238" s="93">
        <v>0</v>
      </c>
      <c r="M238" s="6">
        <f t="shared" si="4"/>
        <v>13668218</v>
      </c>
      <c r="N238" s="29">
        <v>43350</v>
      </c>
      <c r="O238" s="30">
        <v>43465</v>
      </c>
      <c r="P238" s="12" t="s">
        <v>3291</v>
      </c>
      <c r="Q238" s="13" t="s">
        <v>73</v>
      </c>
      <c r="R238" s="26" t="s">
        <v>1699</v>
      </c>
      <c r="S238" s="26" t="s">
        <v>1700</v>
      </c>
      <c r="T238" s="26" t="s">
        <v>1701</v>
      </c>
      <c r="U238" s="26" t="s">
        <v>1702</v>
      </c>
      <c r="V238" s="32" t="s">
        <v>1703</v>
      </c>
      <c r="W238" s="26" t="s">
        <v>28</v>
      </c>
    </row>
    <row r="239" spans="1:23" ht="84.95" hidden="1" customHeight="1" x14ac:dyDescent="0.2">
      <c r="A239" s="27" t="s">
        <v>1704</v>
      </c>
      <c r="B239" s="60" t="s">
        <v>812</v>
      </c>
      <c r="C239" s="59" t="s">
        <v>3230</v>
      </c>
      <c r="D239" s="7">
        <v>24000000</v>
      </c>
      <c r="E239" s="28"/>
      <c r="F239" s="28"/>
      <c r="G239" s="7"/>
      <c r="H239" s="7">
        <v>24000000</v>
      </c>
      <c r="I239" s="93">
        <v>0</v>
      </c>
      <c r="J239" s="93">
        <v>0</v>
      </c>
      <c r="K239" s="93">
        <v>0</v>
      </c>
      <c r="L239" s="93">
        <v>0</v>
      </c>
      <c r="M239" s="6">
        <f t="shared" si="4"/>
        <v>24000000</v>
      </c>
      <c r="N239" s="29">
        <v>43353</v>
      </c>
      <c r="O239" s="30">
        <v>43465</v>
      </c>
      <c r="P239" s="12" t="s">
        <v>892</v>
      </c>
      <c r="Q239" s="13" t="s">
        <v>73</v>
      </c>
      <c r="R239" s="26" t="s">
        <v>813</v>
      </c>
      <c r="S239" s="26" t="s">
        <v>814</v>
      </c>
      <c r="T239" s="26" t="s">
        <v>1705</v>
      </c>
      <c r="U239" s="26" t="s">
        <v>816</v>
      </c>
      <c r="V239" s="32" t="s">
        <v>817</v>
      </c>
      <c r="W239" s="26" t="s">
        <v>28</v>
      </c>
    </row>
    <row r="240" spans="1:23" ht="84.95" hidden="1" customHeight="1" x14ac:dyDescent="0.2">
      <c r="A240" s="27" t="s">
        <v>1706</v>
      </c>
      <c r="B240" s="60" t="s">
        <v>1707</v>
      </c>
      <c r="C240" s="59" t="s">
        <v>3257</v>
      </c>
      <c r="D240" s="7">
        <v>11500000</v>
      </c>
      <c r="E240" s="28"/>
      <c r="F240" s="28"/>
      <c r="G240" s="7"/>
      <c r="H240" s="7">
        <v>11500000</v>
      </c>
      <c r="I240" s="93">
        <v>0</v>
      </c>
      <c r="J240" s="93">
        <v>0</v>
      </c>
      <c r="K240" s="93">
        <v>0</v>
      </c>
      <c r="L240" s="93">
        <v>0</v>
      </c>
      <c r="M240" s="6">
        <f t="shared" si="4"/>
        <v>11500000</v>
      </c>
      <c r="N240" s="29">
        <v>43354</v>
      </c>
      <c r="O240" s="30">
        <v>43404</v>
      </c>
      <c r="P240" s="12" t="s">
        <v>3292</v>
      </c>
      <c r="Q240" s="13" t="s">
        <v>73</v>
      </c>
      <c r="R240" s="26" t="s">
        <v>1708</v>
      </c>
      <c r="S240" s="26" t="s">
        <v>1709</v>
      </c>
      <c r="T240" s="26" t="s">
        <v>1710</v>
      </c>
      <c r="U240" s="26" t="s">
        <v>1711</v>
      </c>
      <c r="V240" s="32" t="s">
        <v>1712</v>
      </c>
      <c r="W240" s="26" t="s">
        <v>28</v>
      </c>
    </row>
    <row r="241" spans="1:23" ht="84.95" hidden="1" customHeight="1" x14ac:dyDescent="0.2">
      <c r="A241" s="27" t="s">
        <v>1713</v>
      </c>
      <c r="B241" s="60" t="s">
        <v>1714</v>
      </c>
      <c r="C241" s="59" t="s">
        <v>1715</v>
      </c>
      <c r="D241" s="7">
        <v>44800000</v>
      </c>
      <c r="E241" s="28">
        <v>22000000</v>
      </c>
      <c r="F241" s="28"/>
      <c r="G241" s="7"/>
      <c r="H241" s="7">
        <v>44800000</v>
      </c>
      <c r="I241" s="93">
        <v>0</v>
      </c>
      <c r="J241" s="93">
        <v>0</v>
      </c>
      <c r="K241" s="93">
        <v>0</v>
      </c>
      <c r="L241" s="93">
        <v>0</v>
      </c>
      <c r="M241" s="6">
        <f t="shared" si="4"/>
        <v>44800000</v>
      </c>
      <c r="N241" s="29">
        <v>43354</v>
      </c>
      <c r="O241" s="30">
        <v>43465</v>
      </c>
      <c r="P241" s="12" t="s">
        <v>1716</v>
      </c>
      <c r="Q241" s="13" t="s">
        <v>73</v>
      </c>
      <c r="R241" s="26" t="s">
        <v>1717</v>
      </c>
      <c r="S241" s="26" t="s">
        <v>1718</v>
      </c>
      <c r="T241" s="26" t="s">
        <v>1719</v>
      </c>
      <c r="U241" s="26" t="s">
        <v>1720</v>
      </c>
      <c r="V241" s="32" t="s">
        <v>1721</v>
      </c>
      <c r="W241" s="26" t="s">
        <v>28</v>
      </c>
    </row>
    <row r="242" spans="1:23" ht="84.95" hidden="1" customHeight="1" x14ac:dyDescent="0.2">
      <c r="A242" s="27" t="s">
        <v>1722</v>
      </c>
      <c r="B242" s="60" t="s">
        <v>433</v>
      </c>
      <c r="C242" s="59" t="s">
        <v>1723</v>
      </c>
      <c r="D242" s="7">
        <v>28368000</v>
      </c>
      <c r="E242" s="28"/>
      <c r="F242" s="28"/>
      <c r="G242" s="7"/>
      <c r="H242" s="7">
        <v>28368000</v>
      </c>
      <c r="I242" s="93">
        <v>0</v>
      </c>
      <c r="J242" s="93">
        <v>0</v>
      </c>
      <c r="K242" s="93">
        <v>0</v>
      </c>
      <c r="L242" s="93">
        <v>0</v>
      </c>
      <c r="M242" s="6">
        <f t="shared" si="4"/>
        <v>28368000</v>
      </c>
      <c r="N242" s="29">
        <v>43354</v>
      </c>
      <c r="O242" s="30">
        <v>43465</v>
      </c>
      <c r="P242" s="12" t="s">
        <v>907</v>
      </c>
      <c r="Q242" s="11" t="s">
        <v>32</v>
      </c>
      <c r="R242" s="26" t="s">
        <v>1724</v>
      </c>
      <c r="S242" s="26" t="s">
        <v>435</v>
      </c>
      <c r="T242" s="26" t="s">
        <v>1725</v>
      </c>
      <c r="U242" s="26" t="s">
        <v>437</v>
      </c>
      <c r="V242" s="32" t="s">
        <v>438</v>
      </c>
      <c r="W242" s="26" t="s">
        <v>281</v>
      </c>
    </row>
    <row r="243" spans="1:23" ht="84.95" hidden="1" customHeight="1" x14ac:dyDescent="0.2">
      <c r="A243" s="27" t="s">
        <v>1726</v>
      </c>
      <c r="B243" s="60" t="s">
        <v>1727</v>
      </c>
      <c r="C243" s="59" t="s">
        <v>1728</v>
      </c>
      <c r="D243" s="7">
        <v>40950000</v>
      </c>
      <c r="E243" s="28"/>
      <c r="F243" s="28"/>
      <c r="G243" s="7"/>
      <c r="H243" s="7">
        <v>40950000</v>
      </c>
      <c r="I243" s="93">
        <v>0</v>
      </c>
      <c r="J243" s="93">
        <v>0</v>
      </c>
      <c r="K243" s="93">
        <v>0</v>
      </c>
      <c r="L243" s="93">
        <v>0</v>
      </c>
      <c r="M243" s="6">
        <f t="shared" si="4"/>
        <v>40950000</v>
      </c>
      <c r="N243" s="29">
        <v>43354</v>
      </c>
      <c r="O243" s="30">
        <v>43465</v>
      </c>
      <c r="P243" s="12" t="s">
        <v>1276</v>
      </c>
      <c r="Q243" s="13" t="s">
        <v>1277</v>
      </c>
      <c r="R243" s="60" t="s">
        <v>1729</v>
      </c>
      <c r="S243" s="26" t="s">
        <v>1730</v>
      </c>
      <c r="T243" s="26" t="s">
        <v>1731</v>
      </c>
      <c r="U243" s="26" t="s">
        <v>1732</v>
      </c>
      <c r="V243" s="32" t="s">
        <v>1733</v>
      </c>
      <c r="W243" s="26" t="s">
        <v>28</v>
      </c>
    </row>
    <row r="244" spans="1:23" ht="110.25" hidden="1" customHeight="1" x14ac:dyDescent="0.2">
      <c r="A244" s="27" t="s">
        <v>1734</v>
      </c>
      <c r="B244" s="60" t="s">
        <v>1735</v>
      </c>
      <c r="C244" s="59" t="s">
        <v>1736</v>
      </c>
      <c r="D244" s="7">
        <v>131220000</v>
      </c>
      <c r="E244" s="28"/>
      <c r="F244" s="28"/>
      <c r="G244" s="7"/>
      <c r="H244" s="7">
        <v>131220000</v>
      </c>
      <c r="I244" s="93">
        <v>0</v>
      </c>
      <c r="J244" s="93">
        <v>0</v>
      </c>
      <c r="K244" s="93">
        <v>0</v>
      </c>
      <c r="L244" s="93">
        <v>0</v>
      </c>
      <c r="M244" s="6">
        <f t="shared" si="4"/>
        <v>131220000</v>
      </c>
      <c r="N244" s="29">
        <v>43361</v>
      </c>
      <c r="O244" s="30">
        <v>43449</v>
      </c>
      <c r="P244" s="12" t="s">
        <v>1737</v>
      </c>
      <c r="Q244" s="11" t="s">
        <v>32</v>
      </c>
      <c r="R244" s="26" t="s">
        <v>1738</v>
      </c>
      <c r="S244" s="26" t="s">
        <v>1739</v>
      </c>
      <c r="T244" s="26" t="s">
        <v>1740</v>
      </c>
      <c r="U244" s="26" t="s">
        <v>1741</v>
      </c>
      <c r="V244" s="32" t="s">
        <v>1742</v>
      </c>
      <c r="W244" s="26" t="s">
        <v>28</v>
      </c>
    </row>
    <row r="245" spans="1:23" ht="103.5" hidden="1" customHeight="1" x14ac:dyDescent="0.2">
      <c r="A245" s="27" t="s">
        <v>1743</v>
      </c>
      <c r="B245" s="60" t="s">
        <v>1560</v>
      </c>
      <c r="C245" s="59" t="s">
        <v>1736</v>
      </c>
      <c r="D245" s="7">
        <v>134520000</v>
      </c>
      <c r="E245" s="28"/>
      <c r="F245" s="28"/>
      <c r="G245" s="7"/>
      <c r="H245" s="7">
        <v>134520000</v>
      </c>
      <c r="I245" s="93">
        <v>0</v>
      </c>
      <c r="J245" s="93">
        <v>0</v>
      </c>
      <c r="K245" s="93">
        <v>0</v>
      </c>
      <c r="L245" s="93">
        <v>0</v>
      </c>
      <c r="M245" s="6">
        <f t="shared" si="4"/>
        <v>134520000</v>
      </c>
      <c r="N245" s="29">
        <v>43362</v>
      </c>
      <c r="O245" s="30">
        <v>43449</v>
      </c>
      <c r="P245" s="12" t="s">
        <v>1737</v>
      </c>
      <c r="Q245" s="11" t="s">
        <v>32</v>
      </c>
      <c r="R245" s="26" t="s">
        <v>1561</v>
      </c>
      <c r="S245" s="26" t="s">
        <v>1562</v>
      </c>
      <c r="T245" s="26" t="s">
        <v>1563</v>
      </c>
      <c r="U245" s="26" t="s">
        <v>1564</v>
      </c>
      <c r="V245" s="32" t="s">
        <v>1565</v>
      </c>
      <c r="W245" s="26" t="s">
        <v>28</v>
      </c>
    </row>
    <row r="246" spans="1:23" ht="110.25" hidden="1" customHeight="1" x14ac:dyDescent="0.2">
      <c r="A246" s="27" t="s">
        <v>1744</v>
      </c>
      <c r="B246" s="60" t="s">
        <v>1745</v>
      </c>
      <c r="C246" s="59" t="s">
        <v>1736</v>
      </c>
      <c r="D246" s="7">
        <v>55000000</v>
      </c>
      <c r="E246" s="28"/>
      <c r="F246" s="28"/>
      <c r="G246" s="7"/>
      <c r="H246" s="7">
        <v>55000000</v>
      </c>
      <c r="I246" s="93">
        <v>0</v>
      </c>
      <c r="J246" s="93">
        <v>0</v>
      </c>
      <c r="K246" s="93">
        <v>0</v>
      </c>
      <c r="L246" s="93">
        <v>0</v>
      </c>
      <c r="M246" s="6">
        <f t="shared" si="4"/>
        <v>55000000</v>
      </c>
      <c r="N246" s="29">
        <v>43362</v>
      </c>
      <c r="O246" s="30">
        <v>43449</v>
      </c>
      <c r="P246" s="12" t="s">
        <v>1737</v>
      </c>
      <c r="Q246" s="11" t="s">
        <v>32</v>
      </c>
      <c r="R246" s="26" t="s">
        <v>1746</v>
      </c>
      <c r="S246" s="26" t="s">
        <v>1747</v>
      </c>
      <c r="T246" s="26" t="s">
        <v>1748</v>
      </c>
      <c r="U246" s="26" t="s">
        <v>1749</v>
      </c>
      <c r="V246" s="32" t="s">
        <v>1750</v>
      </c>
      <c r="W246" s="26" t="s">
        <v>28</v>
      </c>
    </row>
    <row r="247" spans="1:23" ht="99.75" hidden="1" customHeight="1" x14ac:dyDescent="0.2">
      <c r="A247" s="27" t="s">
        <v>1751</v>
      </c>
      <c r="B247" s="60" t="s">
        <v>1752</v>
      </c>
      <c r="C247" s="59" t="s">
        <v>1736</v>
      </c>
      <c r="D247" s="7">
        <v>123500000</v>
      </c>
      <c r="E247" s="28"/>
      <c r="F247" s="28"/>
      <c r="G247" s="7"/>
      <c r="H247" s="7">
        <v>123500000</v>
      </c>
      <c r="I247" s="93">
        <v>0</v>
      </c>
      <c r="J247" s="93">
        <v>0</v>
      </c>
      <c r="K247" s="93">
        <v>0</v>
      </c>
      <c r="L247" s="93">
        <v>0</v>
      </c>
      <c r="M247" s="6">
        <f t="shared" si="4"/>
        <v>123500000</v>
      </c>
      <c r="N247" s="29">
        <v>43362</v>
      </c>
      <c r="O247" s="30">
        <v>43449</v>
      </c>
      <c r="P247" s="12" t="s">
        <v>1737</v>
      </c>
      <c r="Q247" s="11" t="s">
        <v>32</v>
      </c>
      <c r="R247" s="26" t="s">
        <v>1753</v>
      </c>
      <c r="S247" s="26" t="s">
        <v>1754</v>
      </c>
      <c r="T247" s="26" t="s">
        <v>1755</v>
      </c>
      <c r="U247" s="26">
        <v>3565641</v>
      </c>
      <c r="V247" s="32" t="s">
        <v>1756</v>
      </c>
      <c r="W247" s="26" t="s">
        <v>1757</v>
      </c>
    </row>
    <row r="248" spans="1:23" ht="84.95" hidden="1" customHeight="1" x14ac:dyDescent="0.2">
      <c r="A248" s="27" t="s">
        <v>1758</v>
      </c>
      <c r="B248" s="60" t="s">
        <v>1574</v>
      </c>
      <c r="C248" s="59" t="s">
        <v>1759</v>
      </c>
      <c r="D248" s="7">
        <v>30000000</v>
      </c>
      <c r="E248" s="28"/>
      <c r="F248" s="28"/>
      <c r="G248" s="7"/>
      <c r="H248" s="7">
        <v>30000000</v>
      </c>
      <c r="I248" s="93">
        <v>0</v>
      </c>
      <c r="J248" s="93">
        <v>0</v>
      </c>
      <c r="K248" s="93">
        <v>0</v>
      </c>
      <c r="L248" s="93">
        <v>0</v>
      </c>
      <c r="M248" s="6">
        <f t="shared" si="4"/>
        <v>30000000</v>
      </c>
      <c r="N248" s="29">
        <v>43362</v>
      </c>
      <c r="O248" s="30">
        <v>43465</v>
      </c>
      <c r="P248" s="12" t="s">
        <v>1760</v>
      </c>
      <c r="Q248" s="13" t="s">
        <v>56</v>
      </c>
      <c r="R248" s="26" t="s">
        <v>1575</v>
      </c>
      <c r="S248" s="26" t="s">
        <v>1576</v>
      </c>
      <c r="T248" s="26" t="s">
        <v>1577</v>
      </c>
      <c r="U248" s="26" t="s">
        <v>1761</v>
      </c>
      <c r="V248" s="32" t="s">
        <v>1579</v>
      </c>
      <c r="W248" s="26" t="s">
        <v>264</v>
      </c>
    </row>
    <row r="249" spans="1:23" ht="84.95" hidden="1" customHeight="1" x14ac:dyDescent="0.2">
      <c r="A249" s="27" t="s">
        <v>1762</v>
      </c>
      <c r="B249" s="60" t="s">
        <v>1763</v>
      </c>
      <c r="C249" s="59" t="s">
        <v>3235</v>
      </c>
      <c r="D249" s="7">
        <v>10052540</v>
      </c>
      <c r="E249" s="28"/>
      <c r="F249" s="28"/>
      <c r="G249" s="7"/>
      <c r="H249" s="7">
        <v>10052540</v>
      </c>
      <c r="I249" s="93">
        <v>0</v>
      </c>
      <c r="J249" s="93">
        <v>0</v>
      </c>
      <c r="K249" s="93">
        <v>0</v>
      </c>
      <c r="L249" s="93">
        <v>0</v>
      </c>
      <c r="M249" s="6">
        <f t="shared" si="4"/>
        <v>10052540</v>
      </c>
      <c r="N249" s="29">
        <v>43363</v>
      </c>
      <c r="O249" s="30">
        <v>43404</v>
      </c>
      <c r="P249" s="12" t="s">
        <v>1764</v>
      </c>
      <c r="Q249" s="13" t="s">
        <v>56</v>
      </c>
      <c r="R249" s="26" t="s">
        <v>1765</v>
      </c>
      <c r="S249" s="26" t="s">
        <v>1766</v>
      </c>
      <c r="T249" s="26" t="s">
        <v>1767</v>
      </c>
      <c r="U249" s="26" t="s">
        <v>1768</v>
      </c>
      <c r="V249" s="32" t="s">
        <v>1769</v>
      </c>
      <c r="W249" s="26" t="s">
        <v>28</v>
      </c>
    </row>
    <row r="250" spans="1:23" ht="84.95" hidden="1" customHeight="1" x14ac:dyDescent="0.2">
      <c r="A250" s="27" t="s">
        <v>1770</v>
      </c>
      <c r="B250" s="60" t="s">
        <v>1771</v>
      </c>
      <c r="C250" s="59" t="s">
        <v>1772</v>
      </c>
      <c r="D250" s="7">
        <v>707588879</v>
      </c>
      <c r="E250" s="28"/>
      <c r="F250" s="28"/>
      <c r="G250" s="7"/>
      <c r="H250" s="7">
        <v>707588879</v>
      </c>
      <c r="I250" s="93">
        <v>0</v>
      </c>
      <c r="J250" s="93">
        <v>0</v>
      </c>
      <c r="K250" s="93">
        <v>0</v>
      </c>
      <c r="L250" s="93">
        <v>0</v>
      </c>
      <c r="M250" s="6">
        <f t="shared" si="4"/>
        <v>707588879</v>
      </c>
      <c r="N250" s="29">
        <v>43367</v>
      </c>
      <c r="O250" s="30">
        <v>43434</v>
      </c>
      <c r="P250" s="12" t="s">
        <v>1773</v>
      </c>
      <c r="Q250" s="13" t="s">
        <v>73</v>
      </c>
      <c r="R250" s="26" t="s">
        <v>1774</v>
      </c>
      <c r="S250" s="26" t="s">
        <v>1775</v>
      </c>
      <c r="T250" s="26" t="s">
        <v>1776</v>
      </c>
      <c r="U250" s="26" t="s">
        <v>1777</v>
      </c>
      <c r="V250" s="32" t="s">
        <v>1778</v>
      </c>
      <c r="W250" s="26" t="s">
        <v>28</v>
      </c>
    </row>
    <row r="251" spans="1:23" ht="84.95" hidden="1" customHeight="1" x14ac:dyDescent="0.2">
      <c r="A251" s="27" t="s">
        <v>1779</v>
      </c>
      <c r="B251" s="60" t="s">
        <v>1780</v>
      </c>
      <c r="C251" s="59" t="s">
        <v>1781</v>
      </c>
      <c r="D251" s="7">
        <v>50000000</v>
      </c>
      <c r="E251" s="28"/>
      <c r="F251" s="28"/>
      <c r="G251" s="7"/>
      <c r="H251" s="7">
        <v>50000000</v>
      </c>
      <c r="I251" s="93">
        <v>0</v>
      </c>
      <c r="J251" s="93">
        <v>0</v>
      </c>
      <c r="K251" s="93">
        <v>0</v>
      </c>
      <c r="L251" s="93">
        <v>0</v>
      </c>
      <c r="M251" s="6">
        <f t="shared" si="4"/>
        <v>50000000</v>
      </c>
      <c r="N251" s="29">
        <v>43369</v>
      </c>
      <c r="O251" s="30">
        <v>43404</v>
      </c>
      <c r="P251" s="12" t="s">
        <v>31</v>
      </c>
      <c r="Q251" s="11" t="s">
        <v>32</v>
      </c>
      <c r="R251" s="26" t="s">
        <v>1782</v>
      </c>
      <c r="S251" s="26" t="s">
        <v>1783</v>
      </c>
      <c r="T251" s="26" t="s">
        <v>1784</v>
      </c>
      <c r="U251" s="26" t="s">
        <v>1785</v>
      </c>
      <c r="V251" s="32" t="s">
        <v>1786</v>
      </c>
      <c r="W251" s="26" t="s">
        <v>1787</v>
      </c>
    </row>
    <row r="252" spans="1:23" ht="84.95" hidden="1" customHeight="1" x14ac:dyDescent="0.2">
      <c r="A252" s="27" t="s">
        <v>1788</v>
      </c>
      <c r="B252" s="60" t="s">
        <v>1789</v>
      </c>
      <c r="C252" s="59" t="s">
        <v>1790</v>
      </c>
      <c r="D252" s="7">
        <v>30305000</v>
      </c>
      <c r="E252" s="28"/>
      <c r="F252" s="28"/>
      <c r="G252" s="7"/>
      <c r="H252" s="7">
        <v>30305000</v>
      </c>
      <c r="I252" s="93">
        <v>0</v>
      </c>
      <c r="J252" s="93">
        <v>0</v>
      </c>
      <c r="K252" s="93">
        <v>0</v>
      </c>
      <c r="L252" s="93">
        <v>0</v>
      </c>
      <c r="M252" s="6">
        <f t="shared" si="4"/>
        <v>30305000</v>
      </c>
      <c r="N252" s="29">
        <v>43369</v>
      </c>
      <c r="O252" s="30">
        <v>43459</v>
      </c>
      <c r="P252" s="12" t="s">
        <v>1791</v>
      </c>
      <c r="Q252" s="13" t="s">
        <v>73</v>
      </c>
      <c r="R252" s="26" t="s">
        <v>1792</v>
      </c>
      <c r="S252" s="26" t="s">
        <v>1793</v>
      </c>
      <c r="T252" s="26" t="s">
        <v>1794</v>
      </c>
      <c r="U252" s="26" t="s">
        <v>1795</v>
      </c>
      <c r="V252" s="32" t="s">
        <v>1796</v>
      </c>
      <c r="W252" s="26" t="s">
        <v>28</v>
      </c>
    </row>
    <row r="253" spans="1:23" ht="84.95" hidden="1" customHeight="1" x14ac:dyDescent="0.2">
      <c r="A253" s="27" t="s">
        <v>1797</v>
      </c>
      <c r="B253" s="60" t="s">
        <v>1798</v>
      </c>
      <c r="C253" s="59" t="s">
        <v>1799</v>
      </c>
      <c r="D253" s="7">
        <v>50000000</v>
      </c>
      <c r="E253" s="28">
        <v>25000000</v>
      </c>
      <c r="F253" s="28"/>
      <c r="G253" s="7"/>
      <c r="H253" s="7">
        <v>75000000</v>
      </c>
      <c r="I253" s="93">
        <v>0</v>
      </c>
      <c r="J253" s="93">
        <v>0</v>
      </c>
      <c r="K253" s="93">
        <v>0</v>
      </c>
      <c r="L253" s="93">
        <v>0</v>
      </c>
      <c r="M253" s="6">
        <f t="shared" si="4"/>
        <v>75000000</v>
      </c>
      <c r="N253" s="29">
        <v>43369</v>
      </c>
      <c r="O253" s="30">
        <v>43496</v>
      </c>
      <c r="P253" s="12" t="s">
        <v>1627</v>
      </c>
      <c r="Q253" s="11" t="s">
        <v>32</v>
      </c>
      <c r="R253" s="26" t="s">
        <v>1800</v>
      </c>
      <c r="S253" s="26" t="s">
        <v>1801</v>
      </c>
      <c r="T253" s="26" t="s">
        <v>1802</v>
      </c>
      <c r="U253" s="26" t="s">
        <v>1803</v>
      </c>
      <c r="V253" s="32" t="s">
        <v>1804</v>
      </c>
      <c r="W253" s="26" t="s">
        <v>28</v>
      </c>
    </row>
    <row r="254" spans="1:23" ht="84.95" hidden="1" customHeight="1" x14ac:dyDescent="0.2">
      <c r="A254" s="27" t="s">
        <v>1805</v>
      </c>
      <c r="B254" s="60" t="s">
        <v>1806</v>
      </c>
      <c r="C254" s="59" t="s">
        <v>1807</v>
      </c>
      <c r="D254" s="7">
        <v>38000000</v>
      </c>
      <c r="E254" s="28"/>
      <c r="F254" s="28"/>
      <c r="G254" s="7"/>
      <c r="H254" s="7">
        <v>38000000</v>
      </c>
      <c r="I254" s="93">
        <v>0</v>
      </c>
      <c r="J254" s="93">
        <v>0</v>
      </c>
      <c r="K254" s="93">
        <v>0</v>
      </c>
      <c r="L254" s="93">
        <v>0</v>
      </c>
      <c r="M254" s="6">
        <f t="shared" si="4"/>
        <v>38000000</v>
      </c>
      <c r="N254" s="29">
        <v>43369</v>
      </c>
      <c r="O254" s="30">
        <v>43465</v>
      </c>
      <c r="P254" s="12" t="s">
        <v>1808</v>
      </c>
      <c r="Q254" s="11" t="s">
        <v>32</v>
      </c>
      <c r="R254" s="26" t="s">
        <v>1809</v>
      </c>
      <c r="S254" s="26" t="s">
        <v>1810</v>
      </c>
      <c r="T254" s="26" t="s">
        <v>1811</v>
      </c>
      <c r="U254" s="26" t="s">
        <v>1812</v>
      </c>
      <c r="V254" s="32" t="s">
        <v>1813</v>
      </c>
      <c r="W254" s="26" t="s">
        <v>28</v>
      </c>
    </row>
    <row r="255" spans="1:23" ht="105.75" hidden="1" customHeight="1" x14ac:dyDescent="0.2">
      <c r="A255" s="27" t="s">
        <v>1814</v>
      </c>
      <c r="B255" s="60" t="s">
        <v>1476</v>
      </c>
      <c r="C255" s="59" t="s">
        <v>1815</v>
      </c>
      <c r="D255" s="7">
        <v>42224441</v>
      </c>
      <c r="E255" s="28"/>
      <c r="F255" s="28"/>
      <c r="G255" s="7"/>
      <c r="H255" s="7">
        <v>42224441</v>
      </c>
      <c r="I255" s="93">
        <v>0</v>
      </c>
      <c r="J255" s="93">
        <v>0</v>
      </c>
      <c r="K255" s="93">
        <v>0</v>
      </c>
      <c r="L255" s="93">
        <v>0</v>
      </c>
      <c r="M255" s="6">
        <f t="shared" si="4"/>
        <v>42224441</v>
      </c>
      <c r="N255" s="29">
        <v>43370</v>
      </c>
      <c r="O255" s="30">
        <v>43434</v>
      </c>
      <c r="P255" s="12" t="s">
        <v>1773</v>
      </c>
      <c r="Q255" s="13" t="s">
        <v>73</v>
      </c>
      <c r="R255" s="26" t="s">
        <v>1476</v>
      </c>
      <c r="S255" s="26" t="s">
        <v>1479</v>
      </c>
      <c r="T255" s="26" t="s">
        <v>1480</v>
      </c>
      <c r="U255" s="26" t="s">
        <v>1481</v>
      </c>
      <c r="V255" s="32" t="s">
        <v>1482</v>
      </c>
      <c r="W255" s="26" t="s">
        <v>28</v>
      </c>
    </row>
    <row r="256" spans="1:23" ht="84.95" hidden="1" customHeight="1" x14ac:dyDescent="0.2">
      <c r="A256" s="27" t="s">
        <v>1816</v>
      </c>
      <c r="B256" s="60" t="s">
        <v>465</v>
      </c>
      <c r="C256" s="59" t="s">
        <v>1817</v>
      </c>
      <c r="D256" s="7">
        <v>27189120</v>
      </c>
      <c r="E256" s="28"/>
      <c r="F256" s="28"/>
      <c r="G256" s="7"/>
      <c r="H256" s="7">
        <v>27189120</v>
      </c>
      <c r="I256" s="93">
        <v>0</v>
      </c>
      <c r="J256" s="93">
        <v>0</v>
      </c>
      <c r="K256" s="93">
        <v>0</v>
      </c>
      <c r="L256" s="93">
        <v>0</v>
      </c>
      <c r="M256" s="6">
        <f t="shared" si="4"/>
        <v>27189120</v>
      </c>
      <c r="N256" s="29">
        <v>43371</v>
      </c>
      <c r="O256" s="30">
        <v>43465</v>
      </c>
      <c r="P256" s="12" t="s">
        <v>1818</v>
      </c>
      <c r="Q256" s="11" t="s">
        <v>32</v>
      </c>
      <c r="R256" s="26" t="s">
        <v>466</v>
      </c>
      <c r="S256" s="26" t="s">
        <v>467</v>
      </c>
      <c r="T256" s="26" t="s">
        <v>1819</v>
      </c>
      <c r="U256" s="26" t="s">
        <v>469</v>
      </c>
      <c r="V256" s="32" t="s">
        <v>1820</v>
      </c>
      <c r="W256" s="26" t="s">
        <v>28</v>
      </c>
    </row>
    <row r="257" spans="1:23" ht="84.95" hidden="1" customHeight="1" x14ac:dyDescent="0.2">
      <c r="A257" s="27" t="s">
        <v>1821</v>
      </c>
      <c r="B257" s="60" t="s">
        <v>1822</v>
      </c>
      <c r="C257" s="59" t="s">
        <v>3258</v>
      </c>
      <c r="D257" s="7">
        <v>50000000</v>
      </c>
      <c r="E257" s="28"/>
      <c r="F257" s="28"/>
      <c r="G257" s="7"/>
      <c r="H257" s="7">
        <v>50000000</v>
      </c>
      <c r="I257" s="93">
        <v>0</v>
      </c>
      <c r="J257" s="93">
        <v>0</v>
      </c>
      <c r="K257" s="93">
        <v>0</v>
      </c>
      <c r="L257" s="93">
        <v>0</v>
      </c>
      <c r="M257" s="6">
        <f t="shared" si="4"/>
        <v>50000000</v>
      </c>
      <c r="N257" s="29">
        <v>43374</v>
      </c>
      <c r="O257" s="30">
        <v>43404</v>
      </c>
      <c r="P257" s="12" t="s">
        <v>1823</v>
      </c>
      <c r="Q257" s="13" t="s">
        <v>73</v>
      </c>
      <c r="R257" s="26" t="s">
        <v>1824</v>
      </c>
      <c r="S257" s="26" t="s">
        <v>1825</v>
      </c>
      <c r="T257" s="26" t="s">
        <v>1826</v>
      </c>
      <c r="U257" s="26" t="s">
        <v>1827</v>
      </c>
      <c r="V257" s="32" t="s">
        <v>1828</v>
      </c>
      <c r="W257" s="26" t="s">
        <v>1666</v>
      </c>
    </row>
    <row r="258" spans="1:23" ht="84.95" hidden="1" customHeight="1" x14ac:dyDescent="0.2">
      <c r="A258" s="27" t="s">
        <v>1829</v>
      </c>
      <c r="B258" s="60" t="s">
        <v>1830</v>
      </c>
      <c r="C258" s="59" t="s">
        <v>1831</v>
      </c>
      <c r="D258" s="7">
        <v>7300680</v>
      </c>
      <c r="E258" s="28"/>
      <c r="F258" s="28"/>
      <c r="G258" s="7"/>
      <c r="H258" s="7">
        <v>7300680</v>
      </c>
      <c r="I258" s="93">
        <v>0</v>
      </c>
      <c r="J258" s="93">
        <v>0</v>
      </c>
      <c r="K258" s="93">
        <v>0</v>
      </c>
      <c r="L258" s="93">
        <v>0</v>
      </c>
      <c r="M258" s="6">
        <f t="shared" si="4"/>
        <v>7300680</v>
      </c>
      <c r="N258" s="29">
        <v>43374</v>
      </c>
      <c r="O258" s="30">
        <v>43404</v>
      </c>
      <c r="P258" s="12" t="s">
        <v>3291</v>
      </c>
      <c r="Q258" s="13" t="s">
        <v>73</v>
      </c>
      <c r="R258" s="26" t="s">
        <v>1832</v>
      </c>
      <c r="S258" s="26" t="s">
        <v>1833</v>
      </c>
      <c r="T258" s="26" t="s">
        <v>1834</v>
      </c>
      <c r="U258" s="26" t="s">
        <v>1835</v>
      </c>
      <c r="V258" s="64" t="s">
        <v>3146</v>
      </c>
      <c r="W258" s="26" t="s">
        <v>28</v>
      </c>
    </row>
    <row r="259" spans="1:23" ht="84.95" hidden="1" customHeight="1" x14ac:dyDescent="0.2">
      <c r="A259" s="27" t="s">
        <v>1836</v>
      </c>
      <c r="B259" s="60" t="s">
        <v>210</v>
      </c>
      <c r="C259" s="59" t="s">
        <v>1837</v>
      </c>
      <c r="D259" s="7">
        <v>14231966</v>
      </c>
      <c r="E259" s="28"/>
      <c r="F259" s="28"/>
      <c r="G259" s="7"/>
      <c r="H259" s="7">
        <v>14231966</v>
      </c>
      <c r="I259" s="93">
        <v>0</v>
      </c>
      <c r="J259" s="93">
        <v>0</v>
      </c>
      <c r="K259" s="93">
        <v>0</v>
      </c>
      <c r="L259" s="93">
        <v>0</v>
      </c>
      <c r="M259" s="6">
        <f t="shared" si="4"/>
        <v>14231966</v>
      </c>
      <c r="N259" s="29">
        <v>43376</v>
      </c>
      <c r="O259" s="30">
        <v>43465</v>
      </c>
      <c r="P259" s="12" t="s">
        <v>907</v>
      </c>
      <c r="Q259" s="11" t="s">
        <v>32</v>
      </c>
      <c r="R259" s="26" t="s">
        <v>1838</v>
      </c>
      <c r="S259" s="26" t="s">
        <v>213</v>
      </c>
      <c r="T259" s="26" t="s">
        <v>1839</v>
      </c>
      <c r="U259" s="26" t="s">
        <v>215</v>
      </c>
      <c r="V259" s="32" t="s">
        <v>216</v>
      </c>
      <c r="W259" s="26" t="s">
        <v>1666</v>
      </c>
    </row>
    <row r="260" spans="1:23" ht="84.95" hidden="1" customHeight="1" x14ac:dyDescent="0.2">
      <c r="A260" s="27" t="s">
        <v>1840</v>
      </c>
      <c r="B260" s="60" t="s">
        <v>1841</v>
      </c>
      <c r="C260" s="59" t="s">
        <v>1842</v>
      </c>
      <c r="D260" s="7">
        <v>3325000</v>
      </c>
      <c r="E260" s="28"/>
      <c r="F260" s="28"/>
      <c r="G260" s="7"/>
      <c r="H260" s="7">
        <v>3325000</v>
      </c>
      <c r="I260" s="93">
        <v>0</v>
      </c>
      <c r="J260" s="93">
        <v>0</v>
      </c>
      <c r="K260" s="93">
        <v>0</v>
      </c>
      <c r="L260" s="93">
        <v>0</v>
      </c>
      <c r="M260" s="6">
        <f t="shared" ref="M260:M323" si="5">SUM(H260:L260)</f>
        <v>3325000</v>
      </c>
      <c r="N260" s="29">
        <v>43377</v>
      </c>
      <c r="O260" s="30">
        <v>43434</v>
      </c>
      <c r="P260" s="12" t="s">
        <v>1843</v>
      </c>
      <c r="Q260" s="13" t="s">
        <v>73</v>
      </c>
      <c r="R260" s="26" t="s">
        <v>1844</v>
      </c>
      <c r="S260" s="26" t="s">
        <v>1845</v>
      </c>
      <c r="T260" s="26" t="s">
        <v>1846</v>
      </c>
      <c r="U260" s="26" t="s">
        <v>1847</v>
      </c>
      <c r="V260" s="32" t="s">
        <v>1848</v>
      </c>
      <c r="W260" s="26" t="s">
        <v>28</v>
      </c>
    </row>
    <row r="261" spans="1:23" ht="84.95" hidden="1" customHeight="1" x14ac:dyDescent="0.2">
      <c r="A261" s="27" t="s">
        <v>1849</v>
      </c>
      <c r="B261" s="60" t="s">
        <v>1850</v>
      </c>
      <c r="C261" s="59" t="s">
        <v>3231</v>
      </c>
      <c r="D261" s="7">
        <v>17940000</v>
      </c>
      <c r="E261" s="28"/>
      <c r="F261" s="28"/>
      <c r="G261" s="7"/>
      <c r="H261" s="7">
        <v>17940000</v>
      </c>
      <c r="I261" s="93">
        <v>0</v>
      </c>
      <c r="J261" s="93">
        <v>0</v>
      </c>
      <c r="K261" s="93">
        <v>0</v>
      </c>
      <c r="L261" s="93">
        <v>0</v>
      </c>
      <c r="M261" s="6">
        <f t="shared" si="5"/>
        <v>17940000</v>
      </c>
      <c r="N261" s="29">
        <v>43378</v>
      </c>
      <c r="O261" s="30">
        <v>43465</v>
      </c>
      <c r="P261" s="12" t="s">
        <v>907</v>
      </c>
      <c r="Q261" s="11" t="s">
        <v>32</v>
      </c>
      <c r="R261" s="26" t="s">
        <v>1551</v>
      </c>
      <c r="S261" s="26" t="s">
        <v>1552</v>
      </c>
      <c r="T261" s="26" t="s">
        <v>1851</v>
      </c>
      <c r="U261" s="26" t="s">
        <v>1852</v>
      </c>
      <c r="V261" s="32" t="s">
        <v>1555</v>
      </c>
      <c r="W261" s="26" t="s">
        <v>28</v>
      </c>
    </row>
    <row r="262" spans="1:23" ht="84.95" hidden="1" customHeight="1" x14ac:dyDescent="0.2">
      <c r="A262" s="27" t="s">
        <v>1853</v>
      </c>
      <c r="B262" s="60" t="s">
        <v>616</v>
      </c>
      <c r="C262" s="59" t="s">
        <v>3259</v>
      </c>
      <c r="D262" s="7">
        <v>325000000</v>
      </c>
      <c r="E262" s="28"/>
      <c r="F262" s="28"/>
      <c r="G262" s="7"/>
      <c r="H262" s="7">
        <v>325000000</v>
      </c>
      <c r="I262" s="93">
        <v>0</v>
      </c>
      <c r="J262" s="93">
        <v>0</v>
      </c>
      <c r="K262" s="93">
        <v>0</v>
      </c>
      <c r="L262" s="93">
        <v>0</v>
      </c>
      <c r="M262" s="6">
        <f t="shared" si="5"/>
        <v>325000000</v>
      </c>
      <c r="N262" s="29">
        <v>43383</v>
      </c>
      <c r="O262" s="30">
        <v>43465</v>
      </c>
      <c r="P262" s="12" t="s">
        <v>1854</v>
      </c>
      <c r="Q262" s="13" t="s">
        <v>56</v>
      </c>
      <c r="R262" s="26" t="s">
        <v>618</v>
      </c>
      <c r="S262" s="26" t="s">
        <v>619</v>
      </c>
      <c r="T262" s="26" t="s">
        <v>620</v>
      </c>
      <c r="U262" s="26" t="s">
        <v>621</v>
      </c>
      <c r="V262" s="32" t="s">
        <v>622</v>
      </c>
      <c r="W262" s="26" t="s">
        <v>28</v>
      </c>
    </row>
    <row r="263" spans="1:23" ht="84.95" hidden="1" customHeight="1" x14ac:dyDescent="0.2">
      <c r="A263" s="27" t="s">
        <v>1855</v>
      </c>
      <c r="B263" s="60" t="s">
        <v>1445</v>
      </c>
      <c r="C263" s="59" t="s">
        <v>1856</v>
      </c>
      <c r="D263" s="7">
        <v>10000000</v>
      </c>
      <c r="E263" s="28">
        <v>5000000</v>
      </c>
      <c r="F263" s="28"/>
      <c r="G263" s="7"/>
      <c r="H263" s="7">
        <v>10000000</v>
      </c>
      <c r="I263" s="93">
        <v>0</v>
      </c>
      <c r="J263" s="93">
        <v>0</v>
      </c>
      <c r="K263" s="93">
        <v>0</v>
      </c>
      <c r="L263" s="93">
        <v>0</v>
      </c>
      <c r="M263" s="6">
        <f t="shared" si="5"/>
        <v>10000000</v>
      </c>
      <c r="N263" s="29">
        <v>43383</v>
      </c>
      <c r="O263" s="30">
        <v>43646</v>
      </c>
      <c r="P263" s="12" t="s">
        <v>1857</v>
      </c>
      <c r="Q263" s="11" t="s">
        <v>32</v>
      </c>
      <c r="R263" s="60" t="s">
        <v>1858</v>
      </c>
      <c r="S263" s="26" t="s">
        <v>1448</v>
      </c>
      <c r="T263" s="26" t="s">
        <v>1859</v>
      </c>
      <c r="U263" s="26" t="s">
        <v>1860</v>
      </c>
      <c r="V263" s="32" t="s">
        <v>1861</v>
      </c>
      <c r="W263" s="26" t="s">
        <v>28</v>
      </c>
    </row>
    <row r="264" spans="1:23" ht="84.95" hidden="1" customHeight="1" x14ac:dyDescent="0.2">
      <c r="A264" s="27" t="s">
        <v>1862</v>
      </c>
      <c r="B264" s="60" t="s">
        <v>1863</v>
      </c>
      <c r="C264" s="59" t="s">
        <v>1864</v>
      </c>
      <c r="D264" s="7">
        <v>20000000</v>
      </c>
      <c r="E264" s="28"/>
      <c r="F264" s="28"/>
      <c r="G264" s="7"/>
      <c r="H264" s="7">
        <v>20000000</v>
      </c>
      <c r="I264" s="93">
        <v>0</v>
      </c>
      <c r="J264" s="93">
        <v>0</v>
      </c>
      <c r="K264" s="93">
        <v>0</v>
      </c>
      <c r="L264" s="93">
        <v>0</v>
      </c>
      <c r="M264" s="6">
        <f t="shared" si="5"/>
        <v>20000000</v>
      </c>
      <c r="N264" s="29">
        <v>43383</v>
      </c>
      <c r="O264" s="30">
        <v>43465</v>
      </c>
      <c r="P264" s="12" t="s">
        <v>637</v>
      </c>
      <c r="Q264" s="13" t="s">
        <v>56</v>
      </c>
      <c r="R264" s="60" t="s">
        <v>1865</v>
      </c>
      <c r="S264" s="26" t="s">
        <v>1866</v>
      </c>
      <c r="T264" s="26" t="s">
        <v>1867</v>
      </c>
      <c r="U264" s="26" t="s">
        <v>1868</v>
      </c>
      <c r="V264" s="32" t="s">
        <v>1869</v>
      </c>
      <c r="W264" s="26" t="s">
        <v>28</v>
      </c>
    </row>
    <row r="265" spans="1:23" ht="84.95" hidden="1" customHeight="1" x14ac:dyDescent="0.2">
      <c r="A265" s="27" t="s">
        <v>1870</v>
      </c>
      <c r="B265" s="60" t="s">
        <v>616</v>
      </c>
      <c r="C265" s="59" t="s">
        <v>1871</v>
      </c>
      <c r="D265" s="7">
        <v>216909120</v>
      </c>
      <c r="E265" s="28">
        <v>108454560</v>
      </c>
      <c r="F265" s="28"/>
      <c r="G265" s="7"/>
      <c r="H265" s="7">
        <v>216909120</v>
      </c>
      <c r="I265" s="93">
        <v>0</v>
      </c>
      <c r="J265" s="93">
        <v>0</v>
      </c>
      <c r="K265" s="93">
        <v>0</v>
      </c>
      <c r="L265" s="93">
        <v>0</v>
      </c>
      <c r="M265" s="6">
        <f t="shared" si="5"/>
        <v>216909120</v>
      </c>
      <c r="N265" s="29">
        <v>43385</v>
      </c>
      <c r="O265" s="30">
        <v>43646</v>
      </c>
      <c r="P265" s="12" t="s">
        <v>1872</v>
      </c>
      <c r="Q265" s="13" t="s">
        <v>56</v>
      </c>
      <c r="R265" s="26" t="s">
        <v>618</v>
      </c>
      <c r="S265" s="26" t="s">
        <v>619</v>
      </c>
      <c r="T265" s="26" t="s">
        <v>620</v>
      </c>
      <c r="U265" s="26" t="s">
        <v>621</v>
      </c>
      <c r="V265" s="32" t="s">
        <v>622</v>
      </c>
      <c r="W265" s="26" t="s">
        <v>28</v>
      </c>
    </row>
    <row r="266" spans="1:23" ht="84.95" hidden="1" customHeight="1" x14ac:dyDescent="0.2">
      <c r="A266" s="27" t="s">
        <v>1873</v>
      </c>
      <c r="B266" s="60" t="s">
        <v>1874</v>
      </c>
      <c r="C266" s="59" t="s">
        <v>1875</v>
      </c>
      <c r="D266" s="7">
        <v>50000000</v>
      </c>
      <c r="E266" s="28"/>
      <c r="F266" s="28"/>
      <c r="G266" s="7"/>
      <c r="H266" s="7">
        <v>50000000</v>
      </c>
      <c r="I266" s="93">
        <v>0</v>
      </c>
      <c r="J266" s="93">
        <v>0</v>
      </c>
      <c r="K266" s="93">
        <v>0</v>
      </c>
      <c r="L266" s="93">
        <v>0</v>
      </c>
      <c r="M266" s="6">
        <f t="shared" si="5"/>
        <v>50000000</v>
      </c>
      <c r="N266" s="29">
        <v>43385</v>
      </c>
      <c r="O266" s="30">
        <v>43434</v>
      </c>
      <c r="P266" s="12" t="s">
        <v>532</v>
      </c>
      <c r="Q266" s="11" t="s">
        <v>32</v>
      </c>
      <c r="R266" s="60" t="s">
        <v>1876</v>
      </c>
      <c r="S266" s="26" t="s">
        <v>1877</v>
      </c>
      <c r="T266" s="26" t="s">
        <v>1878</v>
      </c>
      <c r="U266" s="26" t="s">
        <v>1879</v>
      </c>
      <c r="V266" s="32" t="s">
        <v>1880</v>
      </c>
      <c r="W266" s="26" t="s">
        <v>28</v>
      </c>
    </row>
    <row r="267" spans="1:23" ht="122.25" hidden="1" customHeight="1" x14ac:dyDescent="0.2">
      <c r="A267" s="27" t="s">
        <v>1881</v>
      </c>
      <c r="B267" s="60" t="s">
        <v>1882</v>
      </c>
      <c r="C267" s="59" t="s">
        <v>3225</v>
      </c>
      <c r="D267" s="7">
        <v>100000000</v>
      </c>
      <c r="E267" s="28"/>
      <c r="F267" s="28"/>
      <c r="G267" s="7"/>
      <c r="H267" s="7">
        <v>100000000</v>
      </c>
      <c r="I267" s="93">
        <v>0</v>
      </c>
      <c r="J267" s="93">
        <v>0</v>
      </c>
      <c r="K267" s="93">
        <v>0</v>
      </c>
      <c r="L267" s="93">
        <v>0</v>
      </c>
      <c r="M267" s="6">
        <f t="shared" si="5"/>
        <v>100000000</v>
      </c>
      <c r="N267" s="29">
        <v>43395</v>
      </c>
      <c r="O267" s="30">
        <v>43799</v>
      </c>
      <c r="P267" s="12" t="s">
        <v>3307</v>
      </c>
      <c r="Q267" s="13" t="s">
        <v>56</v>
      </c>
      <c r="R267" s="60" t="s">
        <v>1883</v>
      </c>
      <c r="S267" s="26" t="s">
        <v>1884</v>
      </c>
      <c r="T267" s="26" t="s">
        <v>1885</v>
      </c>
      <c r="U267" s="26" t="s">
        <v>1886</v>
      </c>
      <c r="V267" s="32" t="s">
        <v>1887</v>
      </c>
      <c r="W267" s="26" t="s">
        <v>264</v>
      </c>
    </row>
    <row r="268" spans="1:23" ht="84.95" hidden="1" customHeight="1" x14ac:dyDescent="0.2">
      <c r="A268" s="27" t="s">
        <v>1888</v>
      </c>
      <c r="B268" s="60" t="s">
        <v>1863</v>
      </c>
      <c r="C268" s="59" t="s">
        <v>1889</v>
      </c>
      <c r="D268" s="7">
        <v>22499330</v>
      </c>
      <c r="E268" s="28"/>
      <c r="F268" s="28"/>
      <c r="G268" s="7"/>
      <c r="H268" s="7">
        <v>22499330</v>
      </c>
      <c r="I268" s="93">
        <v>0</v>
      </c>
      <c r="J268" s="93">
        <v>0</v>
      </c>
      <c r="K268" s="93">
        <v>0</v>
      </c>
      <c r="L268" s="93">
        <v>0</v>
      </c>
      <c r="M268" s="6">
        <f t="shared" si="5"/>
        <v>22499330</v>
      </c>
      <c r="N268" s="29">
        <v>43391</v>
      </c>
      <c r="O268" s="30">
        <v>43434</v>
      </c>
      <c r="P268" s="12" t="s">
        <v>1890</v>
      </c>
      <c r="Q268" s="13" t="s">
        <v>56</v>
      </c>
      <c r="R268" s="60" t="s">
        <v>1865</v>
      </c>
      <c r="S268" s="26" t="s">
        <v>1866</v>
      </c>
      <c r="T268" s="26" t="s">
        <v>1891</v>
      </c>
      <c r="U268" s="26" t="s">
        <v>1868</v>
      </c>
      <c r="V268" s="32" t="s">
        <v>1892</v>
      </c>
      <c r="W268" s="26" t="s">
        <v>28</v>
      </c>
    </row>
    <row r="269" spans="1:23" ht="84.95" hidden="1" customHeight="1" x14ac:dyDescent="0.2">
      <c r="A269" s="27" t="s">
        <v>1893</v>
      </c>
      <c r="B269" s="60" t="s">
        <v>1388</v>
      </c>
      <c r="C269" s="59" t="s">
        <v>3260</v>
      </c>
      <c r="D269" s="7">
        <v>2973725</v>
      </c>
      <c r="E269" s="28"/>
      <c r="F269" s="28"/>
      <c r="G269" s="7"/>
      <c r="H269" s="7">
        <v>2973725</v>
      </c>
      <c r="I269" s="93">
        <v>0</v>
      </c>
      <c r="J269" s="93">
        <v>0</v>
      </c>
      <c r="K269" s="93">
        <v>0</v>
      </c>
      <c r="L269" s="93">
        <v>0</v>
      </c>
      <c r="M269" s="6">
        <f t="shared" si="5"/>
        <v>2973725</v>
      </c>
      <c r="N269" s="29">
        <v>43390</v>
      </c>
      <c r="O269" s="30">
        <v>43434</v>
      </c>
      <c r="P269" s="12" t="s">
        <v>1890</v>
      </c>
      <c r="Q269" s="13" t="s">
        <v>56</v>
      </c>
      <c r="R269" s="26" t="s">
        <v>1389</v>
      </c>
      <c r="S269" s="26" t="s">
        <v>1390</v>
      </c>
      <c r="T269" s="26" t="s">
        <v>1391</v>
      </c>
      <c r="U269" s="26" t="s">
        <v>1392</v>
      </c>
      <c r="V269" s="32" t="s">
        <v>1393</v>
      </c>
      <c r="W269" s="26" t="s">
        <v>28</v>
      </c>
    </row>
    <row r="270" spans="1:23" ht="84.95" hidden="1" customHeight="1" x14ac:dyDescent="0.2">
      <c r="A270" s="27" t="s">
        <v>1894</v>
      </c>
      <c r="B270" s="60" t="s">
        <v>1895</v>
      </c>
      <c r="C270" s="59" t="s">
        <v>1896</v>
      </c>
      <c r="D270" s="7">
        <v>72000000</v>
      </c>
      <c r="E270" s="28">
        <v>30000000</v>
      </c>
      <c r="F270" s="28"/>
      <c r="G270" s="7"/>
      <c r="H270" s="7">
        <v>72000000</v>
      </c>
      <c r="I270" s="93">
        <v>0</v>
      </c>
      <c r="J270" s="93">
        <v>0</v>
      </c>
      <c r="K270" s="93">
        <v>0</v>
      </c>
      <c r="L270" s="93">
        <v>0</v>
      </c>
      <c r="M270" s="6">
        <f t="shared" si="5"/>
        <v>72000000</v>
      </c>
      <c r="N270" s="29">
        <v>43390</v>
      </c>
      <c r="O270" s="30">
        <v>43465</v>
      </c>
      <c r="P270" s="12" t="s">
        <v>402</v>
      </c>
      <c r="Q270" s="11" t="s">
        <v>32</v>
      </c>
      <c r="R270" s="60" t="s">
        <v>1895</v>
      </c>
      <c r="S270" s="26" t="s">
        <v>1897</v>
      </c>
      <c r="T270" s="26" t="s">
        <v>1898</v>
      </c>
      <c r="U270" s="26" t="s">
        <v>1879</v>
      </c>
      <c r="V270" s="32" t="s">
        <v>1899</v>
      </c>
      <c r="W270" s="26" t="s">
        <v>28</v>
      </c>
    </row>
    <row r="271" spans="1:23" ht="84.95" hidden="1" customHeight="1" x14ac:dyDescent="0.2">
      <c r="A271" s="27" t="s">
        <v>1900</v>
      </c>
      <c r="B271" s="60" t="s">
        <v>1901</v>
      </c>
      <c r="C271" s="59" t="s">
        <v>1902</v>
      </c>
      <c r="D271" s="7">
        <v>30642500</v>
      </c>
      <c r="E271" s="28"/>
      <c r="F271" s="28"/>
      <c r="G271" s="7"/>
      <c r="H271" s="7">
        <v>30642500</v>
      </c>
      <c r="I271" s="93">
        <v>0</v>
      </c>
      <c r="J271" s="93">
        <v>0</v>
      </c>
      <c r="K271" s="93">
        <v>0</v>
      </c>
      <c r="L271" s="93">
        <v>0</v>
      </c>
      <c r="M271" s="6">
        <f t="shared" si="5"/>
        <v>30642500</v>
      </c>
      <c r="N271" s="29">
        <v>43397</v>
      </c>
      <c r="O271" s="30">
        <v>43465</v>
      </c>
      <c r="P271" s="12" t="s">
        <v>211</v>
      </c>
      <c r="Q271" s="13" t="s">
        <v>56</v>
      </c>
      <c r="R271" s="60" t="s">
        <v>1903</v>
      </c>
      <c r="S271" s="26" t="s">
        <v>1904</v>
      </c>
      <c r="T271" s="26" t="s">
        <v>1905</v>
      </c>
      <c r="U271" s="26" t="s">
        <v>1906</v>
      </c>
      <c r="V271" s="32" t="s">
        <v>1907</v>
      </c>
      <c r="W271" s="26" t="s">
        <v>1908</v>
      </c>
    </row>
    <row r="272" spans="1:23" ht="84.95" hidden="1" customHeight="1" x14ac:dyDescent="0.2">
      <c r="A272" s="27" t="s">
        <v>1909</v>
      </c>
      <c r="B272" s="60" t="s">
        <v>1910</v>
      </c>
      <c r="C272" s="59" t="s">
        <v>1911</v>
      </c>
      <c r="D272" s="7">
        <v>80000000</v>
      </c>
      <c r="E272" s="28"/>
      <c r="F272" s="28"/>
      <c r="G272" s="7"/>
      <c r="H272" s="7">
        <v>80000000</v>
      </c>
      <c r="I272" s="93">
        <v>0</v>
      </c>
      <c r="J272" s="93">
        <v>0</v>
      </c>
      <c r="K272" s="93">
        <v>0</v>
      </c>
      <c r="L272" s="93">
        <v>0</v>
      </c>
      <c r="M272" s="6">
        <f t="shared" si="5"/>
        <v>80000000</v>
      </c>
      <c r="N272" s="29">
        <v>43398</v>
      </c>
      <c r="O272" s="30">
        <v>43646</v>
      </c>
      <c r="P272" s="12" t="s">
        <v>1912</v>
      </c>
      <c r="Q272" s="11" t="s">
        <v>32</v>
      </c>
      <c r="R272" s="60" t="s">
        <v>1913</v>
      </c>
      <c r="S272" s="26" t="s">
        <v>1914</v>
      </c>
      <c r="T272" s="26" t="s">
        <v>1915</v>
      </c>
      <c r="U272" s="26" t="s">
        <v>1916</v>
      </c>
      <c r="V272" s="32" t="s">
        <v>1917</v>
      </c>
      <c r="W272" s="26" t="s">
        <v>1908</v>
      </c>
    </row>
    <row r="273" spans="1:23" ht="84.95" hidden="1" customHeight="1" x14ac:dyDescent="0.2">
      <c r="A273" s="27" t="s">
        <v>3175</v>
      </c>
      <c r="B273" s="60" t="s">
        <v>3176</v>
      </c>
      <c r="C273" s="59" t="s">
        <v>3177</v>
      </c>
      <c r="D273" s="7">
        <v>67455388</v>
      </c>
      <c r="E273" s="28"/>
      <c r="F273" s="28"/>
      <c r="G273" s="7"/>
      <c r="H273" s="7">
        <v>67455388</v>
      </c>
      <c r="I273" s="93">
        <v>0</v>
      </c>
      <c r="J273" s="93">
        <v>0</v>
      </c>
      <c r="K273" s="93">
        <v>0</v>
      </c>
      <c r="L273" s="93">
        <v>0</v>
      </c>
      <c r="M273" s="6">
        <f t="shared" si="5"/>
        <v>67455388</v>
      </c>
      <c r="N273" s="29">
        <v>43398</v>
      </c>
      <c r="O273" s="30">
        <v>43465</v>
      </c>
      <c r="P273" s="12" t="s">
        <v>3178</v>
      </c>
      <c r="Q273" s="13" t="s">
        <v>56</v>
      </c>
      <c r="R273" s="60" t="s">
        <v>3179</v>
      </c>
      <c r="S273" s="26" t="s">
        <v>3180</v>
      </c>
      <c r="T273" s="26" t="s">
        <v>3181</v>
      </c>
      <c r="U273" s="26" t="s">
        <v>3182</v>
      </c>
      <c r="V273" s="64" t="s">
        <v>3183</v>
      </c>
      <c r="W273" s="26" t="s">
        <v>1908</v>
      </c>
    </row>
    <row r="274" spans="1:23" ht="84.95" hidden="1" customHeight="1" x14ac:dyDescent="0.2">
      <c r="A274" s="27" t="s">
        <v>1918</v>
      </c>
      <c r="B274" s="60" t="s">
        <v>1919</v>
      </c>
      <c r="C274" s="59" t="s">
        <v>1920</v>
      </c>
      <c r="D274" s="7">
        <v>2900000</v>
      </c>
      <c r="E274" s="28"/>
      <c r="F274" s="28"/>
      <c r="G274" s="7"/>
      <c r="H274" s="7">
        <v>2900000</v>
      </c>
      <c r="I274" s="93">
        <v>0</v>
      </c>
      <c r="J274" s="93">
        <v>0</v>
      </c>
      <c r="K274" s="93">
        <v>0</v>
      </c>
      <c r="L274" s="93">
        <v>0</v>
      </c>
      <c r="M274" s="6">
        <f t="shared" si="5"/>
        <v>2900000</v>
      </c>
      <c r="N274" s="29">
        <v>43398</v>
      </c>
      <c r="O274" s="30">
        <v>43646</v>
      </c>
      <c r="P274" s="12" t="s">
        <v>1921</v>
      </c>
      <c r="Q274" s="13" t="s">
        <v>73</v>
      </c>
      <c r="R274" s="60" t="s">
        <v>1922</v>
      </c>
      <c r="S274" s="26" t="s">
        <v>1923</v>
      </c>
      <c r="T274" s="26" t="s">
        <v>1924</v>
      </c>
      <c r="U274" s="26" t="s">
        <v>1925</v>
      </c>
      <c r="V274" s="32" t="s">
        <v>1926</v>
      </c>
      <c r="W274" s="26" t="s">
        <v>28</v>
      </c>
    </row>
    <row r="275" spans="1:23" ht="84.95" hidden="1" customHeight="1" x14ac:dyDescent="0.2">
      <c r="A275" s="27" t="s">
        <v>1927</v>
      </c>
      <c r="B275" s="60" t="s">
        <v>1928</v>
      </c>
      <c r="C275" s="59" t="s">
        <v>1929</v>
      </c>
      <c r="D275" s="7">
        <v>50000000</v>
      </c>
      <c r="E275" s="28"/>
      <c r="F275" s="28"/>
      <c r="G275" s="7"/>
      <c r="H275" s="7">
        <v>50000000</v>
      </c>
      <c r="I275" s="93">
        <v>0</v>
      </c>
      <c r="J275" s="93">
        <v>0</v>
      </c>
      <c r="K275" s="93">
        <v>0</v>
      </c>
      <c r="L275" s="93">
        <v>0</v>
      </c>
      <c r="M275" s="6">
        <f t="shared" si="5"/>
        <v>50000000</v>
      </c>
      <c r="N275" s="29">
        <v>43398</v>
      </c>
      <c r="O275" s="30">
        <v>43449</v>
      </c>
      <c r="P275" s="12" t="s">
        <v>31</v>
      </c>
      <c r="Q275" s="11" t="s">
        <v>32</v>
      </c>
      <c r="R275" s="60" t="s">
        <v>1930</v>
      </c>
      <c r="S275" s="26" t="s">
        <v>1931</v>
      </c>
      <c r="T275" s="26" t="s">
        <v>1932</v>
      </c>
      <c r="U275" s="26" t="s">
        <v>1933</v>
      </c>
      <c r="V275" s="32" t="s">
        <v>1934</v>
      </c>
      <c r="W275" s="26" t="s">
        <v>28</v>
      </c>
    </row>
    <row r="276" spans="1:23" ht="84.95" hidden="1" customHeight="1" x14ac:dyDescent="0.2">
      <c r="A276" s="27" t="s">
        <v>1935</v>
      </c>
      <c r="B276" s="60" t="s">
        <v>1936</v>
      </c>
      <c r="C276" s="59" t="s">
        <v>1937</v>
      </c>
      <c r="D276" s="7">
        <v>35000000</v>
      </c>
      <c r="E276" s="81"/>
      <c r="F276" s="81">
        <v>3441200</v>
      </c>
      <c r="G276" s="7"/>
      <c r="H276" s="7">
        <v>31558800</v>
      </c>
      <c r="I276" s="93">
        <v>0</v>
      </c>
      <c r="J276" s="93">
        <v>0</v>
      </c>
      <c r="K276" s="93">
        <v>0</v>
      </c>
      <c r="L276" s="93">
        <v>0</v>
      </c>
      <c r="M276" s="6">
        <f t="shared" si="5"/>
        <v>31558800</v>
      </c>
      <c r="N276" s="29">
        <v>43402</v>
      </c>
      <c r="O276" s="30">
        <v>43814</v>
      </c>
      <c r="P276" s="12" t="s">
        <v>211</v>
      </c>
      <c r="Q276" s="13" t="s">
        <v>56</v>
      </c>
      <c r="R276" s="60" t="s">
        <v>1938</v>
      </c>
      <c r="S276" s="26" t="s">
        <v>1939</v>
      </c>
      <c r="T276" s="26" t="s">
        <v>1940</v>
      </c>
      <c r="U276" s="26" t="s">
        <v>1941</v>
      </c>
      <c r="V276" s="32" t="s">
        <v>1942</v>
      </c>
      <c r="W276" s="26" t="s">
        <v>28</v>
      </c>
    </row>
    <row r="277" spans="1:23" ht="84.95" hidden="1" customHeight="1" x14ac:dyDescent="0.2">
      <c r="A277" s="27" t="s">
        <v>1943</v>
      </c>
      <c r="B277" s="60" t="s">
        <v>1944</v>
      </c>
      <c r="C277" s="59" t="s">
        <v>3261</v>
      </c>
      <c r="D277" s="7">
        <v>6601380</v>
      </c>
      <c r="E277" s="28"/>
      <c r="F277" s="28"/>
      <c r="G277" s="7"/>
      <c r="H277" s="7">
        <v>6601380</v>
      </c>
      <c r="I277" s="93">
        <v>0</v>
      </c>
      <c r="J277" s="93">
        <v>0</v>
      </c>
      <c r="K277" s="93">
        <v>0</v>
      </c>
      <c r="L277" s="93">
        <v>0</v>
      </c>
      <c r="M277" s="6">
        <f t="shared" si="5"/>
        <v>6601380</v>
      </c>
      <c r="N277" s="29">
        <v>43402</v>
      </c>
      <c r="O277" s="30">
        <v>43434</v>
      </c>
      <c r="P277" s="12" t="s">
        <v>1945</v>
      </c>
      <c r="Q277" s="13" t="s">
        <v>56</v>
      </c>
      <c r="R277" s="60" t="s">
        <v>1946</v>
      </c>
      <c r="S277" s="26" t="s">
        <v>1947</v>
      </c>
      <c r="T277" s="26" t="s">
        <v>1948</v>
      </c>
      <c r="U277" s="26" t="s">
        <v>1949</v>
      </c>
      <c r="V277" s="32" t="s">
        <v>1950</v>
      </c>
      <c r="W277" s="26" t="s">
        <v>28</v>
      </c>
    </row>
    <row r="278" spans="1:23" ht="84.95" hidden="1" customHeight="1" x14ac:dyDescent="0.2">
      <c r="A278" s="27" t="s">
        <v>1951</v>
      </c>
      <c r="B278" s="60" t="s">
        <v>1952</v>
      </c>
      <c r="C278" s="59" t="s">
        <v>1953</v>
      </c>
      <c r="D278" s="7">
        <v>773500</v>
      </c>
      <c r="E278" s="28"/>
      <c r="F278" s="28"/>
      <c r="G278" s="7"/>
      <c r="H278" s="7">
        <v>773500</v>
      </c>
      <c r="I278" s="93">
        <v>0</v>
      </c>
      <c r="J278" s="93">
        <v>0</v>
      </c>
      <c r="K278" s="93">
        <v>0</v>
      </c>
      <c r="L278" s="93">
        <v>0</v>
      </c>
      <c r="M278" s="6">
        <f t="shared" si="5"/>
        <v>773500</v>
      </c>
      <c r="N278" s="29">
        <v>43406</v>
      </c>
      <c r="O278" s="30">
        <v>43434</v>
      </c>
      <c r="P278" s="12" t="s">
        <v>1954</v>
      </c>
      <c r="Q278" s="11" t="s">
        <v>32</v>
      </c>
      <c r="R278" s="60" t="s">
        <v>1955</v>
      </c>
      <c r="S278" s="26" t="s">
        <v>1956</v>
      </c>
      <c r="T278" s="26" t="s">
        <v>1957</v>
      </c>
      <c r="U278" s="26" t="s">
        <v>1958</v>
      </c>
      <c r="V278" s="32" t="s">
        <v>1959</v>
      </c>
      <c r="W278" s="26" t="s">
        <v>28</v>
      </c>
    </row>
    <row r="279" spans="1:23" ht="84.95" hidden="1" customHeight="1" x14ac:dyDescent="0.2">
      <c r="A279" s="27" t="s">
        <v>1960</v>
      </c>
      <c r="B279" s="60" t="s">
        <v>1515</v>
      </c>
      <c r="C279" s="59" t="s">
        <v>1961</v>
      </c>
      <c r="D279" s="7">
        <v>50000000</v>
      </c>
      <c r="E279" s="28"/>
      <c r="F279" s="28"/>
      <c r="G279" s="7"/>
      <c r="H279" s="7">
        <v>50000000</v>
      </c>
      <c r="I279" s="93">
        <v>0</v>
      </c>
      <c r="J279" s="93">
        <v>0</v>
      </c>
      <c r="K279" s="93">
        <v>0</v>
      </c>
      <c r="L279" s="93">
        <v>0</v>
      </c>
      <c r="M279" s="6">
        <f t="shared" si="5"/>
        <v>50000000</v>
      </c>
      <c r="N279" s="29">
        <v>43403</v>
      </c>
      <c r="O279" s="30">
        <v>43449</v>
      </c>
      <c r="P279" s="12" t="s">
        <v>1962</v>
      </c>
      <c r="Q279" s="13" t="s">
        <v>56</v>
      </c>
      <c r="R279" s="60" t="s">
        <v>1963</v>
      </c>
      <c r="S279" s="26" t="s">
        <v>569</v>
      </c>
      <c r="T279" s="26" t="s">
        <v>1517</v>
      </c>
      <c r="U279" s="26" t="s">
        <v>571</v>
      </c>
      <c r="V279" s="32" t="s">
        <v>572</v>
      </c>
      <c r="W279" s="26" t="s">
        <v>28</v>
      </c>
    </row>
    <row r="280" spans="1:23" ht="84.95" hidden="1" customHeight="1" x14ac:dyDescent="0.2">
      <c r="A280" s="27" t="s">
        <v>1964</v>
      </c>
      <c r="B280" s="60" t="s">
        <v>1965</v>
      </c>
      <c r="C280" s="59" t="s">
        <v>1966</v>
      </c>
      <c r="D280" s="7">
        <v>413722800</v>
      </c>
      <c r="E280" s="28">
        <v>163508600</v>
      </c>
      <c r="F280" s="28"/>
      <c r="G280" s="7"/>
      <c r="H280" s="7">
        <v>577231400</v>
      </c>
      <c r="I280" s="93">
        <v>0</v>
      </c>
      <c r="J280" s="93">
        <v>0</v>
      </c>
      <c r="K280" s="93">
        <v>0</v>
      </c>
      <c r="L280" s="93">
        <v>0</v>
      </c>
      <c r="M280" s="6">
        <f t="shared" si="5"/>
        <v>577231400</v>
      </c>
      <c r="N280" s="29">
        <v>43405</v>
      </c>
      <c r="O280" s="30">
        <v>43646</v>
      </c>
      <c r="P280" s="62" t="s">
        <v>325</v>
      </c>
      <c r="Q280" s="13" t="s">
        <v>56</v>
      </c>
      <c r="R280" s="60" t="s">
        <v>1967</v>
      </c>
      <c r="S280" s="26" t="s">
        <v>1968</v>
      </c>
      <c r="T280" s="26" t="s">
        <v>1969</v>
      </c>
      <c r="U280" s="26" t="s">
        <v>1970</v>
      </c>
      <c r="V280" s="32" t="s">
        <v>1971</v>
      </c>
      <c r="W280" s="26" t="s">
        <v>28</v>
      </c>
    </row>
    <row r="281" spans="1:23" ht="84.95" hidden="1" customHeight="1" x14ac:dyDescent="0.2">
      <c r="A281" s="27" t="s">
        <v>1972</v>
      </c>
      <c r="B281" s="60" t="s">
        <v>1780</v>
      </c>
      <c r="C281" s="59" t="s">
        <v>1973</v>
      </c>
      <c r="D281" s="7">
        <v>150000000</v>
      </c>
      <c r="E281" s="28"/>
      <c r="F281" s="28"/>
      <c r="G281" s="7"/>
      <c r="H281" s="7">
        <v>150000000</v>
      </c>
      <c r="I281" s="93">
        <v>0</v>
      </c>
      <c r="J281" s="93">
        <v>0</v>
      </c>
      <c r="K281" s="93">
        <v>0</v>
      </c>
      <c r="L281" s="93">
        <v>0</v>
      </c>
      <c r="M281" s="6">
        <f t="shared" si="5"/>
        <v>150000000</v>
      </c>
      <c r="N281" s="29">
        <v>43410</v>
      </c>
      <c r="O281" s="30">
        <v>43465</v>
      </c>
      <c r="P281" s="12" t="s">
        <v>31</v>
      </c>
      <c r="Q281" s="11" t="s">
        <v>32</v>
      </c>
      <c r="R281" s="60" t="s">
        <v>1974</v>
      </c>
      <c r="S281" s="26" t="s">
        <v>1783</v>
      </c>
      <c r="T281" s="26" t="s">
        <v>1784</v>
      </c>
      <c r="U281" s="26" t="s">
        <v>1785</v>
      </c>
      <c r="V281" s="32" t="s">
        <v>1786</v>
      </c>
      <c r="W281" s="26" t="s">
        <v>28</v>
      </c>
    </row>
    <row r="282" spans="1:23" ht="84.95" hidden="1" customHeight="1" x14ac:dyDescent="0.2">
      <c r="A282" s="27" t="s">
        <v>1975</v>
      </c>
      <c r="B282" s="60" t="s">
        <v>846</v>
      </c>
      <c r="C282" s="59" t="s">
        <v>1973</v>
      </c>
      <c r="D282" s="7">
        <v>80000000</v>
      </c>
      <c r="E282" s="28"/>
      <c r="F282" s="28"/>
      <c r="G282" s="7"/>
      <c r="H282" s="7">
        <v>80000000</v>
      </c>
      <c r="I282" s="93">
        <v>0</v>
      </c>
      <c r="J282" s="93">
        <v>0</v>
      </c>
      <c r="K282" s="93">
        <v>0</v>
      </c>
      <c r="L282" s="93">
        <v>0</v>
      </c>
      <c r="M282" s="6">
        <f t="shared" si="5"/>
        <v>80000000</v>
      </c>
      <c r="N282" s="29">
        <v>43410</v>
      </c>
      <c r="O282" s="30">
        <v>43465</v>
      </c>
      <c r="P282" s="12" t="s">
        <v>31</v>
      </c>
      <c r="Q282" s="11" t="s">
        <v>32</v>
      </c>
      <c r="R282" s="60" t="s">
        <v>847</v>
      </c>
      <c r="S282" s="26" t="s">
        <v>848</v>
      </c>
      <c r="T282" s="26" t="s">
        <v>849</v>
      </c>
      <c r="U282" s="26" t="s">
        <v>850</v>
      </c>
      <c r="V282" s="32" t="s">
        <v>851</v>
      </c>
      <c r="W282" s="26" t="s">
        <v>28</v>
      </c>
    </row>
    <row r="283" spans="1:23" ht="84.95" hidden="1" customHeight="1" x14ac:dyDescent="0.2">
      <c r="A283" s="27" t="s">
        <v>1976</v>
      </c>
      <c r="B283" s="60" t="s">
        <v>1977</v>
      </c>
      <c r="C283" s="59" t="s">
        <v>1973</v>
      </c>
      <c r="D283" s="7">
        <v>96000000</v>
      </c>
      <c r="E283" s="28">
        <v>48000000</v>
      </c>
      <c r="F283" s="28"/>
      <c r="G283" s="7"/>
      <c r="H283" s="7">
        <v>96000000</v>
      </c>
      <c r="I283" s="93">
        <v>0</v>
      </c>
      <c r="J283" s="93">
        <v>0</v>
      </c>
      <c r="K283" s="93">
        <v>0</v>
      </c>
      <c r="L283" s="93">
        <v>0</v>
      </c>
      <c r="M283" s="6">
        <f t="shared" si="5"/>
        <v>96000000</v>
      </c>
      <c r="N283" s="29">
        <v>43410</v>
      </c>
      <c r="O283" s="30">
        <v>43646</v>
      </c>
      <c r="P283" s="12" t="s">
        <v>31</v>
      </c>
      <c r="Q283" s="11" t="s">
        <v>32</v>
      </c>
      <c r="R283" s="63" t="s">
        <v>1001</v>
      </c>
      <c r="S283" s="26" t="s">
        <v>1002</v>
      </c>
      <c r="T283" s="26" t="s">
        <v>1978</v>
      </c>
      <c r="U283" s="26" t="s">
        <v>1979</v>
      </c>
      <c r="V283" s="32" t="s">
        <v>1005</v>
      </c>
      <c r="W283" s="26" t="s">
        <v>28</v>
      </c>
    </row>
    <row r="284" spans="1:23" ht="84.95" hidden="1" customHeight="1" x14ac:dyDescent="0.2">
      <c r="A284" s="27" t="s">
        <v>1980</v>
      </c>
      <c r="B284" s="60" t="s">
        <v>1981</v>
      </c>
      <c r="C284" s="59" t="s">
        <v>1982</v>
      </c>
      <c r="D284" s="7">
        <v>200000000</v>
      </c>
      <c r="E284" s="28"/>
      <c r="F284" s="28"/>
      <c r="G284" s="7"/>
      <c r="H284" s="7">
        <v>200000000</v>
      </c>
      <c r="I284" s="93">
        <v>0</v>
      </c>
      <c r="J284" s="93">
        <v>0</v>
      </c>
      <c r="K284" s="93">
        <v>0</v>
      </c>
      <c r="L284" s="93">
        <v>0</v>
      </c>
      <c r="M284" s="6">
        <f t="shared" si="5"/>
        <v>200000000</v>
      </c>
      <c r="N284" s="29">
        <v>43410</v>
      </c>
      <c r="O284" s="30">
        <v>43465</v>
      </c>
      <c r="P284" s="12" t="s">
        <v>513</v>
      </c>
      <c r="Q284" s="11" t="s">
        <v>32</v>
      </c>
      <c r="R284" s="60" t="s">
        <v>1983</v>
      </c>
      <c r="S284" s="26" t="s">
        <v>1984</v>
      </c>
      <c r="T284" s="26" t="s">
        <v>1985</v>
      </c>
      <c r="U284" s="26" t="s">
        <v>1986</v>
      </c>
      <c r="V284" s="32" t="s">
        <v>1987</v>
      </c>
      <c r="W284" s="26" t="s">
        <v>28</v>
      </c>
    </row>
    <row r="285" spans="1:23" ht="84.95" hidden="1" customHeight="1" x14ac:dyDescent="0.2">
      <c r="A285" s="27" t="s">
        <v>1988</v>
      </c>
      <c r="B285" s="60" t="s">
        <v>1989</v>
      </c>
      <c r="C285" s="59" t="s">
        <v>1990</v>
      </c>
      <c r="D285" s="7">
        <v>7244125</v>
      </c>
      <c r="E285" s="28"/>
      <c r="F285" s="28"/>
      <c r="G285" s="7"/>
      <c r="H285" s="7">
        <v>7244125</v>
      </c>
      <c r="I285" s="93">
        <v>0</v>
      </c>
      <c r="J285" s="93">
        <v>0</v>
      </c>
      <c r="K285" s="93">
        <v>0</v>
      </c>
      <c r="L285" s="93">
        <v>0</v>
      </c>
      <c r="M285" s="6">
        <f t="shared" si="5"/>
        <v>7244125</v>
      </c>
      <c r="N285" s="29">
        <v>43406</v>
      </c>
      <c r="O285" s="30">
        <v>43465</v>
      </c>
      <c r="P285" s="12" t="s">
        <v>617</v>
      </c>
      <c r="Q285" s="13" t="s">
        <v>73</v>
      </c>
      <c r="R285" s="60" t="s">
        <v>1991</v>
      </c>
      <c r="S285" s="26" t="s">
        <v>1992</v>
      </c>
      <c r="T285" s="26" t="s">
        <v>1993</v>
      </c>
      <c r="U285" s="26" t="s">
        <v>1994</v>
      </c>
      <c r="V285" s="32" t="s">
        <v>1995</v>
      </c>
      <c r="W285" s="26" t="s">
        <v>28</v>
      </c>
    </row>
    <row r="286" spans="1:23" ht="84.95" hidden="1" customHeight="1" x14ac:dyDescent="0.2">
      <c r="A286" s="27" t="s">
        <v>1996</v>
      </c>
      <c r="B286" s="60" t="s">
        <v>1850</v>
      </c>
      <c r="C286" s="59" t="s">
        <v>1997</v>
      </c>
      <c r="D286" s="7">
        <v>43627600</v>
      </c>
      <c r="E286" s="28"/>
      <c r="F286" s="28"/>
      <c r="G286" s="7"/>
      <c r="H286" s="7">
        <v>43627600</v>
      </c>
      <c r="I286" s="93">
        <v>0</v>
      </c>
      <c r="J286" s="93">
        <v>0</v>
      </c>
      <c r="K286" s="93">
        <v>0</v>
      </c>
      <c r="L286" s="93">
        <v>0</v>
      </c>
      <c r="M286" s="6">
        <f t="shared" si="5"/>
        <v>43627600</v>
      </c>
      <c r="N286" s="29">
        <v>43406</v>
      </c>
      <c r="O286" s="30">
        <v>43465</v>
      </c>
      <c r="P286" s="12" t="s">
        <v>3393</v>
      </c>
      <c r="Q286" s="11" t="s">
        <v>32</v>
      </c>
      <c r="R286" s="60" t="s">
        <v>1551</v>
      </c>
      <c r="S286" s="26" t="s">
        <v>1552</v>
      </c>
      <c r="T286" s="26" t="s">
        <v>1553</v>
      </c>
      <c r="U286" s="26" t="s">
        <v>1852</v>
      </c>
      <c r="V286" s="32" t="s">
        <v>1555</v>
      </c>
      <c r="W286" s="26" t="s">
        <v>28</v>
      </c>
    </row>
    <row r="287" spans="1:23" ht="84.95" hidden="1" customHeight="1" x14ac:dyDescent="0.2">
      <c r="A287" s="27" t="s">
        <v>3085</v>
      </c>
      <c r="B287" s="60" t="s">
        <v>3086</v>
      </c>
      <c r="C287" s="59" t="s">
        <v>3087</v>
      </c>
      <c r="D287" s="7">
        <v>59056410</v>
      </c>
      <c r="E287" s="28"/>
      <c r="F287" s="28"/>
      <c r="G287" s="7"/>
      <c r="H287" s="7">
        <v>59056410</v>
      </c>
      <c r="I287" s="93">
        <v>0</v>
      </c>
      <c r="J287" s="93">
        <v>0</v>
      </c>
      <c r="K287" s="93">
        <v>0</v>
      </c>
      <c r="L287" s="93">
        <v>0</v>
      </c>
      <c r="M287" s="6">
        <f t="shared" si="5"/>
        <v>59056410</v>
      </c>
      <c r="N287" s="29">
        <v>43426</v>
      </c>
      <c r="O287" s="30">
        <v>43465</v>
      </c>
      <c r="P287" s="12" t="s">
        <v>2536</v>
      </c>
      <c r="Q287" s="11" t="s">
        <v>32</v>
      </c>
      <c r="R287" s="60" t="s">
        <v>3088</v>
      </c>
      <c r="S287" s="26" t="s">
        <v>3089</v>
      </c>
      <c r="T287" s="26" t="s">
        <v>3090</v>
      </c>
      <c r="U287" s="26" t="s">
        <v>3091</v>
      </c>
      <c r="V287" s="64" t="s">
        <v>3092</v>
      </c>
      <c r="W287" s="26" t="s">
        <v>28</v>
      </c>
    </row>
    <row r="288" spans="1:23" s="78" customFormat="1" ht="84.95" hidden="1" customHeight="1" x14ac:dyDescent="0.2">
      <c r="A288" s="70" t="s">
        <v>3212</v>
      </c>
      <c r="B288" s="71" t="s">
        <v>3213</v>
      </c>
      <c r="C288" s="73" t="s">
        <v>3214</v>
      </c>
      <c r="D288" s="74">
        <v>1209630</v>
      </c>
      <c r="E288" s="75"/>
      <c r="F288" s="75"/>
      <c r="G288" s="74"/>
      <c r="H288" s="74"/>
      <c r="I288" s="93">
        <v>0</v>
      </c>
      <c r="J288" s="93">
        <v>0</v>
      </c>
      <c r="K288" s="93">
        <v>0</v>
      </c>
      <c r="L288" s="93">
        <v>0</v>
      </c>
      <c r="M288" s="6">
        <f t="shared" si="5"/>
        <v>0</v>
      </c>
      <c r="N288" s="29">
        <v>43413</v>
      </c>
      <c r="O288" s="30">
        <v>43465</v>
      </c>
      <c r="P288" s="12" t="s">
        <v>2536</v>
      </c>
      <c r="Q288" s="72" t="s">
        <v>32</v>
      </c>
      <c r="R288" s="71"/>
      <c r="S288" s="76"/>
      <c r="T288" s="76"/>
      <c r="U288" s="76"/>
      <c r="V288" s="77"/>
      <c r="W288" s="76"/>
    </row>
    <row r="289" spans="1:23" ht="84.95" hidden="1" customHeight="1" x14ac:dyDescent="0.2">
      <c r="A289" s="27" t="s">
        <v>1998</v>
      </c>
      <c r="B289" s="60" t="s">
        <v>1337</v>
      </c>
      <c r="C289" s="59" t="s">
        <v>1999</v>
      </c>
      <c r="D289" s="7">
        <v>70000000</v>
      </c>
      <c r="E289" s="28">
        <v>32000000</v>
      </c>
      <c r="F289" s="28"/>
      <c r="G289" s="7"/>
      <c r="H289" s="7">
        <v>70000000</v>
      </c>
      <c r="I289" s="93">
        <v>0</v>
      </c>
      <c r="J289" s="93">
        <v>0</v>
      </c>
      <c r="K289" s="93">
        <v>0</v>
      </c>
      <c r="L289" s="93">
        <v>0</v>
      </c>
      <c r="M289" s="6">
        <f t="shared" si="5"/>
        <v>70000000</v>
      </c>
      <c r="N289" s="29">
        <v>43418</v>
      </c>
      <c r="O289" s="30">
        <v>43830</v>
      </c>
      <c r="P289" s="12" t="s">
        <v>617</v>
      </c>
      <c r="Q289" s="13" t="s">
        <v>73</v>
      </c>
      <c r="R289" s="60" t="s">
        <v>1339</v>
      </c>
      <c r="S289" s="26" t="s">
        <v>1340</v>
      </c>
      <c r="T289" s="26" t="s">
        <v>2000</v>
      </c>
      <c r="U289" s="26" t="s">
        <v>1342</v>
      </c>
      <c r="V289" s="32" t="s">
        <v>1343</v>
      </c>
      <c r="W289" s="26" t="s">
        <v>28</v>
      </c>
    </row>
    <row r="290" spans="1:23" ht="84.95" hidden="1" customHeight="1" x14ac:dyDescent="0.2">
      <c r="A290" s="27" t="s">
        <v>2001</v>
      </c>
      <c r="B290" s="60" t="s">
        <v>2002</v>
      </c>
      <c r="C290" s="59" t="s">
        <v>2003</v>
      </c>
      <c r="D290" s="7">
        <v>19992000</v>
      </c>
      <c r="E290" s="28"/>
      <c r="F290" s="28"/>
      <c r="G290" s="7"/>
      <c r="H290" s="7">
        <v>19992000</v>
      </c>
      <c r="I290" s="93">
        <v>0</v>
      </c>
      <c r="J290" s="93">
        <v>0</v>
      </c>
      <c r="K290" s="93">
        <v>0</v>
      </c>
      <c r="L290" s="93">
        <v>0</v>
      </c>
      <c r="M290" s="6">
        <f t="shared" si="5"/>
        <v>19992000</v>
      </c>
      <c r="N290" s="29">
        <v>43417</v>
      </c>
      <c r="O290" s="30">
        <v>43465</v>
      </c>
      <c r="P290" s="12" t="s">
        <v>258</v>
      </c>
      <c r="Q290" s="13" t="s">
        <v>73</v>
      </c>
      <c r="R290" s="60" t="s">
        <v>2004</v>
      </c>
      <c r="S290" s="26" t="s">
        <v>2005</v>
      </c>
      <c r="T290" s="26" t="s">
        <v>2006</v>
      </c>
      <c r="U290" s="26" t="s">
        <v>2007</v>
      </c>
      <c r="V290" s="32" t="s">
        <v>2008</v>
      </c>
      <c r="W290" s="26" t="s">
        <v>28</v>
      </c>
    </row>
    <row r="291" spans="1:23" ht="84.95" hidden="1" customHeight="1" x14ac:dyDescent="0.2">
      <c r="A291" s="27" t="s">
        <v>2009</v>
      </c>
      <c r="B291" s="60" t="s">
        <v>2010</v>
      </c>
      <c r="C291" s="59" t="s">
        <v>2011</v>
      </c>
      <c r="D291" s="7">
        <v>230195662</v>
      </c>
      <c r="E291" s="28"/>
      <c r="F291" s="28"/>
      <c r="G291" s="7"/>
      <c r="H291" s="7">
        <v>230195662</v>
      </c>
      <c r="I291" s="93">
        <v>0</v>
      </c>
      <c r="J291" s="93">
        <v>0</v>
      </c>
      <c r="K291" s="93">
        <v>0</v>
      </c>
      <c r="L291" s="93">
        <v>0</v>
      </c>
      <c r="M291" s="6">
        <f t="shared" si="5"/>
        <v>230195662</v>
      </c>
      <c r="N291" s="29">
        <v>43419</v>
      </c>
      <c r="O291" s="30">
        <v>43738</v>
      </c>
      <c r="P291" s="12" t="s">
        <v>2012</v>
      </c>
      <c r="Q291" s="11" t="s">
        <v>32</v>
      </c>
      <c r="R291" s="60" t="s">
        <v>2013</v>
      </c>
      <c r="S291" s="26" t="s">
        <v>2014</v>
      </c>
      <c r="T291" s="26" t="s">
        <v>2015</v>
      </c>
      <c r="U291" s="26" t="s">
        <v>2016</v>
      </c>
      <c r="V291" s="32" t="s">
        <v>2017</v>
      </c>
      <c r="W291" s="26" t="s">
        <v>28</v>
      </c>
    </row>
    <row r="292" spans="1:23" ht="84.95" hidden="1" customHeight="1" x14ac:dyDescent="0.2">
      <c r="A292" s="27" t="s">
        <v>2018</v>
      </c>
      <c r="B292" s="60" t="s">
        <v>2019</v>
      </c>
      <c r="C292" s="59" t="s">
        <v>2011</v>
      </c>
      <c r="D292" s="7">
        <v>32727000</v>
      </c>
      <c r="E292" s="28">
        <v>16000000</v>
      </c>
      <c r="F292" s="28"/>
      <c r="G292" s="7"/>
      <c r="H292" s="7">
        <v>32727000</v>
      </c>
      <c r="I292" s="93">
        <v>0</v>
      </c>
      <c r="J292" s="93">
        <v>0</v>
      </c>
      <c r="K292" s="93">
        <v>0</v>
      </c>
      <c r="L292" s="93">
        <v>0</v>
      </c>
      <c r="M292" s="6">
        <f t="shared" si="5"/>
        <v>32727000</v>
      </c>
      <c r="N292" s="29">
        <v>43419</v>
      </c>
      <c r="O292" s="30">
        <v>43646</v>
      </c>
      <c r="P292" s="12" t="s">
        <v>2012</v>
      </c>
      <c r="Q292" s="11" t="s">
        <v>32</v>
      </c>
      <c r="R292" s="60" t="s">
        <v>2020</v>
      </c>
      <c r="S292" s="26" t="s">
        <v>2021</v>
      </c>
      <c r="T292" s="26" t="s">
        <v>2022</v>
      </c>
      <c r="U292" s="26" t="s">
        <v>2023</v>
      </c>
      <c r="V292" s="32" t="s">
        <v>2024</v>
      </c>
      <c r="W292" s="26" t="s">
        <v>28</v>
      </c>
    </row>
    <row r="293" spans="1:23" ht="84.95" hidden="1" customHeight="1" x14ac:dyDescent="0.2">
      <c r="A293" s="27" t="s">
        <v>2025</v>
      </c>
      <c r="B293" s="60" t="s">
        <v>1306</v>
      </c>
      <c r="C293" s="59" t="s">
        <v>2011</v>
      </c>
      <c r="D293" s="7">
        <v>9193560</v>
      </c>
      <c r="E293" s="28"/>
      <c r="F293" s="28"/>
      <c r="G293" s="7"/>
      <c r="H293" s="7">
        <v>9193560</v>
      </c>
      <c r="I293" s="93">
        <v>0</v>
      </c>
      <c r="J293" s="93">
        <v>0</v>
      </c>
      <c r="K293" s="93">
        <v>0</v>
      </c>
      <c r="L293" s="93">
        <v>0</v>
      </c>
      <c r="M293" s="6">
        <f t="shared" si="5"/>
        <v>9193560</v>
      </c>
      <c r="N293" s="29">
        <v>43419</v>
      </c>
      <c r="O293" s="30">
        <v>43465</v>
      </c>
      <c r="P293" s="12" t="s">
        <v>2012</v>
      </c>
      <c r="Q293" s="11" t="s">
        <v>32</v>
      </c>
      <c r="R293" s="60" t="s">
        <v>1308</v>
      </c>
      <c r="S293" s="26" t="s">
        <v>2026</v>
      </c>
      <c r="T293" s="26" t="s">
        <v>2027</v>
      </c>
      <c r="U293" s="26" t="s">
        <v>2028</v>
      </c>
      <c r="V293" s="32" t="s">
        <v>1312</v>
      </c>
      <c r="W293" s="26" t="s">
        <v>28</v>
      </c>
    </row>
    <row r="294" spans="1:23" ht="84.95" hidden="1" customHeight="1" x14ac:dyDescent="0.2">
      <c r="A294" s="27" t="s">
        <v>2029</v>
      </c>
      <c r="B294" s="60" t="s">
        <v>2030</v>
      </c>
      <c r="C294" s="59" t="s">
        <v>3344</v>
      </c>
      <c r="D294" s="7">
        <v>36704160</v>
      </c>
      <c r="E294" s="28"/>
      <c r="F294" s="28"/>
      <c r="G294" s="7"/>
      <c r="H294" s="7">
        <v>36704160</v>
      </c>
      <c r="I294" s="93">
        <v>0</v>
      </c>
      <c r="J294" s="93">
        <v>0</v>
      </c>
      <c r="K294" s="93">
        <v>0</v>
      </c>
      <c r="L294" s="93">
        <v>0</v>
      </c>
      <c r="M294" s="6">
        <f t="shared" si="5"/>
        <v>36704160</v>
      </c>
      <c r="N294" s="29">
        <v>43419</v>
      </c>
      <c r="O294" s="30">
        <v>43646</v>
      </c>
      <c r="P294" s="12" t="s">
        <v>2012</v>
      </c>
      <c r="Q294" s="11" t="s">
        <v>32</v>
      </c>
      <c r="R294" s="60" t="s">
        <v>2031</v>
      </c>
      <c r="S294" s="26" t="s">
        <v>2032</v>
      </c>
      <c r="T294" s="26" t="s">
        <v>2033</v>
      </c>
      <c r="U294" s="26" t="s">
        <v>2034</v>
      </c>
      <c r="V294" s="32" t="s">
        <v>2035</v>
      </c>
      <c r="W294" s="26" t="s">
        <v>264</v>
      </c>
    </row>
    <row r="295" spans="1:23" ht="84.95" hidden="1" customHeight="1" x14ac:dyDescent="0.2">
      <c r="A295" s="27" t="s">
        <v>2036</v>
      </c>
      <c r="B295" s="60" t="s">
        <v>628</v>
      </c>
      <c r="C295" s="59" t="s">
        <v>2037</v>
      </c>
      <c r="D295" s="7">
        <v>2041360</v>
      </c>
      <c r="E295" s="28"/>
      <c r="F295" s="28"/>
      <c r="G295" s="7"/>
      <c r="H295" s="7">
        <v>2041360</v>
      </c>
      <c r="I295" s="93">
        <v>0</v>
      </c>
      <c r="J295" s="93">
        <v>0</v>
      </c>
      <c r="K295" s="93">
        <v>0</v>
      </c>
      <c r="L295" s="93">
        <v>0</v>
      </c>
      <c r="M295" s="6">
        <f t="shared" si="5"/>
        <v>2041360</v>
      </c>
      <c r="N295" s="29">
        <v>43419</v>
      </c>
      <c r="O295" s="30">
        <v>43496</v>
      </c>
      <c r="P295" s="12" t="s">
        <v>418</v>
      </c>
      <c r="Q295" s="13" t="s">
        <v>56</v>
      </c>
      <c r="R295" s="60" t="s">
        <v>629</v>
      </c>
      <c r="S295" s="26" t="s">
        <v>630</v>
      </c>
      <c r="T295" s="26" t="s">
        <v>2038</v>
      </c>
      <c r="U295" s="26" t="s">
        <v>632</v>
      </c>
      <c r="V295" s="32" t="s">
        <v>2039</v>
      </c>
      <c r="W295" s="26" t="s">
        <v>28</v>
      </c>
    </row>
    <row r="296" spans="1:23" ht="84.95" hidden="1" customHeight="1" x14ac:dyDescent="0.2">
      <c r="A296" s="27" t="s">
        <v>2040</v>
      </c>
      <c r="B296" s="60" t="s">
        <v>1714</v>
      </c>
      <c r="C296" s="59" t="s">
        <v>2041</v>
      </c>
      <c r="D296" s="7">
        <v>50000000</v>
      </c>
      <c r="E296" s="28"/>
      <c r="F296" s="28"/>
      <c r="G296" s="7"/>
      <c r="H296" s="7">
        <v>50000000</v>
      </c>
      <c r="I296" s="93">
        <v>0</v>
      </c>
      <c r="J296" s="93">
        <v>0</v>
      </c>
      <c r="K296" s="93">
        <v>0</v>
      </c>
      <c r="L296" s="93">
        <v>0</v>
      </c>
      <c r="M296" s="6">
        <f t="shared" si="5"/>
        <v>50000000</v>
      </c>
      <c r="N296" s="29">
        <v>43419</v>
      </c>
      <c r="O296" s="30">
        <v>43449</v>
      </c>
      <c r="P296" s="12" t="s">
        <v>1716</v>
      </c>
      <c r="Q296" s="11" t="s">
        <v>32</v>
      </c>
      <c r="R296" s="60" t="s">
        <v>1717</v>
      </c>
      <c r="S296" s="26" t="s">
        <v>1718</v>
      </c>
      <c r="T296" s="26" t="s">
        <v>1719</v>
      </c>
      <c r="U296" s="26" t="s">
        <v>1720</v>
      </c>
      <c r="V296" s="32" t="s">
        <v>1721</v>
      </c>
      <c r="W296" s="26" t="s">
        <v>28</v>
      </c>
    </row>
    <row r="297" spans="1:23" ht="84.95" hidden="1" customHeight="1" x14ac:dyDescent="0.2">
      <c r="A297" s="27" t="s">
        <v>2042</v>
      </c>
      <c r="B297" s="60" t="s">
        <v>2043</v>
      </c>
      <c r="C297" s="59" t="s">
        <v>1550</v>
      </c>
      <c r="D297" s="7">
        <v>7400000</v>
      </c>
      <c r="E297" s="28"/>
      <c r="F297" s="28"/>
      <c r="G297" s="7"/>
      <c r="H297" s="7">
        <v>7400000</v>
      </c>
      <c r="I297" s="93">
        <v>0</v>
      </c>
      <c r="J297" s="93">
        <v>0</v>
      </c>
      <c r="K297" s="93">
        <v>0</v>
      </c>
      <c r="L297" s="93">
        <v>0</v>
      </c>
      <c r="M297" s="6">
        <f t="shared" si="5"/>
        <v>7400000</v>
      </c>
      <c r="N297" s="29">
        <v>43419</v>
      </c>
      <c r="O297" s="30">
        <v>43465</v>
      </c>
      <c r="P297" s="12" t="s">
        <v>2044</v>
      </c>
      <c r="Q297" s="13" t="s">
        <v>56</v>
      </c>
      <c r="R297" s="60" t="s">
        <v>1551</v>
      </c>
      <c r="S297" s="26" t="s">
        <v>1552</v>
      </c>
      <c r="T297" s="26" t="s">
        <v>2045</v>
      </c>
      <c r="U297" s="26" t="s">
        <v>1852</v>
      </c>
      <c r="V297" s="32" t="s">
        <v>1555</v>
      </c>
      <c r="W297" s="26" t="s">
        <v>28</v>
      </c>
    </row>
    <row r="298" spans="1:23" ht="84.95" hidden="1" customHeight="1" x14ac:dyDescent="0.2">
      <c r="A298" s="27" t="s">
        <v>2046</v>
      </c>
      <c r="B298" s="60" t="s">
        <v>1560</v>
      </c>
      <c r="C298" s="59" t="s">
        <v>1550</v>
      </c>
      <c r="D298" s="7">
        <v>13278360</v>
      </c>
      <c r="E298" s="28"/>
      <c r="F298" s="28"/>
      <c r="G298" s="7"/>
      <c r="H298" s="7">
        <v>13278360</v>
      </c>
      <c r="I298" s="93">
        <v>0</v>
      </c>
      <c r="J298" s="93">
        <v>0</v>
      </c>
      <c r="K298" s="93">
        <v>0</v>
      </c>
      <c r="L298" s="93">
        <v>0</v>
      </c>
      <c r="M298" s="6">
        <f t="shared" si="5"/>
        <v>13278360</v>
      </c>
      <c r="N298" s="29">
        <v>43419</v>
      </c>
      <c r="O298" s="30">
        <v>43465</v>
      </c>
      <c r="P298" s="12" t="s">
        <v>2044</v>
      </c>
      <c r="Q298" s="13" t="s">
        <v>56</v>
      </c>
      <c r="R298" s="60" t="s">
        <v>1561</v>
      </c>
      <c r="S298" s="26" t="s">
        <v>1562</v>
      </c>
      <c r="T298" s="26" t="s">
        <v>2047</v>
      </c>
      <c r="U298" s="26" t="s">
        <v>1564</v>
      </c>
      <c r="V298" s="32" t="s">
        <v>1565</v>
      </c>
      <c r="W298" s="26" t="s">
        <v>28</v>
      </c>
    </row>
    <row r="299" spans="1:23" ht="84.95" hidden="1" customHeight="1" x14ac:dyDescent="0.2">
      <c r="A299" s="27" t="s">
        <v>2048</v>
      </c>
      <c r="B299" s="60" t="s">
        <v>1306</v>
      </c>
      <c r="C299" s="59" t="s">
        <v>1550</v>
      </c>
      <c r="D299" s="7">
        <v>6953498</v>
      </c>
      <c r="E299" s="28"/>
      <c r="F299" s="28"/>
      <c r="G299" s="7"/>
      <c r="H299" s="7">
        <v>6953498</v>
      </c>
      <c r="I299" s="93">
        <v>0</v>
      </c>
      <c r="J299" s="93">
        <v>0</v>
      </c>
      <c r="K299" s="93">
        <v>0</v>
      </c>
      <c r="L299" s="93">
        <v>0</v>
      </c>
      <c r="M299" s="6">
        <f t="shared" si="5"/>
        <v>6953498</v>
      </c>
      <c r="N299" s="29">
        <v>43419</v>
      </c>
      <c r="O299" s="30">
        <v>43465</v>
      </c>
      <c r="P299" s="12" t="s">
        <v>2049</v>
      </c>
      <c r="Q299" s="13" t="s">
        <v>56</v>
      </c>
      <c r="R299" s="60" t="s">
        <v>1308</v>
      </c>
      <c r="S299" s="26" t="s">
        <v>2026</v>
      </c>
      <c r="T299" s="26" t="s">
        <v>2050</v>
      </c>
      <c r="U299" s="26" t="s">
        <v>2051</v>
      </c>
      <c r="V299" s="32" t="s">
        <v>1312</v>
      </c>
      <c r="W299" s="26" t="s">
        <v>28</v>
      </c>
    </row>
    <row r="300" spans="1:23" ht="84.95" hidden="1" customHeight="1" x14ac:dyDescent="0.2">
      <c r="A300" s="27" t="s">
        <v>2052</v>
      </c>
      <c r="B300" s="60" t="s">
        <v>2053</v>
      </c>
      <c r="C300" s="59" t="s">
        <v>2054</v>
      </c>
      <c r="D300" s="7">
        <v>38640000</v>
      </c>
      <c r="E300" s="28">
        <v>19000000</v>
      </c>
      <c r="F300" s="28"/>
      <c r="G300" s="7"/>
      <c r="H300" s="7">
        <v>57640000</v>
      </c>
      <c r="I300" s="93">
        <v>0</v>
      </c>
      <c r="J300" s="93">
        <v>0</v>
      </c>
      <c r="K300" s="93">
        <v>0</v>
      </c>
      <c r="L300" s="93">
        <v>0</v>
      </c>
      <c r="M300" s="6">
        <f t="shared" si="5"/>
        <v>57640000</v>
      </c>
      <c r="N300" s="29">
        <v>43420</v>
      </c>
      <c r="O300" s="30">
        <v>43449</v>
      </c>
      <c r="P300" s="12" t="s">
        <v>2055</v>
      </c>
      <c r="Q300" s="13" t="s">
        <v>73</v>
      </c>
      <c r="R300" s="60" t="s">
        <v>1991</v>
      </c>
      <c r="S300" s="26" t="s">
        <v>2056</v>
      </c>
      <c r="T300" s="26" t="s">
        <v>2057</v>
      </c>
      <c r="U300" s="26" t="s">
        <v>2058</v>
      </c>
      <c r="V300" s="32" t="s">
        <v>2059</v>
      </c>
      <c r="W300" s="26" t="s">
        <v>28</v>
      </c>
    </row>
    <row r="301" spans="1:23" ht="84.95" hidden="1" customHeight="1" x14ac:dyDescent="0.2">
      <c r="A301" s="27" t="s">
        <v>2060</v>
      </c>
      <c r="B301" s="60" t="s">
        <v>616</v>
      </c>
      <c r="C301" s="59" t="s">
        <v>3262</v>
      </c>
      <c r="D301" s="7">
        <v>4721920</v>
      </c>
      <c r="E301" s="28"/>
      <c r="F301" s="28"/>
      <c r="G301" s="7"/>
      <c r="H301" s="7">
        <v>4721920</v>
      </c>
      <c r="I301" s="93">
        <v>0</v>
      </c>
      <c r="J301" s="93">
        <v>0</v>
      </c>
      <c r="K301" s="93">
        <v>0</v>
      </c>
      <c r="L301" s="93">
        <v>0</v>
      </c>
      <c r="M301" s="6">
        <f t="shared" si="5"/>
        <v>4721920</v>
      </c>
      <c r="N301" s="29">
        <v>43424</v>
      </c>
      <c r="O301" s="30">
        <v>43465</v>
      </c>
      <c r="P301" s="12" t="s">
        <v>2061</v>
      </c>
      <c r="Q301" s="13" t="s">
        <v>73</v>
      </c>
      <c r="R301" s="60" t="s">
        <v>2062</v>
      </c>
      <c r="S301" s="26" t="s">
        <v>619</v>
      </c>
      <c r="T301" s="26" t="s">
        <v>2063</v>
      </c>
      <c r="U301" s="26" t="s">
        <v>2064</v>
      </c>
      <c r="V301" s="32" t="s">
        <v>622</v>
      </c>
      <c r="W301" s="26" t="s">
        <v>28</v>
      </c>
    </row>
    <row r="302" spans="1:23" ht="132" hidden="1" customHeight="1" x14ac:dyDescent="0.2">
      <c r="A302" s="27" t="s">
        <v>2065</v>
      </c>
      <c r="B302" s="60" t="s">
        <v>2066</v>
      </c>
      <c r="C302" s="59" t="s">
        <v>2067</v>
      </c>
      <c r="D302" s="7">
        <v>24000000</v>
      </c>
      <c r="E302" s="28"/>
      <c r="F302" s="28"/>
      <c r="G302" s="7"/>
      <c r="H302" s="7">
        <v>24000000</v>
      </c>
      <c r="I302" s="93">
        <v>0</v>
      </c>
      <c r="J302" s="93">
        <v>0</v>
      </c>
      <c r="K302" s="93">
        <v>0</v>
      </c>
      <c r="L302" s="93">
        <v>0</v>
      </c>
      <c r="M302" s="6">
        <f t="shared" si="5"/>
        <v>24000000</v>
      </c>
      <c r="N302" s="29">
        <v>43424</v>
      </c>
      <c r="O302" s="30">
        <v>43465</v>
      </c>
      <c r="P302" s="12" t="s">
        <v>2068</v>
      </c>
      <c r="Q302" s="13" t="s">
        <v>73</v>
      </c>
      <c r="R302" s="60" t="s">
        <v>2066</v>
      </c>
      <c r="S302" s="26" t="s">
        <v>2069</v>
      </c>
      <c r="T302" s="26" t="s">
        <v>2070</v>
      </c>
      <c r="U302" s="26" t="s">
        <v>2071</v>
      </c>
      <c r="V302" s="32" t="s">
        <v>2072</v>
      </c>
      <c r="W302" s="26" t="s">
        <v>28</v>
      </c>
    </row>
    <row r="303" spans="1:23" ht="84.95" hidden="1" customHeight="1" x14ac:dyDescent="0.2">
      <c r="A303" s="27" t="s">
        <v>2073</v>
      </c>
      <c r="B303" s="60" t="s">
        <v>1388</v>
      </c>
      <c r="C303" s="59" t="s">
        <v>2074</v>
      </c>
      <c r="D303" s="7">
        <v>15969228</v>
      </c>
      <c r="E303" s="28"/>
      <c r="F303" s="28"/>
      <c r="G303" s="7"/>
      <c r="H303" s="7">
        <v>15969228</v>
      </c>
      <c r="I303" s="93">
        <v>0</v>
      </c>
      <c r="J303" s="93">
        <v>0</v>
      </c>
      <c r="K303" s="93">
        <v>0</v>
      </c>
      <c r="L303" s="93">
        <v>0</v>
      </c>
      <c r="M303" s="6">
        <f t="shared" si="5"/>
        <v>15969228</v>
      </c>
      <c r="N303" s="29">
        <v>43426</v>
      </c>
      <c r="O303" s="30">
        <v>43449</v>
      </c>
      <c r="P303" s="12" t="s">
        <v>2075</v>
      </c>
      <c r="Q303" s="13" t="s">
        <v>56</v>
      </c>
      <c r="R303" s="60" t="s">
        <v>2076</v>
      </c>
      <c r="S303" s="26" t="s">
        <v>1390</v>
      </c>
      <c r="T303" s="26" t="s">
        <v>2077</v>
      </c>
      <c r="U303" s="26" t="s">
        <v>2078</v>
      </c>
      <c r="V303" s="32" t="s">
        <v>2079</v>
      </c>
      <c r="W303" s="26" t="s">
        <v>28</v>
      </c>
    </row>
    <row r="304" spans="1:23" ht="159" hidden="1" customHeight="1" x14ac:dyDescent="0.2">
      <c r="A304" s="27" t="s">
        <v>2080</v>
      </c>
      <c r="B304" s="60" t="s">
        <v>1617</v>
      </c>
      <c r="C304" s="59" t="s">
        <v>2081</v>
      </c>
      <c r="D304" s="7">
        <v>15000000</v>
      </c>
      <c r="E304" s="28">
        <f>275000000+39000000</f>
        <v>314000000</v>
      </c>
      <c r="F304" s="28"/>
      <c r="G304" s="7">
        <f>D304+E304</f>
        <v>329000000</v>
      </c>
      <c r="H304" s="7">
        <v>15000000</v>
      </c>
      <c r="I304" s="7">
        <v>371000000</v>
      </c>
      <c r="J304" s="7">
        <v>382000000</v>
      </c>
      <c r="K304" s="93">
        <v>39000000</v>
      </c>
      <c r="L304" s="93">
        <v>0</v>
      </c>
      <c r="M304" s="6">
        <f t="shared" si="5"/>
        <v>807000000</v>
      </c>
      <c r="N304" s="29">
        <v>43427</v>
      </c>
      <c r="O304" s="30">
        <v>44286</v>
      </c>
      <c r="P304" s="12" t="s">
        <v>1247</v>
      </c>
      <c r="Q304" s="11" t="s">
        <v>32</v>
      </c>
      <c r="R304" s="60" t="s">
        <v>1619</v>
      </c>
      <c r="S304" s="26" t="s">
        <v>1620</v>
      </c>
      <c r="T304" s="26" t="s">
        <v>2082</v>
      </c>
      <c r="U304" s="26" t="s">
        <v>2083</v>
      </c>
      <c r="V304" s="32" t="s">
        <v>2084</v>
      </c>
      <c r="W304" s="26" t="s">
        <v>28</v>
      </c>
    </row>
    <row r="305" spans="1:23" ht="84.95" hidden="1" customHeight="1" x14ac:dyDescent="0.2">
      <c r="A305" s="27" t="s">
        <v>2085</v>
      </c>
      <c r="B305" s="60" t="s">
        <v>2086</v>
      </c>
      <c r="C305" s="59" t="s">
        <v>3263</v>
      </c>
      <c r="D305" s="7">
        <v>4263532</v>
      </c>
      <c r="E305" s="28"/>
      <c r="F305" s="28"/>
      <c r="G305" s="7"/>
      <c r="H305" s="7">
        <v>4263532</v>
      </c>
      <c r="I305" s="93">
        <v>0</v>
      </c>
      <c r="J305" s="93">
        <v>0</v>
      </c>
      <c r="K305" s="93">
        <v>0</v>
      </c>
      <c r="L305" s="93">
        <v>0</v>
      </c>
      <c r="M305" s="6">
        <f t="shared" si="5"/>
        <v>4263532</v>
      </c>
      <c r="N305" s="29">
        <v>43431</v>
      </c>
      <c r="O305" s="30">
        <v>43465</v>
      </c>
      <c r="P305" s="12" t="s">
        <v>3186</v>
      </c>
      <c r="Q305" s="11" t="s">
        <v>32</v>
      </c>
      <c r="R305" s="60" t="s">
        <v>506</v>
      </c>
      <c r="S305" s="26" t="s">
        <v>507</v>
      </c>
      <c r="T305" s="26" t="s">
        <v>2087</v>
      </c>
      <c r="U305" s="26" t="s">
        <v>509</v>
      </c>
      <c r="V305" s="32" t="s">
        <v>2088</v>
      </c>
      <c r="W305" s="26" t="s">
        <v>28</v>
      </c>
    </row>
    <row r="306" spans="1:23" ht="84.95" hidden="1" customHeight="1" x14ac:dyDescent="0.2">
      <c r="A306" s="27" t="s">
        <v>3184</v>
      </c>
      <c r="B306" s="60" t="s">
        <v>3185</v>
      </c>
      <c r="C306" s="59" t="s">
        <v>3264</v>
      </c>
      <c r="D306" s="7">
        <v>1747779</v>
      </c>
      <c r="E306" s="28"/>
      <c r="F306" s="28"/>
      <c r="G306" s="7"/>
      <c r="H306" s="7">
        <v>1747779</v>
      </c>
      <c r="I306" s="93">
        <v>0</v>
      </c>
      <c r="J306" s="93">
        <v>0</v>
      </c>
      <c r="K306" s="93">
        <v>0</v>
      </c>
      <c r="L306" s="93">
        <v>0</v>
      </c>
      <c r="M306" s="6">
        <f t="shared" si="5"/>
        <v>1747779</v>
      </c>
      <c r="N306" s="29">
        <v>43433</v>
      </c>
      <c r="O306" s="30">
        <v>43465</v>
      </c>
      <c r="P306" s="12" t="s">
        <v>3186</v>
      </c>
      <c r="Q306" s="13" t="s">
        <v>73</v>
      </c>
      <c r="R306" s="60" t="s">
        <v>3187</v>
      </c>
      <c r="S306" s="26" t="s">
        <v>3188</v>
      </c>
      <c r="T306" s="26" t="s">
        <v>3189</v>
      </c>
      <c r="U306" s="26" t="s">
        <v>3190</v>
      </c>
      <c r="V306" s="64" t="s">
        <v>3191</v>
      </c>
      <c r="W306" s="26" t="s">
        <v>28</v>
      </c>
    </row>
    <row r="307" spans="1:23" ht="84.95" hidden="1" customHeight="1" x14ac:dyDescent="0.2">
      <c r="A307" s="27" t="s">
        <v>2089</v>
      </c>
      <c r="B307" s="60" t="s">
        <v>1337</v>
      </c>
      <c r="C307" s="59" t="s">
        <v>2090</v>
      </c>
      <c r="D307" s="7">
        <v>25880000</v>
      </c>
      <c r="E307" s="28"/>
      <c r="F307" s="28"/>
      <c r="G307" s="7"/>
      <c r="H307" s="7">
        <v>25880000</v>
      </c>
      <c r="I307" s="93">
        <v>0</v>
      </c>
      <c r="J307" s="93">
        <v>0</v>
      </c>
      <c r="K307" s="93">
        <v>0</v>
      </c>
      <c r="L307" s="93">
        <v>0</v>
      </c>
      <c r="M307" s="6">
        <f t="shared" si="5"/>
        <v>25880000</v>
      </c>
      <c r="N307" s="29">
        <v>43431</v>
      </c>
      <c r="O307" s="30">
        <v>43465</v>
      </c>
      <c r="P307" s="12" t="s">
        <v>2091</v>
      </c>
      <c r="Q307" s="13" t="s">
        <v>56</v>
      </c>
      <c r="R307" s="60" t="s">
        <v>1339</v>
      </c>
      <c r="S307" s="26" t="s">
        <v>1340</v>
      </c>
      <c r="T307" s="26" t="s">
        <v>2092</v>
      </c>
      <c r="U307" s="26" t="s">
        <v>1342</v>
      </c>
      <c r="V307" s="32" t="s">
        <v>2093</v>
      </c>
      <c r="W307" s="26" t="s">
        <v>28</v>
      </c>
    </row>
    <row r="308" spans="1:23" ht="84.95" hidden="1" customHeight="1" x14ac:dyDescent="0.2">
      <c r="A308" s="27" t="s">
        <v>3345</v>
      </c>
      <c r="B308" s="60" t="s">
        <v>3346</v>
      </c>
      <c r="C308" s="59" t="s">
        <v>3347</v>
      </c>
      <c r="D308" s="7">
        <v>50649808</v>
      </c>
      <c r="E308" s="28"/>
      <c r="F308" s="28"/>
      <c r="G308" s="7"/>
      <c r="H308" s="7">
        <v>50649808</v>
      </c>
      <c r="I308" s="93">
        <v>0</v>
      </c>
      <c r="J308" s="93">
        <v>0</v>
      </c>
      <c r="K308" s="93">
        <v>0</v>
      </c>
      <c r="L308" s="93">
        <v>0</v>
      </c>
      <c r="M308" s="6">
        <f t="shared" si="5"/>
        <v>50649808</v>
      </c>
      <c r="N308" s="29">
        <v>43431</v>
      </c>
      <c r="O308" s="30">
        <v>43465</v>
      </c>
      <c r="P308" s="12" t="s">
        <v>258</v>
      </c>
      <c r="Q308" s="13" t="s">
        <v>73</v>
      </c>
      <c r="R308" s="60" t="s">
        <v>3348</v>
      </c>
      <c r="S308" s="26" t="s">
        <v>3349</v>
      </c>
      <c r="T308" s="26" t="s">
        <v>3350</v>
      </c>
      <c r="U308" s="26" t="s">
        <v>3351</v>
      </c>
      <c r="V308" s="64" t="s">
        <v>3352</v>
      </c>
      <c r="W308" s="26" t="s">
        <v>28</v>
      </c>
    </row>
    <row r="309" spans="1:23" ht="84.95" hidden="1" customHeight="1" x14ac:dyDescent="0.2">
      <c r="A309" s="27" t="s">
        <v>2094</v>
      </c>
      <c r="B309" s="60" t="s">
        <v>323</v>
      </c>
      <c r="C309" s="59" t="s">
        <v>3265</v>
      </c>
      <c r="D309" s="7">
        <v>52369186</v>
      </c>
      <c r="E309" s="28"/>
      <c r="F309" s="28"/>
      <c r="G309" s="7"/>
      <c r="H309" s="7">
        <v>52369186</v>
      </c>
      <c r="I309" s="93">
        <v>0</v>
      </c>
      <c r="J309" s="93">
        <v>0</v>
      </c>
      <c r="K309" s="93">
        <v>0</v>
      </c>
      <c r="L309" s="93">
        <v>0</v>
      </c>
      <c r="M309" s="6">
        <f t="shared" si="5"/>
        <v>52369186</v>
      </c>
      <c r="N309" s="29"/>
      <c r="O309" s="30">
        <v>43465</v>
      </c>
      <c r="P309" s="12" t="s">
        <v>575</v>
      </c>
      <c r="Q309" s="13" t="s">
        <v>56</v>
      </c>
      <c r="R309" s="60" t="s">
        <v>2095</v>
      </c>
      <c r="S309" s="26" t="s">
        <v>327</v>
      </c>
      <c r="T309" s="26" t="s">
        <v>328</v>
      </c>
      <c r="U309" s="26" t="s">
        <v>2096</v>
      </c>
      <c r="V309" s="64" t="s">
        <v>626</v>
      </c>
      <c r="W309" s="26" t="s">
        <v>28</v>
      </c>
    </row>
    <row r="310" spans="1:23" ht="84.95" hidden="1" customHeight="1" x14ac:dyDescent="0.2">
      <c r="A310" s="27" t="s">
        <v>2097</v>
      </c>
      <c r="B310" s="60" t="s">
        <v>3293</v>
      </c>
      <c r="C310" s="59" t="s">
        <v>3266</v>
      </c>
      <c r="D310" s="7">
        <v>50838550</v>
      </c>
      <c r="E310" s="28"/>
      <c r="F310" s="28"/>
      <c r="G310" s="7"/>
      <c r="H310" s="7">
        <v>50838550</v>
      </c>
      <c r="I310" s="93">
        <v>0</v>
      </c>
      <c r="J310" s="93">
        <v>0</v>
      </c>
      <c r="K310" s="93">
        <v>0</v>
      </c>
      <c r="L310" s="93">
        <v>0</v>
      </c>
      <c r="M310" s="6">
        <f t="shared" si="5"/>
        <v>50838550</v>
      </c>
      <c r="N310" s="29">
        <v>43434</v>
      </c>
      <c r="O310" s="30">
        <v>43465</v>
      </c>
      <c r="P310" s="12" t="s">
        <v>3307</v>
      </c>
      <c r="Q310" s="13" t="s">
        <v>56</v>
      </c>
      <c r="R310" s="60" t="s">
        <v>2098</v>
      </c>
      <c r="S310" s="26" t="s">
        <v>2099</v>
      </c>
      <c r="T310" s="26" t="s">
        <v>2100</v>
      </c>
      <c r="U310" s="26" t="s">
        <v>2101</v>
      </c>
      <c r="V310" s="32" t="s">
        <v>2102</v>
      </c>
      <c r="W310" s="26" t="s">
        <v>28</v>
      </c>
    </row>
    <row r="311" spans="1:23" ht="84.95" hidden="1" customHeight="1" x14ac:dyDescent="0.2">
      <c r="A311" s="27" t="s">
        <v>2103</v>
      </c>
      <c r="B311" s="60" t="s">
        <v>472</v>
      </c>
      <c r="C311" s="59" t="s">
        <v>3210</v>
      </c>
      <c r="D311" s="7">
        <v>102802910</v>
      </c>
      <c r="E311" s="28"/>
      <c r="F311" s="28"/>
      <c r="G311" s="7"/>
      <c r="H311" s="7">
        <v>102802910</v>
      </c>
      <c r="I311" s="93">
        <v>0</v>
      </c>
      <c r="J311" s="93">
        <v>0</v>
      </c>
      <c r="K311" s="93">
        <v>0</v>
      </c>
      <c r="L311" s="93">
        <v>0</v>
      </c>
      <c r="M311" s="6">
        <f t="shared" si="5"/>
        <v>102802910</v>
      </c>
      <c r="N311" s="29">
        <v>43434</v>
      </c>
      <c r="O311" s="30">
        <v>43511</v>
      </c>
      <c r="P311" s="12" t="s">
        <v>575</v>
      </c>
      <c r="Q311" s="13" t="s">
        <v>56</v>
      </c>
      <c r="R311" s="63" t="s">
        <v>474</v>
      </c>
      <c r="S311" s="26" t="s">
        <v>475</v>
      </c>
      <c r="T311" s="26" t="s">
        <v>2104</v>
      </c>
      <c r="U311" s="26" t="s">
        <v>2105</v>
      </c>
      <c r="V311" s="65" t="s">
        <v>478</v>
      </c>
      <c r="W311" s="26" t="s">
        <v>28</v>
      </c>
    </row>
    <row r="312" spans="1:23" ht="84.95" hidden="1" customHeight="1" x14ac:dyDescent="0.2">
      <c r="A312" s="27" t="s">
        <v>3074</v>
      </c>
      <c r="B312" s="60" t="s">
        <v>3075</v>
      </c>
      <c r="C312" s="59" t="s">
        <v>3211</v>
      </c>
      <c r="D312" s="7">
        <v>101050515</v>
      </c>
      <c r="E312" s="28"/>
      <c r="F312" s="28"/>
      <c r="G312" s="7"/>
      <c r="H312" s="7">
        <v>101050515</v>
      </c>
      <c r="I312" s="93">
        <v>0</v>
      </c>
      <c r="J312" s="93">
        <v>0</v>
      </c>
      <c r="K312" s="93">
        <v>0</v>
      </c>
      <c r="L312" s="93">
        <v>0</v>
      </c>
      <c r="M312" s="6">
        <f t="shared" si="5"/>
        <v>101050515</v>
      </c>
      <c r="N312" s="29">
        <v>43434</v>
      </c>
      <c r="O312" s="30">
        <v>43799</v>
      </c>
      <c r="P312" s="12" t="s">
        <v>3354</v>
      </c>
      <c r="Q312" s="13" t="s">
        <v>56</v>
      </c>
      <c r="R312" s="63" t="s">
        <v>3075</v>
      </c>
      <c r="S312" s="26" t="s">
        <v>3077</v>
      </c>
      <c r="T312" s="26" t="s">
        <v>3078</v>
      </c>
      <c r="U312" s="26" t="s">
        <v>3079</v>
      </c>
      <c r="V312" s="64" t="s">
        <v>3147</v>
      </c>
      <c r="W312" s="26" t="s">
        <v>28</v>
      </c>
    </row>
    <row r="313" spans="1:23" ht="84.95" hidden="1" customHeight="1" x14ac:dyDescent="0.2">
      <c r="A313" s="27" t="s">
        <v>3080</v>
      </c>
      <c r="B313" s="60" t="s">
        <v>3081</v>
      </c>
      <c r="C313" s="59" t="s">
        <v>3076</v>
      </c>
      <c r="D313" s="7">
        <v>101050515</v>
      </c>
      <c r="E313" s="28"/>
      <c r="F313" s="28"/>
      <c r="G313" s="7"/>
      <c r="H313" s="7">
        <v>101050515</v>
      </c>
      <c r="I313" s="93">
        <v>0</v>
      </c>
      <c r="J313" s="93">
        <v>0</v>
      </c>
      <c r="K313" s="93">
        <v>0</v>
      </c>
      <c r="L313" s="93">
        <v>0</v>
      </c>
      <c r="M313" s="6">
        <f t="shared" si="5"/>
        <v>101050515</v>
      </c>
      <c r="N313" s="29">
        <v>43434</v>
      </c>
      <c r="O313" s="30">
        <v>43799</v>
      </c>
      <c r="P313" s="12" t="s">
        <v>3354</v>
      </c>
      <c r="Q313" s="13" t="s">
        <v>56</v>
      </c>
      <c r="R313" s="63" t="s">
        <v>3081</v>
      </c>
      <c r="S313" s="26" t="s">
        <v>3082</v>
      </c>
      <c r="T313" s="26" t="s">
        <v>3083</v>
      </c>
      <c r="U313" s="26" t="s">
        <v>3084</v>
      </c>
      <c r="V313" s="64" t="s">
        <v>3148</v>
      </c>
      <c r="W313" s="26" t="s">
        <v>28</v>
      </c>
    </row>
    <row r="314" spans="1:23" ht="84.95" hidden="1" customHeight="1" x14ac:dyDescent="0.2">
      <c r="A314" s="27" t="s">
        <v>2106</v>
      </c>
      <c r="B314" s="60" t="s">
        <v>2107</v>
      </c>
      <c r="C314" s="59" t="s">
        <v>2108</v>
      </c>
      <c r="D314" s="7">
        <v>8195500</v>
      </c>
      <c r="E314" s="28"/>
      <c r="F314" s="28"/>
      <c r="G314" s="7"/>
      <c r="H314" s="7">
        <v>8195500</v>
      </c>
      <c r="I314" s="7">
        <v>8195500</v>
      </c>
      <c r="J314" s="7">
        <v>92855015</v>
      </c>
      <c r="K314" s="93">
        <v>0</v>
      </c>
      <c r="L314" s="93">
        <v>0</v>
      </c>
      <c r="M314" s="6">
        <f t="shared" si="5"/>
        <v>109246015</v>
      </c>
      <c r="N314" s="29">
        <v>43437</v>
      </c>
      <c r="O314" s="30">
        <v>43799</v>
      </c>
      <c r="P314" s="12" t="s">
        <v>637</v>
      </c>
      <c r="Q314" s="13" t="s">
        <v>56</v>
      </c>
      <c r="R314" s="60" t="s">
        <v>2107</v>
      </c>
      <c r="S314" s="26" t="s">
        <v>2109</v>
      </c>
      <c r="T314" s="26" t="s">
        <v>2110</v>
      </c>
      <c r="U314" s="26" t="s">
        <v>3149</v>
      </c>
      <c r="V314" s="64" t="s">
        <v>3150</v>
      </c>
      <c r="W314" s="26" t="s">
        <v>28</v>
      </c>
    </row>
    <row r="315" spans="1:23" ht="84.95" hidden="1" customHeight="1" x14ac:dyDescent="0.2">
      <c r="A315" s="27" t="s">
        <v>2111</v>
      </c>
      <c r="B315" s="60" t="s">
        <v>2112</v>
      </c>
      <c r="C315" s="59" t="s">
        <v>2108</v>
      </c>
      <c r="D315" s="7">
        <v>8195500</v>
      </c>
      <c r="E315" s="28"/>
      <c r="F315" s="28"/>
      <c r="G315" s="7"/>
      <c r="H315" s="7">
        <v>8195500</v>
      </c>
      <c r="I315" s="7">
        <v>8195500</v>
      </c>
      <c r="J315" s="7">
        <v>92855015</v>
      </c>
      <c r="K315" s="93">
        <v>0</v>
      </c>
      <c r="L315" s="93">
        <v>0</v>
      </c>
      <c r="M315" s="6">
        <f t="shared" si="5"/>
        <v>109246015</v>
      </c>
      <c r="N315" s="29">
        <v>43437</v>
      </c>
      <c r="O315" s="30">
        <v>43799</v>
      </c>
      <c r="P315" s="12" t="s">
        <v>637</v>
      </c>
      <c r="Q315" s="13" t="s">
        <v>56</v>
      </c>
      <c r="R315" s="60" t="s">
        <v>2113</v>
      </c>
      <c r="S315" s="26" t="s">
        <v>2114</v>
      </c>
      <c r="T315" s="26" t="s">
        <v>2115</v>
      </c>
      <c r="U315" s="26" t="s">
        <v>2116</v>
      </c>
      <c r="V315" s="32" t="s">
        <v>642</v>
      </c>
      <c r="W315" s="26" t="s">
        <v>28</v>
      </c>
    </row>
    <row r="316" spans="1:23" ht="84.95" hidden="1" customHeight="1" x14ac:dyDescent="0.2">
      <c r="A316" s="27" t="s">
        <v>2117</v>
      </c>
      <c r="B316" s="60" t="s">
        <v>2118</v>
      </c>
      <c r="C316" s="59" t="s">
        <v>3232</v>
      </c>
      <c r="D316" s="7">
        <v>50700000</v>
      </c>
      <c r="E316" s="28"/>
      <c r="F316" s="28"/>
      <c r="G316" s="7"/>
      <c r="H316" s="7">
        <v>50700000</v>
      </c>
      <c r="I316" s="93">
        <v>0</v>
      </c>
      <c r="J316" s="93">
        <v>0</v>
      </c>
      <c r="K316" s="93">
        <v>0</v>
      </c>
      <c r="L316" s="93">
        <v>0</v>
      </c>
      <c r="M316" s="6">
        <f t="shared" si="5"/>
        <v>50700000</v>
      </c>
      <c r="N316" s="29">
        <v>43438</v>
      </c>
      <c r="O316" s="30">
        <v>43465</v>
      </c>
      <c r="P316" s="12" t="s">
        <v>31</v>
      </c>
      <c r="Q316" s="11" t="s">
        <v>32</v>
      </c>
      <c r="R316" s="60" t="s">
        <v>2119</v>
      </c>
      <c r="S316" s="26" t="s">
        <v>2120</v>
      </c>
      <c r="T316" s="26" t="s">
        <v>2121</v>
      </c>
      <c r="U316" s="26" t="s">
        <v>2122</v>
      </c>
      <c r="V316" s="32" t="s">
        <v>2123</v>
      </c>
      <c r="W316" s="26" t="s">
        <v>28</v>
      </c>
    </row>
    <row r="317" spans="1:23" ht="84.95" hidden="1" customHeight="1" x14ac:dyDescent="0.2">
      <c r="A317" s="27" t="s">
        <v>3126</v>
      </c>
      <c r="B317" s="60" t="s">
        <v>3127</v>
      </c>
      <c r="C317" s="59" t="s">
        <v>3267</v>
      </c>
      <c r="D317" s="7">
        <v>14779800</v>
      </c>
      <c r="E317" s="28"/>
      <c r="F317" s="28"/>
      <c r="G317" s="7"/>
      <c r="H317" s="7">
        <v>14779800</v>
      </c>
      <c r="I317" s="93">
        <v>0</v>
      </c>
      <c r="J317" s="93">
        <v>0</v>
      </c>
      <c r="K317" s="93">
        <v>0</v>
      </c>
      <c r="L317" s="93">
        <v>0</v>
      </c>
      <c r="M317" s="6">
        <f t="shared" si="5"/>
        <v>14779800</v>
      </c>
      <c r="N317" s="29">
        <v>43438</v>
      </c>
      <c r="O317" s="30">
        <v>43616</v>
      </c>
      <c r="P317" s="12" t="s">
        <v>1857</v>
      </c>
      <c r="Q317" s="72" t="s">
        <v>32</v>
      </c>
      <c r="R317" s="60" t="s">
        <v>3128</v>
      </c>
      <c r="S317" s="26" t="s">
        <v>3132</v>
      </c>
      <c r="T317" s="26" t="s">
        <v>3129</v>
      </c>
      <c r="U317" s="26" t="s">
        <v>3130</v>
      </c>
      <c r="V317" s="64" t="s">
        <v>3131</v>
      </c>
      <c r="W317" s="26" t="s">
        <v>28</v>
      </c>
    </row>
    <row r="318" spans="1:23" ht="152.25" hidden="1" customHeight="1" x14ac:dyDescent="0.2">
      <c r="A318" s="27" t="s">
        <v>2124</v>
      </c>
      <c r="B318" s="60" t="s">
        <v>2125</v>
      </c>
      <c r="C318" s="59" t="s">
        <v>2126</v>
      </c>
      <c r="D318" s="7">
        <v>13261300</v>
      </c>
      <c r="E318" s="28">
        <v>74400000</v>
      </c>
      <c r="F318" s="28"/>
      <c r="G318" s="7"/>
      <c r="H318" s="7">
        <v>13261300</v>
      </c>
      <c r="I318" s="7">
        <v>136738690</v>
      </c>
      <c r="J318" s="7">
        <v>74400000</v>
      </c>
      <c r="K318" s="93">
        <v>0</v>
      </c>
      <c r="L318" s="93">
        <v>0</v>
      </c>
      <c r="M318" s="6">
        <f t="shared" si="5"/>
        <v>224399990</v>
      </c>
      <c r="N318" s="29">
        <v>43437</v>
      </c>
      <c r="O318" s="30">
        <v>44135</v>
      </c>
      <c r="P318" s="12" t="s">
        <v>695</v>
      </c>
      <c r="Q318" s="11" t="s">
        <v>32</v>
      </c>
      <c r="R318" s="60" t="s">
        <v>2125</v>
      </c>
      <c r="S318" s="26" t="s">
        <v>2127</v>
      </c>
      <c r="T318" s="26" t="s">
        <v>2128</v>
      </c>
      <c r="U318" s="26" t="s">
        <v>2129</v>
      </c>
      <c r="V318" s="32" t="s">
        <v>2130</v>
      </c>
      <c r="W318" s="26" t="s">
        <v>28</v>
      </c>
    </row>
    <row r="319" spans="1:23" ht="126.75" hidden="1" customHeight="1" x14ac:dyDescent="0.2">
      <c r="A319" s="27" t="s">
        <v>2131</v>
      </c>
      <c r="B319" s="60" t="s">
        <v>2132</v>
      </c>
      <c r="C319" s="59" t="s">
        <v>2133</v>
      </c>
      <c r="D319" s="7">
        <v>109246130</v>
      </c>
      <c r="E319" s="28">
        <v>21000000</v>
      </c>
      <c r="F319" s="28"/>
      <c r="G319" s="7"/>
      <c r="H319" s="7">
        <v>8840000</v>
      </c>
      <c r="I319" s="7">
        <v>100406130</v>
      </c>
      <c r="J319" s="93">
        <v>0</v>
      </c>
      <c r="K319" s="93">
        <v>0</v>
      </c>
      <c r="L319" s="93">
        <v>0</v>
      </c>
      <c r="M319" s="6">
        <f t="shared" si="5"/>
        <v>109246130</v>
      </c>
      <c r="N319" s="29">
        <v>43437</v>
      </c>
      <c r="O319" s="30">
        <v>43799</v>
      </c>
      <c r="P319" s="12" t="s">
        <v>695</v>
      </c>
      <c r="Q319" s="11" t="s">
        <v>32</v>
      </c>
      <c r="R319" s="60" t="s">
        <v>2132</v>
      </c>
      <c r="S319" s="26" t="s">
        <v>2134</v>
      </c>
      <c r="T319" s="26" t="s">
        <v>2135</v>
      </c>
      <c r="U319" s="26" t="s">
        <v>2136</v>
      </c>
      <c r="V319" s="32" t="s">
        <v>2137</v>
      </c>
      <c r="W319" s="26" t="s">
        <v>28</v>
      </c>
    </row>
    <row r="320" spans="1:23" ht="122.25" hidden="1" customHeight="1" x14ac:dyDescent="0.2">
      <c r="A320" s="27" t="s">
        <v>2138</v>
      </c>
      <c r="B320" s="60" t="s">
        <v>2139</v>
      </c>
      <c r="C320" s="59" t="s">
        <v>2140</v>
      </c>
      <c r="D320" s="7">
        <v>120000000</v>
      </c>
      <c r="E320" s="28"/>
      <c r="F320" s="28"/>
      <c r="G320" s="7"/>
      <c r="H320" s="7">
        <v>120000000</v>
      </c>
      <c r="I320" s="93">
        <v>0</v>
      </c>
      <c r="J320" s="93">
        <v>0</v>
      </c>
      <c r="K320" s="93">
        <v>0</v>
      </c>
      <c r="L320" s="93">
        <v>0</v>
      </c>
      <c r="M320" s="6">
        <f t="shared" si="5"/>
        <v>120000000</v>
      </c>
      <c r="N320" s="29">
        <v>43437</v>
      </c>
      <c r="O320" s="30">
        <v>43799</v>
      </c>
      <c r="P320" s="12" t="s">
        <v>695</v>
      </c>
      <c r="Q320" s="11" t="s">
        <v>32</v>
      </c>
      <c r="R320" s="60" t="s">
        <v>2139</v>
      </c>
      <c r="S320" s="26" t="s">
        <v>2141</v>
      </c>
      <c r="T320" s="26" t="s">
        <v>2142</v>
      </c>
      <c r="U320" s="26" t="s">
        <v>2143</v>
      </c>
      <c r="V320" s="32" t="s">
        <v>2144</v>
      </c>
      <c r="W320" s="26" t="s">
        <v>28</v>
      </c>
    </row>
    <row r="321" spans="1:23" ht="133.5" hidden="1" customHeight="1" x14ac:dyDescent="0.2">
      <c r="A321" s="27" t="s">
        <v>2145</v>
      </c>
      <c r="B321" s="60" t="s">
        <v>2146</v>
      </c>
      <c r="C321" s="59" t="s">
        <v>2147</v>
      </c>
      <c r="D321" s="7">
        <v>60000000</v>
      </c>
      <c r="E321" s="28"/>
      <c r="F321" s="28"/>
      <c r="G321" s="7"/>
      <c r="H321" s="7">
        <v>60000000</v>
      </c>
      <c r="I321" s="93">
        <v>0</v>
      </c>
      <c r="J321" s="93">
        <v>0</v>
      </c>
      <c r="K321" s="93">
        <v>0</v>
      </c>
      <c r="L321" s="93">
        <v>0</v>
      </c>
      <c r="M321" s="6">
        <f t="shared" si="5"/>
        <v>60000000</v>
      </c>
      <c r="N321" s="29">
        <v>43437</v>
      </c>
      <c r="O321" s="30">
        <v>43941</v>
      </c>
      <c r="P321" s="12" t="s">
        <v>695</v>
      </c>
      <c r="Q321" s="11" t="s">
        <v>32</v>
      </c>
      <c r="R321" s="60" t="s">
        <v>2146</v>
      </c>
      <c r="S321" s="26" t="s">
        <v>2148</v>
      </c>
      <c r="T321" s="26" t="s">
        <v>2149</v>
      </c>
      <c r="U321" s="26" t="s">
        <v>2150</v>
      </c>
      <c r="V321" s="32" t="s">
        <v>2151</v>
      </c>
      <c r="W321" s="26" t="s">
        <v>28</v>
      </c>
    </row>
    <row r="322" spans="1:23" ht="84.95" hidden="1" customHeight="1" x14ac:dyDescent="0.2">
      <c r="A322" s="27" t="s">
        <v>2152</v>
      </c>
      <c r="B322" s="60" t="s">
        <v>2153</v>
      </c>
      <c r="C322" s="59" t="s">
        <v>2154</v>
      </c>
      <c r="D322" s="7">
        <v>4611300</v>
      </c>
      <c r="E322" s="28"/>
      <c r="F322" s="28"/>
      <c r="G322" s="7"/>
      <c r="H322" s="7">
        <v>4611300</v>
      </c>
      <c r="I322" s="7">
        <v>52371110</v>
      </c>
      <c r="J322" s="93">
        <v>0</v>
      </c>
      <c r="K322" s="93">
        <v>0</v>
      </c>
      <c r="L322" s="93">
        <v>0</v>
      </c>
      <c r="M322" s="6">
        <f t="shared" si="5"/>
        <v>56982410</v>
      </c>
      <c r="N322" s="29">
        <v>43440</v>
      </c>
      <c r="O322" s="30">
        <v>43799</v>
      </c>
      <c r="P322" s="12" t="s">
        <v>1954</v>
      </c>
      <c r="Q322" s="11" t="s">
        <v>32</v>
      </c>
      <c r="R322" s="60" t="s">
        <v>2153</v>
      </c>
      <c r="S322" s="26" t="s">
        <v>2155</v>
      </c>
      <c r="T322" s="26" t="s">
        <v>2156</v>
      </c>
      <c r="U322" s="26" t="s">
        <v>2157</v>
      </c>
      <c r="V322" s="32" t="s">
        <v>2158</v>
      </c>
      <c r="W322" s="26" t="s">
        <v>28</v>
      </c>
    </row>
    <row r="323" spans="1:23" ht="229.5" customHeight="1" x14ac:dyDescent="0.2">
      <c r="A323" s="27" t="s">
        <v>2159</v>
      </c>
      <c r="B323" s="60" t="s">
        <v>2160</v>
      </c>
      <c r="C323" s="59" t="s">
        <v>2161</v>
      </c>
      <c r="D323" s="7">
        <v>27318333</v>
      </c>
      <c r="E323" s="28"/>
      <c r="F323" s="28"/>
      <c r="G323" s="7"/>
      <c r="H323" s="7">
        <v>27318333</v>
      </c>
      <c r="I323" s="7">
        <v>337654596</v>
      </c>
      <c r="J323" s="7">
        <v>347784234</v>
      </c>
      <c r="K323" s="7">
        <v>358217761</v>
      </c>
      <c r="L323" s="7">
        <v>215229171</v>
      </c>
      <c r="M323" s="6">
        <f t="shared" si="5"/>
        <v>1286204095</v>
      </c>
      <c r="N323" s="29">
        <v>43441</v>
      </c>
      <c r="O323" s="30">
        <v>44773</v>
      </c>
      <c r="P323" s="12" t="s">
        <v>931</v>
      </c>
      <c r="Q323" s="13" t="s">
        <v>56</v>
      </c>
      <c r="R323" s="60" t="s">
        <v>2162</v>
      </c>
      <c r="S323" s="26" t="s">
        <v>2163</v>
      </c>
      <c r="T323" s="26" t="s">
        <v>1225</v>
      </c>
      <c r="U323" s="26" t="s">
        <v>1226</v>
      </c>
      <c r="V323" s="32" t="s">
        <v>2164</v>
      </c>
      <c r="W323" s="26" t="s">
        <v>28</v>
      </c>
    </row>
    <row r="324" spans="1:23" ht="84.95" hidden="1" customHeight="1" x14ac:dyDescent="0.2">
      <c r="A324" s="27" t="s">
        <v>2170</v>
      </c>
      <c r="B324" s="60" t="s">
        <v>1882</v>
      </c>
      <c r="C324" s="59" t="s">
        <v>3228</v>
      </c>
      <c r="D324" s="7">
        <v>158000000</v>
      </c>
      <c r="E324" s="28"/>
      <c r="F324" s="28"/>
      <c r="G324" s="7"/>
      <c r="H324" s="7">
        <v>158000000</v>
      </c>
      <c r="I324" s="93">
        <v>0</v>
      </c>
      <c r="J324" s="93">
        <v>0</v>
      </c>
      <c r="K324" s="93">
        <v>0</v>
      </c>
      <c r="L324" s="93">
        <v>0</v>
      </c>
      <c r="M324" s="6">
        <f t="shared" ref="M324:M387" si="6">SUM(H324:L324)</f>
        <v>158000000</v>
      </c>
      <c r="N324" s="29">
        <v>43438</v>
      </c>
      <c r="O324" s="30">
        <v>43496</v>
      </c>
      <c r="P324" s="12" t="s">
        <v>2171</v>
      </c>
      <c r="Q324" s="13" t="s">
        <v>73</v>
      </c>
      <c r="R324" s="60" t="s">
        <v>1883</v>
      </c>
      <c r="S324" s="26" t="s">
        <v>1884</v>
      </c>
      <c r="T324" s="26" t="s">
        <v>2172</v>
      </c>
      <c r="U324" s="26" t="s">
        <v>1886</v>
      </c>
      <c r="V324" s="32" t="s">
        <v>1887</v>
      </c>
      <c r="W324" s="26" t="s">
        <v>264</v>
      </c>
    </row>
    <row r="325" spans="1:23" ht="84.95" hidden="1" customHeight="1" x14ac:dyDescent="0.2">
      <c r="A325" s="27" t="s">
        <v>2173</v>
      </c>
      <c r="B325" s="60" t="s">
        <v>2174</v>
      </c>
      <c r="C325" s="59" t="s">
        <v>2154</v>
      </c>
      <c r="D325" s="7">
        <v>4611300</v>
      </c>
      <c r="E325" s="28"/>
      <c r="F325" s="28"/>
      <c r="G325" s="7"/>
      <c r="H325" s="7">
        <v>4611300</v>
      </c>
      <c r="I325" s="7">
        <v>52371110</v>
      </c>
      <c r="J325" s="93">
        <v>0</v>
      </c>
      <c r="K325" s="93">
        <v>0</v>
      </c>
      <c r="L325" s="93">
        <v>0</v>
      </c>
      <c r="M325" s="6">
        <f t="shared" si="6"/>
        <v>56982410</v>
      </c>
      <c r="N325" s="29">
        <v>43446</v>
      </c>
      <c r="O325" s="30">
        <v>43799</v>
      </c>
      <c r="P325" s="12" t="s">
        <v>695</v>
      </c>
      <c r="Q325" s="11" t="s">
        <v>32</v>
      </c>
      <c r="R325" s="60" t="s">
        <v>2174</v>
      </c>
      <c r="S325" s="26" t="s">
        <v>2175</v>
      </c>
      <c r="T325" s="26" t="s">
        <v>2176</v>
      </c>
      <c r="U325" s="26" t="s">
        <v>3096</v>
      </c>
      <c r="V325" s="64" t="s">
        <v>3151</v>
      </c>
      <c r="W325" s="26" t="s">
        <v>28</v>
      </c>
    </row>
    <row r="326" spans="1:23" ht="84.95" hidden="1" customHeight="1" x14ac:dyDescent="0.2">
      <c r="A326" s="27" t="s">
        <v>2177</v>
      </c>
      <c r="B326" s="60" t="s">
        <v>2178</v>
      </c>
      <c r="C326" s="59" t="s">
        <v>2154</v>
      </c>
      <c r="D326" s="7">
        <v>4611300</v>
      </c>
      <c r="E326" s="28"/>
      <c r="F326" s="28"/>
      <c r="G326" s="7"/>
      <c r="H326" s="7">
        <v>4611300</v>
      </c>
      <c r="I326" s="7">
        <v>52371110</v>
      </c>
      <c r="J326" s="93">
        <v>0</v>
      </c>
      <c r="K326" s="93">
        <v>0</v>
      </c>
      <c r="L326" s="93">
        <v>0</v>
      </c>
      <c r="M326" s="6">
        <f t="shared" si="6"/>
        <v>56982410</v>
      </c>
      <c r="N326" s="29">
        <v>43440</v>
      </c>
      <c r="O326" s="30">
        <v>43799</v>
      </c>
      <c r="P326" s="12" t="s">
        <v>1954</v>
      </c>
      <c r="Q326" s="11" t="s">
        <v>32</v>
      </c>
      <c r="R326" s="60" t="s">
        <v>2178</v>
      </c>
      <c r="S326" s="26" t="s">
        <v>2179</v>
      </c>
      <c r="T326" s="26" t="s">
        <v>2180</v>
      </c>
      <c r="U326" s="26" t="s">
        <v>2181</v>
      </c>
      <c r="V326" s="32" t="s">
        <v>2182</v>
      </c>
      <c r="W326" s="26" t="s">
        <v>28</v>
      </c>
    </row>
    <row r="327" spans="1:23" ht="84.95" hidden="1" customHeight="1" x14ac:dyDescent="0.2">
      <c r="A327" s="27" t="s">
        <v>2183</v>
      </c>
      <c r="B327" s="60" t="s">
        <v>2184</v>
      </c>
      <c r="C327" s="59" t="s">
        <v>2154</v>
      </c>
      <c r="D327" s="7">
        <v>4611300</v>
      </c>
      <c r="E327" s="28"/>
      <c r="F327" s="28"/>
      <c r="G327" s="7"/>
      <c r="H327" s="7">
        <v>4611300</v>
      </c>
      <c r="I327" s="7">
        <v>52371110</v>
      </c>
      <c r="J327" s="93">
        <v>0</v>
      </c>
      <c r="K327" s="93">
        <v>0</v>
      </c>
      <c r="L327" s="93">
        <v>0</v>
      </c>
      <c r="M327" s="6">
        <f t="shared" si="6"/>
        <v>56982410</v>
      </c>
      <c r="N327" s="29">
        <v>43440</v>
      </c>
      <c r="O327" s="30">
        <v>43799</v>
      </c>
      <c r="P327" s="12" t="s">
        <v>1954</v>
      </c>
      <c r="Q327" s="11" t="s">
        <v>32</v>
      </c>
      <c r="R327" s="60" t="s">
        <v>2184</v>
      </c>
      <c r="S327" s="26" t="s">
        <v>2185</v>
      </c>
      <c r="T327" s="26" t="s">
        <v>2186</v>
      </c>
      <c r="U327" s="26" t="s">
        <v>2187</v>
      </c>
      <c r="V327" s="32" t="s">
        <v>2188</v>
      </c>
      <c r="W327" s="26" t="s">
        <v>28</v>
      </c>
    </row>
    <row r="328" spans="1:23" ht="84.95" hidden="1" customHeight="1" x14ac:dyDescent="0.2">
      <c r="A328" s="27" t="s">
        <v>2189</v>
      </c>
      <c r="B328" s="60" t="s">
        <v>2190</v>
      </c>
      <c r="C328" s="59" t="s">
        <v>2154</v>
      </c>
      <c r="D328" s="7">
        <v>4611300</v>
      </c>
      <c r="E328" s="28"/>
      <c r="F328" s="28"/>
      <c r="G328" s="7"/>
      <c r="H328" s="7">
        <v>4611300</v>
      </c>
      <c r="I328" s="7">
        <v>52371110</v>
      </c>
      <c r="J328" s="93">
        <v>0</v>
      </c>
      <c r="K328" s="93">
        <v>0</v>
      </c>
      <c r="L328" s="93">
        <v>0</v>
      </c>
      <c r="M328" s="6">
        <f t="shared" si="6"/>
        <v>56982410</v>
      </c>
      <c r="N328" s="29">
        <v>43440</v>
      </c>
      <c r="O328" s="30">
        <v>43799</v>
      </c>
      <c r="P328" s="12" t="s">
        <v>1954</v>
      </c>
      <c r="Q328" s="11" t="s">
        <v>32</v>
      </c>
      <c r="R328" s="60" t="s">
        <v>2190</v>
      </c>
      <c r="S328" s="26" t="s">
        <v>2191</v>
      </c>
      <c r="T328" s="26" t="s">
        <v>2192</v>
      </c>
      <c r="U328" s="26" t="s">
        <v>2193</v>
      </c>
      <c r="V328" s="32" t="s">
        <v>2194</v>
      </c>
      <c r="W328" s="26" t="s">
        <v>28</v>
      </c>
    </row>
    <row r="329" spans="1:23" ht="84.95" hidden="1" customHeight="1" x14ac:dyDescent="0.2">
      <c r="A329" s="27" t="s">
        <v>2195</v>
      </c>
      <c r="B329" s="60" t="s">
        <v>2196</v>
      </c>
      <c r="C329" s="59" t="s">
        <v>2154</v>
      </c>
      <c r="D329" s="7">
        <v>4611300</v>
      </c>
      <c r="E329" s="28"/>
      <c r="F329" s="28"/>
      <c r="G329" s="7"/>
      <c r="H329" s="7">
        <v>4611300</v>
      </c>
      <c r="I329" s="7">
        <v>52371110</v>
      </c>
      <c r="J329" s="93">
        <v>0</v>
      </c>
      <c r="K329" s="93">
        <v>0</v>
      </c>
      <c r="L329" s="93">
        <v>0</v>
      </c>
      <c r="M329" s="6">
        <f t="shared" si="6"/>
        <v>56982410</v>
      </c>
      <c r="N329" s="29">
        <v>43440</v>
      </c>
      <c r="O329" s="30">
        <v>43799</v>
      </c>
      <c r="P329" s="12" t="s">
        <v>1954</v>
      </c>
      <c r="Q329" s="11" t="s">
        <v>32</v>
      </c>
      <c r="R329" s="60" t="s">
        <v>2196</v>
      </c>
      <c r="S329" s="26" t="s">
        <v>2197</v>
      </c>
      <c r="T329" s="26" t="s">
        <v>2198</v>
      </c>
      <c r="U329" s="26" t="s">
        <v>3152</v>
      </c>
      <c r="V329" s="64" t="s">
        <v>3153</v>
      </c>
      <c r="W329" s="26" t="s">
        <v>28</v>
      </c>
    </row>
    <row r="330" spans="1:23" ht="84.95" hidden="1" customHeight="1" x14ac:dyDescent="0.2">
      <c r="A330" s="27" t="s">
        <v>2199</v>
      </c>
      <c r="B330" s="60" t="s">
        <v>2200</v>
      </c>
      <c r="C330" s="59" t="s">
        <v>2154</v>
      </c>
      <c r="D330" s="7">
        <v>4611300</v>
      </c>
      <c r="E330" s="28"/>
      <c r="F330" s="28"/>
      <c r="G330" s="7"/>
      <c r="H330" s="7">
        <v>4611300</v>
      </c>
      <c r="I330" s="7">
        <v>52371110</v>
      </c>
      <c r="J330" s="93">
        <v>0</v>
      </c>
      <c r="K330" s="93">
        <v>0</v>
      </c>
      <c r="L330" s="93">
        <v>0</v>
      </c>
      <c r="M330" s="6">
        <f t="shared" si="6"/>
        <v>56982410</v>
      </c>
      <c r="N330" s="29">
        <v>43440</v>
      </c>
      <c r="O330" s="30">
        <v>43799</v>
      </c>
      <c r="P330" s="12" t="s">
        <v>1954</v>
      </c>
      <c r="Q330" s="11" t="s">
        <v>32</v>
      </c>
      <c r="R330" s="60" t="s">
        <v>2200</v>
      </c>
      <c r="S330" s="26" t="s">
        <v>2201</v>
      </c>
      <c r="T330" s="26" t="s">
        <v>2202</v>
      </c>
      <c r="U330" s="26" t="s">
        <v>3194</v>
      </c>
      <c r="V330" s="32" t="s">
        <v>2203</v>
      </c>
      <c r="W330" s="26" t="s">
        <v>28</v>
      </c>
    </row>
    <row r="331" spans="1:23" ht="84.95" hidden="1" customHeight="1" x14ac:dyDescent="0.2">
      <c r="A331" s="27" t="s">
        <v>2204</v>
      </c>
      <c r="B331" s="60" t="s">
        <v>2205</v>
      </c>
      <c r="C331" s="59" t="s">
        <v>2154</v>
      </c>
      <c r="D331" s="7">
        <v>4611300</v>
      </c>
      <c r="E331" s="28"/>
      <c r="F331" s="28"/>
      <c r="G331" s="7"/>
      <c r="H331" s="7">
        <v>4611300</v>
      </c>
      <c r="I331" s="7">
        <v>52371110</v>
      </c>
      <c r="J331" s="93">
        <v>0</v>
      </c>
      <c r="K331" s="93">
        <v>0</v>
      </c>
      <c r="L331" s="93">
        <v>0</v>
      </c>
      <c r="M331" s="6">
        <f t="shared" si="6"/>
        <v>56982410</v>
      </c>
      <c r="N331" s="29">
        <v>43440</v>
      </c>
      <c r="O331" s="30">
        <v>43799</v>
      </c>
      <c r="P331" s="12" t="s">
        <v>1954</v>
      </c>
      <c r="Q331" s="11" t="s">
        <v>32</v>
      </c>
      <c r="R331" s="60" t="s">
        <v>2205</v>
      </c>
      <c r="S331" s="26" t="s">
        <v>2206</v>
      </c>
      <c r="T331" s="26" t="s">
        <v>2207</v>
      </c>
      <c r="U331" s="26" t="s">
        <v>2208</v>
      </c>
      <c r="V331" s="32" t="s">
        <v>2209</v>
      </c>
      <c r="W331" s="26" t="s">
        <v>28</v>
      </c>
    </row>
    <row r="332" spans="1:23" ht="84.95" hidden="1" customHeight="1" x14ac:dyDescent="0.2">
      <c r="A332" s="27" t="s">
        <v>2210</v>
      </c>
      <c r="B332" s="60" t="s">
        <v>2211</v>
      </c>
      <c r="C332" s="59" t="s">
        <v>2154</v>
      </c>
      <c r="D332" s="7">
        <v>4611300</v>
      </c>
      <c r="E332" s="28"/>
      <c r="F332" s="28"/>
      <c r="G332" s="7"/>
      <c r="H332" s="7">
        <v>4611300</v>
      </c>
      <c r="I332" s="7">
        <v>52371110</v>
      </c>
      <c r="J332" s="93">
        <v>0</v>
      </c>
      <c r="K332" s="93">
        <v>0</v>
      </c>
      <c r="L332" s="93">
        <v>0</v>
      </c>
      <c r="M332" s="6">
        <f t="shared" si="6"/>
        <v>56982410</v>
      </c>
      <c r="N332" s="29">
        <v>43440</v>
      </c>
      <c r="O332" s="30">
        <v>43799</v>
      </c>
      <c r="P332" s="12" t="s">
        <v>1954</v>
      </c>
      <c r="Q332" s="11" t="s">
        <v>32</v>
      </c>
      <c r="R332" s="60" t="s">
        <v>2211</v>
      </c>
      <c r="S332" s="26" t="s">
        <v>2212</v>
      </c>
      <c r="T332" s="26" t="s">
        <v>2213</v>
      </c>
      <c r="U332" s="26" t="s">
        <v>2214</v>
      </c>
      <c r="V332" s="32" t="s">
        <v>2215</v>
      </c>
      <c r="W332" s="26" t="s">
        <v>28</v>
      </c>
    </row>
    <row r="333" spans="1:23" ht="84.95" hidden="1" customHeight="1" x14ac:dyDescent="0.2">
      <c r="A333" s="27" t="s">
        <v>2216</v>
      </c>
      <c r="B333" s="60" t="s">
        <v>2217</v>
      </c>
      <c r="C333" s="59" t="s">
        <v>2154</v>
      </c>
      <c r="D333" s="7">
        <v>4611300</v>
      </c>
      <c r="E333" s="28"/>
      <c r="F333" s="28"/>
      <c r="G333" s="7"/>
      <c r="H333" s="7">
        <v>4611300</v>
      </c>
      <c r="I333" s="7">
        <v>52371110</v>
      </c>
      <c r="J333" s="93">
        <v>0</v>
      </c>
      <c r="K333" s="93">
        <v>0</v>
      </c>
      <c r="L333" s="93">
        <v>0</v>
      </c>
      <c r="M333" s="6">
        <f t="shared" si="6"/>
        <v>56982410</v>
      </c>
      <c r="N333" s="29">
        <v>43440</v>
      </c>
      <c r="O333" s="30">
        <v>43799</v>
      </c>
      <c r="P333" s="12" t="s">
        <v>1954</v>
      </c>
      <c r="Q333" s="11" t="s">
        <v>32</v>
      </c>
      <c r="R333" s="60" t="s">
        <v>2217</v>
      </c>
      <c r="S333" s="26" t="s">
        <v>2218</v>
      </c>
      <c r="T333" s="26" t="s">
        <v>2219</v>
      </c>
      <c r="U333" s="26" t="s">
        <v>2220</v>
      </c>
      <c r="V333" s="32" t="s">
        <v>2221</v>
      </c>
      <c r="W333" s="26" t="s">
        <v>28</v>
      </c>
    </row>
    <row r="334" spans="1:23" ht="84.95" hidden="1" customHeight="1" x14ac:dyDescent="0.2">
      <c r="A334" s="27" t="s">
        <v>2222</v>
      </c>
      <c r="B334" s="60" t="s">
        <v>2223</v>
      </c>
      <c r="C334" s="59" t="s">
        <v>2154</v>
      </c>
      <c r="D334" s="7">
        <v>4611300</v>
      </c>
      <c r="E334" s="28"/>
      <c r="F334" s="28"/>
      <c r="G334" s="7"/>
      <c r="H334" s="7">
        <v>4611300</v>
      </c>
      <c r="I334" s="7">
        <v>52371110</v>
      </c>
      <c r="J334" s="93">
        <v>0</v>
      </c>
      <c r="K334" s="93">
        <v>0</v>
      </c>
      <c r="L334" s="93">
        <v>0</v>
      </c>
      <c r="M334" s="6">
        <f t="shared" si="6"/>
        <v>56982410</v>
      </c>
      <c r="N334" s="29">
        <v>43440</v>
      </c>
      <c r="O334" s="30">
        <v>43799</v>
      </c>
      <c r="P334" s="12" t="s">
        <v>1954</v>
      </c>
      <c r="Q334" s="11" t="s">
        <v>32</v>
      </c>
      <c r="R334" s="60" t="s">
        <v>2223</v>
      </c>
      <c r="S334" s="26" t="s">
        <v>2224</v>
      </c>
      <c r="T334" s="26" t="s">
        <v>2225</v>
      </c>
      <c r="U334" s="26" t="s">
        <v>3205</v>
      </c>
      <c r="V334" s="32" t="s">
        <v>2226</v>
      </c>
      <c r="W334" s="26" t="s">
        <v>28</v>
      </c>
    </row>
    <row r="335" spans="1:23" ht="84.95" hidden="1" customHeight="1" x14ac:dyDescent="0.2">
      <c r="A335" s="27" t="s">
        <v>2227</v>
      </c>
      <c r="B335" s="60" t="s">
        <v>2228</v>
      </c>
      <c r="C335" s="59" t="s">
        <v>2154</v>
      </c>
      <c r="D335" s="7">
        <v>4611300</v>
      </c>
      <c r="E335" s="28"/>
      <c r="F335" s="28"/>
      <c r="G335" s="7"/>
      <c r="H335" s="7">
        <v>4611300</v>
      </c>
      <c r="I335" s="7">
        <v>52371110</v>
      </c>
      <c r="J335" s="93">
        <v>0</v>
      </c>
      <c r="K335" s="93">
        <v>0</v>
      </c>
      <c r="L335" s="93">
        <v>0</v>
      </c>
      <c r="M335" s="6">
        <f t="shared" si="6"/>
        <v>56982410</v>
      </c>
      <c r="N335" s="29">
        <v>43440</v>
      </c>
      <c r="O335" s="30">
        <v>43799</v>
      </c>
      <c r="P335" s="12" t="s">
        <v>1954</v>
      </c>
      <c r="Q335" s="11" t="s">
        <v>32</v>
      </c>
      <c r="R335" s="60" t="s">
        <v>2228</v>
      </c>
      <c r="S335" s="26" t="s">
        <v>2229</v>
      </c>
      <c r="T335" s="26" t="s">
        <v>2230</v>
      </c>
      <c r="U335" s="26" t="s">
        <v>3154</v>
      </c>
      <c r="V335" s="64" t="s">
        <v>3155</v>
      </c>
      <c r="W335" s="26" t="s">
        <v>28</v>
      </c>
    </row>
    <row r="336" spans="1:23" ht="84.95" hidden="1" customHeight="1" x14ac:dyDescent="0.2">
      <c r="A336" s="27" t="s">
        <v>2231</v>
      </c>
      <c r="B336" s="60" t="s">
        <v>2232</v>
      </c>
      <c r="C336" s="59" t="s">
        <v>2154</v>
      </c>
      <c r="D336" s="7">
        <v>4611300</v>
      </c>
      <c r="E336" s="28"/>
      <c r="F336" s="28"/>
      <c r="G336" s="7"/>
      <c r="H336" s="7">
        <v>4611300</v>
      </c>
      <c r="I336" s="7">
        <v>52371110</v>
      </c>
      <c r="J336" s="93">
        <v>0</v>
      </c>
      <c r="K336" s="93">
        <v>0</v>
      </c>
      <c r="L336" s="93">
        <v>0</v>
      </c>
      <c r="M336" s="6">
        <f t="shared" si="6"/>
        <v>56982410</v>
      </c>
      <c r="N336" s="29">
        <v>43440</v>
      </c>
      <c r="O336" s="30">
        <v>43799</v>
      </c>
      <c r="P336" s="12" t="s">
        <v>1954</v>
      </c>
      <c r="Q336" s="11" t="s">
        <v>32</v>
      </c>
      <c r="R336" s="60" t="s">
        <v>2232</v>
      </c>
      <c r="S336" s="26" t="s">
        <v>2233</v>
      </c>
      <c r="T336" s="26" t="s">
        <v>2234</v>
      </c>
      <c r="U336" s="26" t="s">
        <v>3195</v>
      </c>
      <c r="V336" s="32" t="s">
        <v>2235</v>
      </c>
      <c r="W336" s="26" t="s">
        <v>28</v>
      </c>
    </row>
    <row r="337" spans="1:23" ht="84.95" hidden="1" customHeight="1" x14ac:dyDescent="0.2">
      <c r="A337" s="27" t="s">
        <v>2236</v>
      </c>
      <c r="B337" s="60" t="s">
        <v>2237</v>
      </c>
      <c r="C337" s="59" t="s">
        <v>2154</v>
      </c>
      <c r="D337" s="7">
        <v>4611300</v>
      </c>
      <c r="E337" s="28"/>
      <c r="F337" s="28"/>
      <c r="G337" s="7"/>
      <c r="H337" s="7">
        <v>4611300</v>
      </c>
      <c r="I337" s="7">
        <v>52371110</v>
      </c>
      <c r="J337" s="93">
        <v>0</v>
      </c>
      <c r="K337" s="93">
        <v>0</v>
      </c>
      <c r="L337" s="93">
        <v>0</v>
      </c>
      <c r="M337" s="6">
        <f t="shared" si="6"/>
        <v>56982410</v>
      </c>
      <c r="N337" s="29">
        <v>43440</v>
      </c>
      <c r="O337" s="30">
        <v>43799</v>
      </c>
      <c r="P337" s="12" t="s">
        <v>1954</v>
      </c>
      <c r="Q337" s="11" t="s">
        <v>32</v>
      </c>
      <c r="R337" s="60" t="s">
        <v>2237</v>
      </c>
      <c r="S337" s="26" t="s">
        <v>2238</v>
      </c>
      <c r="T337" s="26" t="s">
        <v>2239</v>
      </c>
      <c r="U337" s="26" t="s">
        <v>3196</v>
      </c>
      <c r="V337" s="32" t="s">
        <v>2240</v>
      </c>
      <c r="W337" s="26" t="s">
        <v>28</v>
      </c>
    </row>
    <row r="338" spans="1:23" ht="84.95" hidden="1" customHeight="1" x14ac:dyDescent="0.2">
      <c r="A338" s="27" t="s">
        <v>2241</v>
      </c>
      <c r="B338" s="60" t="s">
        <v>3245</v>
      </c>
      <c r="C338" s="59" t="s">
        <v>2154</v>
      </c>
      <c r="D338" s="7">
        <v>4611300</v>
      </c>
      <c r="E338" s="28"/>
      <c r="F338" s="28"/>
      <c r="G338" s="7"/>
      <c r="H338" s="7">
        <v>4611300</v>
      </c>
      <c r="I338" s="7">
        <v>52371110</v>
      </c>
      <c r="J338" s="93">
        <v>0</v>
      </c>
      <c r="K338" s="93">
        <v>0</v>
      </c>
      <c r="L338" s="93">
        <v>0</v>
      </c>
      <c r="M338" s="6">
        <f t="shared" si="6"/>
        <v>56982410</v>
      </c>
      <c r="N338" s="29">
        <v>43440</v>
      </c>
      <c r="O338" s="30">
        <v>43799</v>
      </c>
      <c r="P338" s="12" t="s">
        <v>1954</v>
      </c>
      <c r="Q338" s="11" t="s">
        <v>32</v>
      </c>
      <c r="R338" s="60" t="s">
        <v>2242</v>
      </c>
      <c r="S338" s="26" t="s">
        <v>2243</v>
      </c>
      <c r="T338" s="26" t="s">
        <v>2244</v>
      </c>
      <c r="U338" s="26" t="s">
        <v>3197</v>
      </c>
      <c r="V338" s="32" t="s">
        <v>2245</v>
      </c>
      <c r="W338" s="26" t="s">
        <v>28</v>
      </c>
    </row>
    <row r="339" spans="1:23" ht="84.95" hidden="1" customHeight="1" x14ac:dyDescent="0.2">
      <c r="A339" s="27" t="s">
        <v>2246</v>
      </c>
      <c r="B339" s="60" t="s">
        <v>2247</v>
      </c>
      <c r="C339" s="59" t="s">
        <v>2154</v>
      </c>
      <c r="D339" s="7">
        <v>4611300</v>
      </c>
      <c r="E339" s="28"/>
      <c r="F339" s="28"/>
      <c r="G339" s="7"/>
      <c r="H339" s="7">
        <v>4611300</v>
      </c>
      <c r="I339" s="7">
        <v>52371110</v>
      </c>
      <c r="J339" s="93">
        <v>0</v>
      </c>
      <c r="K339" s="93">
        <v>0</v>
      </c>
      <c r="L339" s="93">
        <v>0</v>
      </c>
      <c r="M339" s="6">
        <f t="shared" si="6"/>
        <v>56982410</v>
      </c>
      <c r="N339" s="29">
        <v>43440</v>
      </c>
      <c r="O339" s="30">
        <v>43799</v>
      </c>
      <c r="P339" s="12" t="s">
        <v>1954</v>
      </c>
      <c r="Q339" s="11" t="s">
        <v>32</v>
      </c>
      <c r="R339" s="60" t="s">
        <v>2247</v>
      </c>
      <c r="S339" s="26" t="s">
        <v>2248</v>
      </c>
      <c r="T339" s="26" t="s">
        <v>2249</v>
      </c>
      <c r="U339" s="26" t="s">
        <v>2250</v>
      </c>
      <c r="V339" s="32" t="s">
        <v>2251</v>
      </c>
      <c r="W339" s="26" t="s">
        <v>28</v>
      </c>
    </row>
    <row r="340" spans="1:23" ht="84.95" hidden="1" customHeight="1" x14ac:dyDescent="0.2">
      <c r="A340" s="27" t="s">
        <v>2252</v>
      </c>
      <c r="B340" s="60" t="s">
        <v>2253</v>
      </c>
      <c r="C340" s="59" t="s">
        <v>2154</v>
      </c>
      <c r="D340" s="7">
        <v>4611300</v>
      </c>
      <c r="E340" s="28"/>
      <c r="F340" s="28"/>
      <c r="G340" s="7"/>
      <c r="H340" s="7">
        <v>4611300</v>
      </c>
      <c r="I340" s="7">
        <v>52371110</v>
      </c>
      <c r="J340" s="93">
        <v>0</v>
      </c>
      <c r="K340" s="93">
        <v>0</v>
      </c>
      <c r="L340" s="93">
        <v>0</v>
      </c>
      <c r="M340" s="6">
        <f t="shared" si="6"/>
        <v>56982410</v>
      </c>
      <c r="N340" s="29">
        <v>43440</v>
      </c>
      <c r="O340" s="30">
        <v>43799</v>
      </c>
      <c r="P340" s="12" t="s">
        <v>1954</v>
      </c>
      <c r="Q340" s="11" t="s">
        <v>32</v>
      </c>
      <c r="R340" s="60" t="s">
        <v>2253</v>
      </c>
      <c r="S340" s="26" t="s">
        <v>2254</v>
      </c>
      <c r="T340" s="26" t="s">
        <v>2255</v>
      </c>
      <c r="U340" s="26" t="s">
        <v>2256</v>
      </c>
      <c r="V340" s="32" t="s">
        <v>2257</v>
      </c>
      <c r="W340" s="26" t="s">
        <v>28</v>
      </c>
    </row>
    <row r="341" spans="1:23" ht="84.95" hidden="1" customHeight="1" x14ac:dyDescent="0.2">
      <c r="A341" s="27" t="s">
        <v>2258</v>
      </c>
      <c r="B341" s="60" t="s">
        <v>2259</v>
      </c>
      <c r="C341" s="59" t="s">
        <v>2154</v>
      </c>
      <c r="D341" s="7">
        <v>4611300</v>
      </c>
      <c r="E341" s="28"/>
      <c r="F341" s="28"/>
      <c r="G341" s="7"/>
      <c r="H341" s="7">
        <v>4611300</v>
      </c>
      <c r="I341" s="7">
        <v>52371110</v>
      </c>
      <c r="J341" s="93">
        <v>0</v>
      </c>
      <c r="K341" s="93">
        <v>0</v>
      </c>
      <c r="L341" s="93">
        <v>0</v>
      </c>
      <c r="M341" s="6">
        <f t="shared" si="6"/>
        <v>56982410</v>
      </c>
      <c r="N341" s="29">
        <v>43440</v>
      </c>
      <c r="O341" s="30">
        <v>43799</v>
      </c>
      <c r="P341" s="12" t="s">
        <v>1954</v>
      </c>
      <c r="Q341" s="11" t="s">
        <v>32</v>
      </c>
      <c r="R341" s="60" t="s">
        <v>2259</v>
      </c>
      <c r="S341" s="26" t="s">
        <v>2260</v>
      </c>
      <c r="T341" s="26" t="s">
        <v>2261</v>
      </c>
      <c r="U341" s="26" t="s">
        <v>3198</v>
      </c>
      <c r="V341" s="32" t="s">
        <v>2262</v>
      </c>
      <c r="W341" s="26" t="s">
        <v>28</v>
      </c>
    </row>
    <row r="342" spans="1:23" ht="84.95" hidden="1" customHeight="1" x14ac:dyDescent="0.2">
      <c r="A342" s="27" t="s">
        <v>2263</v>
      </c>
      <c r="B342" s="60" t="s">
        <v>2264</v>
      </c>
      <c r="C342" s="59" t="s">
        <v>2154</v>
      </c>
      <c r="D342" s="7">
        <v>4611300</v>
      </c>
      <c r="E342" s="28"/>
      <c r="F342" s="28"/>
      <c r="G342" s="7"/>
      <c r="H342" s="7">
        <v>4611300</v>
      </c>
      <c r="I342" s="7">
        <v>52371110</v>
      </c>
      <c r="J342" s="93">
        <v>0</v>
      </c>
      <c r="K342" s="93">
        <v>0</v>
      </c>
      <c r="L342" s="93">
        <v>0</v>
      </c>
      <c r="M342" s="6">
        <f t="shared" si="6"/>
        <v>56982410</v>
      </c>
      <c r="N342" s="29">
        <v>43440</v>
      </c>
      <c r="O342" s="30">
        <v>43799</v>
      </c>
      <c r="P342" s="12" t="s">
        <v>1954</v>
      </c>
      <c r="Q342" s="11" t="s">
        <v>32</v>
      </c>
      <c r="R342" s="60" t="s">
        <v>2264</v>
      </c>
      <c r="S342" s="26" t="s">
        <v>2265</v>
      </c>
      <c r="T342" s="26" t="s">
        <v>2266</v>
      </c>
      <c r="U342" s="26" t="s">
        <v>2267</v>
      </c>
      <c r="V342" s="64" t="s">
        <v>3156</v>
      </c>
      <c r="W342" s="26" t="s">
        <v>28</v>
      </c>
    </row>
    <row r="343" spans="1:23" ht="84.95" hidden="1" customHeight="1" x14ac:dyDescent="0.2">
      <c r="A343" s="27" t="s">
        <v>2268</v>
      </c>
      <c r="B343" s="60" t="s">
        <v>2269</v>
      </c>
      <c r="C343" s="59" t="s">
        <v>2154</v>
      </c>
      <c r="D343" s="7">
        <v>4611300</v>
      </c>
      <c r="E343" s="28"/>
      <c r="F343" s="28"/>
      <c r="G343" s="7"/>
      <c r="H343" s="7">
        <v>4611300</v>
      </c>
      <c r="I343" s="7">
        <v>52371110</v>
      </c>
      <c r="J343" s="93">
        <v>0</v>
      </c>
      <c r="K343" s="93">
        <v>0</v>
      </c>
      <c r="L343" s="93">
        <v>0</v>
      </c>
      <c r="M343" s="6">
        <f t="shared" si="6"/>
        <v>56982410</v>
      </c>
      <c r="N343" s="29">
        <v>43440</v>
      </c>
      <c r="O343" s="30">
        <v>43799</v>
      </c>
      <c r="P343" s="12" t="s">
        <v>1954</v>
      </c>
      <c r="Q343" s="11" t="s">
        <v>32</v>
      </c>
      <c r="R343" s="60" t="s">
        <v>2269</v>
      </c>
      <c r="S343" s="26" t="s">
        <v>2270</v>
      </c>
      <c r="T343" s="26" t="s">
        <v>2271</v>
      </c>
      <c r="U343" s="26" t="s">
        <v>3199</v>
      </c>
      <c r="V343" s="32" t="s">
        <v>2272</v>
      </c>
      <c r="W343" s="26" t="s">
        <v>28</v>
      </c>
    </row>
    <row r="344" spans="1:23" ht="84.95" hidden="1" customHeight="1" x14ac:dyDescent="0.2">
      <c r="A344" s="27" t="s">
        <v>2273</v>
      </c>
      <c r="B344" s="60" t="s">
        <v>2274</v>
      </c>
      <c r="C344" s="59" t="s">
        <v>2154</v>
      </c>
      <c r="D344" s="7">
        <v>4611300</v>
      </c>
      <c r="E344" s="28"/>
      <c r="F344" s="28"/>
      <c r="G344" s="7"/>
      <c r="H344" s="7">
        <v>4611300</v>
      </c>
      <c r="I344" s="7">
        <v>52371110</v>
      </c>
      <c r="J344" s="93">
        <v>0</v>
      </c>
      <c r="K344" s="93">
        <v>0</v>
      </c>
      <c r="L344" s="93">
        <v>0</v>
      </c>
      <c r="M344" s="6">
        <f t="shared" si="6"/>
        <v>56982410</v>
      </c>
      <c r="N344" s="29">
        <v>43440</v>
      </c>
      <c r="O344" s="30">
        <v>43799</v>
      </c>
      <c r="P344" s="12" t="s">
        <v>1954</v>
      </c>
      <c r="Q344" s="11" t="s">
        <v>32</v>
      </c>
      <c r="R344" s="60" t="s">
        <v>2274</v>
      </c>
      <c r="S344" s="26" t="s">
        <v>2275</v>
      </c>
      <c r="T344" s="26" t="s">
        <v>2276</v>
      </c>
      <c r="U344" s="26" t="s">
        <v>2277</v>
      </c>
      <c r="V344" s="32" t="s">
        <v>2278</v>
      </c>
      <c r="W344" s="26" t="s">
        <v>28</v>
      </c>
    </row>
    <row r="345" spans="1:23" ht="84.95" hidden="1" customHeight="1" x14ac:dyDescent="0.2">
      <c r="A345" s="27" t="s">
        <v>2279</v>
      </c>
      <c r="B345" s="60" t="s">
        <v>2280</v>
      </c>
      <c r="C345" s="59" t="s">
        <v>2154</v>
      </c>
      <c r="D345" s="7">
        <v>4611300</v>
      </c>
      <c r="E345" s="28"/>
      <c r="F345" s="28"/>
      <c r="G345" s="7"/>
      <c r="H345" s="7">
        <v>4611300</v>
      </c>
      <c r="I345" s="7">
        <v>52371110</v>
      </c>
      <c r="J345" s="93">
        <v>0</v>
      </c>
      <c r="K345" s="93">
        <v>0</v>
      </c>
      <c r="L345" s="93">
        <v>0</v>
      </c>
      <c r="M345" s="6">
        <f t="shared" si="6"/>
        <v>56982410</v>
      </c>
      <c r="N345" s="29">
        <v>43440</v>
      </c>
      <c r="O345" s="30">
        <v>43799</v>
      </c>
      <c r="P345" s="12" t="s">
        <v>1954</v>
      </c>
      <c r="Q345" s="11" t="s">
        <v>32</v>
      </c>
      <c r="R345" s="60" t="s">
        <v>2280</v>
      </c>
      <c r="S345" s="26" t="s">
        <v>2281</v>
      </c>
      <c r="T345" s="26" t="s">
        <v>2282</v>
      </c>
      <c r="U345" s="26" t="s">
        <v>3157</v>
      </c>
      <c r="V345" s="64" t="s">
        <v>3158</v>
      </c>
      <c r="W345" s="26" t="s">
        <v>28</v>
      </c>
    </row>
    <row r="346" spans="1:23" ht="84.95" hidden="1" customHeight="1" x14ac:dyDescent="0.2">
      <c r="A346" s="27" t="s">
        <v>2283</v>
      </c>
      <c r="B346" s="60" t="s">
        <v>2284</v>
      </c>
      <c r="C346" s="59" t="s">
        <v>2154</v>
      </c>
      <c r="D346" s="7">
        <v>4611300</v>
      </c>
      <c r="E346" s="28"/>
      <c r="F346" s="28"/>
      <c r="G346" s="7"/>
      <c r="H346" s="7">
        <v>4611300</v>
      </c>
      <c r="I346" s="7">
        <v>52371110</v>
      </c>
      <c r="J346" s="93">
        <v>0</v>
      </c>
      <c r="K346" s="93">
        <v>0</v>
      </c>
      <c r="L346" s="93">
        <v>0</v>
      </c>
      <c r="M346" s="6">
        <f t="shared" si="6"/>
        <v>56982410</v>
      </c>
      <c r="N346" s="29">
        <v>43440</v>
      </c>
      <c r="O346" s="30">
        <v>43753</v>
      </c>
      <c r="P346" s="12" t="s">
        <v>1954</v>
      </c>
      <c r="Q346" s="11" t="s">
        <v>32</v>
      </c>
      <c r="R346" s="60" t="s">
        <v>2284</v>
      </c>
      <c r="S346" s="26" t="s">
        <v>2285</v>
      </c>
      <c r="T346" s="26" t="s">
        <v>2286</v>
      </c>
      <c r="U346" s="26" t="s">
        <v>3200</v>
      </c>
      <c r="V346" s="32" t="s">
        <v>2287</v>
      </c>
      <c r="W346" s="26" t="s">
        <v>28</v>
      </c>
    </row>
    <row r="347" spans="1:23" ht="84.95" hidden="1" customHeight="1" x14ac:dyDescent="0.2">
      <c r="A347" s="27" t="s">
        <v>2288</v>
      </c>
      <c r="B347" s="60" t="s">
        <v>2289</v>
      </c>
      <c r="C347" s="59" t="s">
        <v>2154</v>
      </c>
      <c r="D347" s="7">
        <v>4611300</v>
      </c>
      <c r="E347" s="28"/>
      <c r="F347" s="28"/>
      <c r="G347" s="7"/>
      <c r="H347" s="7">
        <v>4611300</v>
      </c>
      <c r="I347" s="7">
        <v>52371110</v>
      </c>
      <c r="J347" s="93">
        <v>0</v>
      </c>
      <c r="K347" s="93">
        <v>0</v>
      </c>
      <c r="L347" s="93">
        <v>0</v>
      </c>
      <c r="M347" s="6">
        <f t="shared" si="6"/>
        <v>56982410</v>
      </c>
      <c r="N347" s="29">
        <v>43440</v>
      </c>
      <c r="O347" s="30">
        <v>43799</v>
      </c>
      <c r="P347" s="12" t="s">
        <v>1954</v>
      </c>
      <c r="Q347" s="11" t="s">
        <v>32</v>
      </c>
      <c r="R347" s="60" t="s">
        <v>2289</v>
      </c>
      <c r="S347" s="26" t="s">
        <v>2290</v>
      </c>
      <c r="T347" s="26" t="s">
        <v>2291</v>
      </c>
      <c r="U347" s="26" t="s">
        <v>3201</v>
      </c>
      <c r="V347" s="32" t="s">
        <v>2292</v>
      </c>
      <c r="W347" s="26" t="s">
        <v>28</v>
      </c>
    </row>
    <row r="348" spans="1:23" ht="84.95" hidden="1" customHeight="1" x14ac:dyDescent="0.2">
      <c r="A348" s="27" t="s">
        <v>2293</v>
      </c>
      <c r="B348" s="60" t="s">
        <v>2294</v>
      </c>
      <c r="C348" s="59" t="s">
        <v>2154</v>
      </c>
      <c r="D348" s="7">
        <v>4611300</v>
      </c>
      <c r="E348" s="28"/>
      <c r="F348" s="28"/>
      <c r="G348" s="7"/>
      <c r="H348" s="7">
        <v>4611300</v>
      </c>
      <c r="I348" s="7">
        <v>52371110</v>
      </c>
      <c r="J348" s="93">
        <v>0</v>
      </c>
      <c r="K348" s="93">
        <v>0</v>
      </c>
      <c r="L348" s="93">
        <v>0</v>
      </c>
      <c r="M348" s="6">
        <f t="shared" si="6"/>
        <v>56982410</v>
      </c>
      <c r="N348" s="29">
        <v>43440</v>
      </c>
      <c r="O348" s="30">
        <v>43799</v>
      </c>
      <c r="P348" s="12" t="s">
        <v>1954</v>
      </c>
      <c r="Q348" s="11" t="s">
        <v>32</v>
      </c>
      <c r="R348" s="60" t="s">
        <v>2294</v>
      </c>
      <c r="S348" s="26" t="s">
        <v>2295</v>
      </c>
      <c r="T348" s="26" t="s">
        <v>2296</v>
      </c>
      <c r="U348" s="26" t="s">
        <v>3202</v>
      </c>
      <c r="V348" s="32" t="s">
        <v>2297</v>
      </c>
      <c r="W348" s="26" t="s">
        <v>28</v>
      </c>
    </row>
    <row r="349" spans="1:23" ht="84.95" hidden="1" customHeight="1" x14ac:dyDescent="0.2">
      <c r="A349" s="27" t="s">
        <v>2298</v>
      </c>
      <c r="B349" s="60" t="s">
        <v>2299</v>
      </c>
      <c r="C349" s="59" t="s">
        <v>2154</v>
      </c>
      <c r="D349" s="7">
        <v>4611300</v>
      </c>
      <c r="E349" s="28"/>
      <c r="F349" s="28"/>
      <c r="G349" s="7"/>
      <c r="H349" s="7">
        <v>4611300</v>
      </c>
      <c r="I349" s="7">
        <v>52371110</v>
      </c>
      <c r="J349" s="93">
        <v>0</v>
      </c>
      <c r="K349" s="93">
        <v>0</v>
      </c>
      <c r="L349" s="93">
        <v>0</v>
      </c>
      <c r="M349" s="6">
        <f t="shared" si="6"/>
        <v>56982410</v>
      </c>
      <c r="N349" s="29">
        <v>43440</v>
      </c>
      <c r="O349" s="30">
        <v>43799</v>
      </c>
      <c r="P349" s="12" t="s">
        <v>1954</v>
      </c>
      <c r="Q349" s="11" t="s">
        <v>32</v>
      </c>
      <c r="R349" s="60" t="s">
        <v>2299</v>
      </c>
      <c r="S349" s="26" t="s">
        <v>2300</v>
      </c>
      <c r="T349" s="26" t="s">
        <v>2301</v>
      </c>
      <c r="U349" s="26" t="s">
        <v>2302</v>
      </c>
      <c r="V349" s="32" t="s">
        <v>2303</v>
      </c>
      <c r="W349" s="26" t="s">
        <v>28</v>
      </c>
    </row>
    <row r="350" spans="1:23" ht="84.95" hidden="1" customHeight="1" x14ac:dyDescent="0.2">
      <c r="A350" s="27" t="s">
        <v>2304</v>
      </c>
      <c r="B350" s="60" t="s">
        <v>2305</v>
      </c>
      <c r="C350" s="59" t="s">
        <v>2154</v>
      </c>
      <c r="D350" s="7">
        <v>4611300</v>
      </c>
      <c r="E350" s="28"/>
      <c r="F350" s="28"/>
      <c r="G350" s="7"/>
      <c r="H350" s="7">
        <v>4611300</v>
      </c>
      <c r="I350" s="7">
        <v>52371110</v>
      </c>
      <c r="J350" s="93">
        <v>0</v>
      </c>
      <c r="K350" s="93">
        <v>0</v>
      </c>
      <c r="L350" s="93">
        <v>0</v>
      </c>
      <c r="M350" s="6">
        <f t="shared" si="6"/>
        <v>56982410</v>
      </c>
      <c r="N350" s="29">
        <v>43440</v>
      </c>
      <c r="O350" s="30">
        <v>43799</v>
      </c>
      <c r="P350" s="12" t="s">
        <v>1954</v>
      </c>
      <c r="Q350" s="11" t="s">
        <v>32</v>
      </c>
      <c r="R350" s="60" t="s">
        <v>2305</v>
      </c>
      <c r="S350" s="26" t="s">
        <v>2306</v>
      </c>
      <c r="T350" s="26" t="s">
        <v>2307</v>
      </c>
      <c r="U350" s="26" t="s">
        <v>2308</v>
      </c>
      <c r="V350" s="32" t="s">
        <v>2309</v>
      </c>
      <c r="W350" s="26" t="s">
        <v>28</v>
      </c>
    </row>
    <row r="351" spans="1:23" ht="84.95" hidden="1" customHeight="1" x14ac:dyDescent="0.2">
      <c r="A351" s="27" t="s">
        <v>2310</v>
      </c>
      <c r="B351" s="60" t="s">
        <v>2311</v>
      </c>
      <c r="C351" s="59" t="s">
        <v>2154</v>
      </c>
      <c r="D351" s="7">
        <v>4611300</v>
      </c>
      <c r="E351" s="28"/>
      <c r="F351" s="28"/>
      <c r="G351" s="7"/>
      <c r="H351" s="7">
        <v>4611300</v>
      </c>
      <c r="I351" s="7">
        <v>52371110</v>
      </c>
      <c r="J351" s="93">
        <v>0</v>
      </c>
      <c r="K351" s="93">
        <v>0</v>
      </c>
      <c r="L351" s="93">
        <v>0</v>
      </c>
      <c r="M351" s="6">
        <f t="shared" si="6"/>
        <v>56982410</v>
      </c>
      <c r="N351" s="29">
        <v>43440</v>
      </c>
      <c r="O351" s="30">
        <v>43799</v>
      </c>
      <c r="P351" s="12" t="s">
        <v>1954</v>
      </c>
      <c r="Q351" s="11" t="s">
        <v>32</v>
      </c>
      <c r="R351" s="60" t="s">
        <v>2311</v>
      </c>
      <c r="S351" s="26" t="s">
        <v>2312</v>
      </c>
      <c r="T351" s="26" t="s">
        <v>2313</v>
      </c>
      <c r="U351" s="26" t="s">
        <v>2314</v>
      </c>
      <c r="V351" s="32" t="s">
        <v>2315</v>
      </c>
      <c r="W351" s="26" t="s">
        <v>28</v>
      </c>
    </row>
    <row r="352" spans="1:23" ht="84.95" hidden="1" customHeight="1" x14ac:dyDescent="0.2">
      <c r="A352" s="27" t="s">
        <v>2316</v>
      </c>
      <c r="B352" s="60" t="s">
        <v>2317</v>
      </c>
      <c r="C352" s="59" t="s">
        <v>2154</v>
      </c>
      <c r="D352" s="7">
        <v>4611300</v>
      </c>
      <c r="E352" s="28"/>
      <c r="F352" s="28"/>
      <c r="G352" s="7"/>
      <c r="H352" s="7">
        <v>4611300</v>
      </c>
      <c r="I352" s="7">
        <v>52371110</v>
      </c>
      <c r="J352" s="93">
        <v>0</v>
      </c>
      <c r="K352" s="93">
        <v>0</v>
      </c>
      <c r="L352" s="93">
        <v>0</v>
      </c>
      <c r="M352" s="6">
        <f t="shared" si="6"/>
        <v>56982410</v>
      </c>
      <c r="N352" s="29">
        <v>43440</v>
      </c>
      <c r="O352" s="30">
        <v>43799</v>
      </c>
      <c r="P352" s="12" t="s">
        <v>1954</v>
      </c>
      <c r="Q352" s="11" t="s">
        <v>32</v>
      </c>
      <c r="R352" s="60" t="s">
        <v>2317</v>
      </c>
      <c r="S352" s="26" t="s">
        <v>2318</v>
      </c>
      <c r="T352" s="26" t="s">
        <v>2319</v>
      </c>
      <c r="U352" s="26" t="s">
        <v>2320</v>
      </c>
      <c r="V352" s="32" t="s">
        <v>2321</v>
      </c>
      <c r="W352" s="26" t="s">
        <v>28</v>
      </c>
    </row>
    <row r="353" spans="1:23" ht="84.95" hidden="1" customHeight="1" x14ac:dyDescent="0.2">
      <c r="A353" s="27" t="s">
        <v>2322</v>
      </c>
      <c r="B353" s="60" t="s">
        <v>2323</v>
      </c>
      <c r="C353" s="59" t="s">
        <v>2154</v>
      </c>
      <c r="D353" s="7">
        <v>4611300</v>
      </c>
      <c r="E353" s="28"/>
      <c r="F353" s="28"/>
      <c r="G353" s="7"/>
      <c r="H353" s="7">
        <v>4611300</v>
      </c>
      <c r="I353" s="7">
        <v>52371110</v>
      </c>
      <c r="J353" s="93">
        <v>0</v>
      </c>
      <c r="K353" s="93">
        <v>0</v>
      </c>
      <c r="L353" s="93">
        <v>0</v>
      </c>
      <c r="M353" s="6">
        <f t="shared" si="6"/>
        <v>56982410</v>
      </c>
      <c r="N353" s="29">
        <v>43440</v>
      </c>
      <c r="O353" s="30">
        <v>43799</v>
      </c>
      <c r="P353" s="12" t="s">
        <v>1954</v>
      </c>
      <c r="Q353" s="11" t="s">
        <v>32</v>
      </c>
      <c r="R353" s="60" t="s">
        <v>2323</v>
      </c>
      <c r="S353" s="26" t="s">
        <v>2324</v>
      </c>
      <c r="T353" s="26" t="s">
        <v>2325</v>
      </c>
      <c r="U353" s="26" t="s">
        <v>3203</v>
      </c>
      <c r="V353" s="32" t="s">
        <v>2326</v>
      </c>
      <c r="W353" s="26" t="s">
        <v>28</v>
      </c>
    </row>
    <row r="354" spans="1:23" ht="84.95" hidden="1" customHeight="1" x14ac:dyDescent="0.2">
      <c r="A354" s="27" t="s">
        <v>2327</v>
      </c>
      <c r="B354" s="60" t="s">
        <v>2328</v>
      </c>
      <c r="C354" s="59" t="s">
        <v>2154</v>
      </c>
      <c r="D354" s="7">
        <v>4611300</v>
      </c>
      <c r="E354" s="28"/>
      <c r="F354" s="28"/>
      <c r="G354" s="7"/>
      <c r="H354" s="7">
        <v>4611300</v>
      </c>
      <c r="I354" s="7">
        <v>52371110</v>
      </c>
      <c r="J354" s="93">
        <v>0</v>
      </c>
      <c r="K354" s="93">
        <v>0</v>
      </c>
      <c r="L354" s="93">
        <v>0</v>
      </c>
      <c r="M354" s="6">
        <f t="shared" si="6"/>
        <v>56982410</v>
      </c>
      <c r="N354" s="29">
        <v>43440</v>
      </c>
      <c r="O354" s="30">
        <v>43799</v>
      </c>
      <c r="P354" s="12" t="s">
        <v>1954</v>
      </c>
      <c r="Q354" s="11" t="s">
        <v>32</v>
      </c>
      <c r="R354" s="60" t="s">
        <v>2328</v>
      </c>
      <c r="S354" s="26" t="s">
        <v>2329</v>
      </c>
      <c r="T354" s="26" t="s">
        <v>2330</v>
      </c>
      <c r="U354" s="26" t="s">
        <v>2331</v>
      </c>
      <c r="V354" s="64" t="s">
        <v>3159</v>
      </c>
      <c r="W354" s="26" t="s">
        <v>28</v>
      </c>
    </row>
    <row r="355" spans="1:23" ht="84.95" hidden="1" customHeight="1" x14ac:dyDescent="0.2">
      <c r="A355" s="27" t="s">
        <v>2332</v>
      </c>
      <c r="B355" s="60" t="s">
        <v>2333</v>
      </c>
      <c r="C355" s="59" t="s">
        <v>2154</v>
      </c>
      <c r="D355" s="7">
        <v>4611300</v>
      </c>
      <c r="E355" s="28"/>
      <c r="F355" s="28"/>
      <c r="G355" s="7"/>
      <c r="H355" s="7">
        <v>4611300</v>
      </c>
      <c r="I355" s="7">
        <v>52371110</v>
      </c>
      <c r="J355" s="93">
        <v>0</v>
      </c>
      <c r="K355" s="93">
        <v>0</v>
      </c>
      <c r="L355" s="93">
        <v>0</v>
      </c>
      <c r="M355" s="6">
        <f t="shared" si="6"/>
        <v>56982410</v>
      </c>
      <c r="N355" s="29">
        <v>43440</v>
      </c>
      <c r="O355" s="30">
        <v>43799</v>
      </c>
      <c r="P355" s="12" t="s">
        <v>1954</v>
      </c>
      <c r="Q355" s="11" t="s">
        <v>32</v>
      </c>
      <c r="R355" s="60" t="s">
        <v>2333</v>
      </c>
      <c r="S355" s="26" t="s">
        <v>2334</v>
      </c>
      <c r="T355" s="26" t="s">
        <v>2335</v>
      </c>
      <c r="U355" s="26" t="s">
        <v>2336</v>
      </c>
      <c r="V355" s="64" t="s">
        <v>3160</v>
      </c>
      <c r="W355" s="26" t="s">
        <v>28</v>
      </c>
    </row>
    <row r="356" spans="1:23" ht="84.95" hidden="1" customHeight="1" x14ac:dyDescent="0.2">
      <c r="A356" s="27" t="s">
        <v>2337</v>
      </c>
      <c r="B356" s="60" t="s">
        <v>2338</v>
      </c>
      <c r="C356" s="59" t="s">
        <v>2154</v>
      </c>
      <c r="D356" s="7">
        <v>4611300</v>
      </c>
      <c r="E356" s="28"/>
      <c r="F356" s="28"/>
      <c r="G356" s="7"/>
      <c r="H356" s="7">
        <v>4611300</v>
      </c>
      <c r="I356" s="7">
        <v>52371110</v>
      </c>
      <c r="J356" s="93">
        <v>0</v>
      </c>
      <c r="K356" s="93">
        <v>0</v>
      </c>
      <c r="L356" s="93">
        <v>0</v>
      </c>
      <c r="M356" s="6">
        <f t="shared" si="6"/>
        <v>56982410</v>
      </c>
      <c r="N356" s="29">
        <v>43440</v>
      </c>
      <c r="O356" s="30">
        <v>43799</v>
      </c>
      <c r="P356" s="12" t="s">
        <v>1954</v>
      </c>
      <c r="Q356" s="11" t="s">
        <v>32</v>
      </c>
      <c r="R356" s="60" t="s">
        <v>2338</v>
      </c>
      <c r="S356" s="26" t="s">
        <v>2339</v>
      </c>
      <c r="T356" s="26" t="s">
        <v>2340</v>
      </c>
      <c r="U356" s="26" t="s">
        <v>2341</v>
      </c>
      <c r="V356" s="32" t="s">
        <v>2342</v>
      </c>
      <c r="W356" s="26" t="s">
        <v>28</v>
      </c>
    </row>
    <row r="357" spans="1:23" ht="84.95" hidden="1" customHeight="1" x14ac:dyDescent="0.2">
      <c r="A357" s="27" t="s">
        <v>2343</v>
      </c>
      <c r="B357" s="60" t="s">
        <v>2344</v>
      </c>
      <c r="C357" s="59" t="s">
        <v>2154</v>
      </c>
      <c r="D357" s="7">
        <v>4611300</v>
      </c>
      <c r="E357" s="28"/>
      <c r="F357" s="28"/>
      <c r="G357" s="7"/>
      <c r="H357" s="7">
        <v>4611300</v>
      </c>
      <c r="I357" s="7">
        <v>52371110</v>
      </c>
      <c r="J357" s="93">
        <v>0</v>
      </c>
      <c r="K357" s="93">
        <v>0</v>
      </c>
      <c r="L357" s="93">
        <v>0</v>
      </c>
      <c r="M357" s="6">
        <f t="shared" si="6"/>
        <v>56982410</v>
      </c>
      <c r="N357" s="29">
        <v>43440</v>
      </c>
      <c r="O357" s="30">
        <v>43799</v>
      </c>
      <c r="P357" s="12" t="s">
        <v>1954</v>
      </c>
      <c r="Q357" s="11" t="s">
        <v>32</v>
      </c>
      <c r="R357" s="60" t="s">
        <v>2344</v>
      </c>
      <c r="S357" s="26" t="s">
        <v>2345</v>
      </c>
      <c r="T357" s="26" t="s">
        <v>2346</v>
      </c>
      <c r="U357" s="26" t="s">
        <v>2347</v>
      </c>
      <c r="V357" s="32" t="s">
        <v>2348</v>
      </c>
      <c r="W357" s="26" t="s">
        <v>28</v>
      </c>
    </row>
    <row r="358" spans="1:23" ht="84.95" hidden="1" customHeight="1" x14ac:dyDescent="0.2">
      <c r="A358" s="27" t="s">
        <v>2349</v>
      </c>
      <c r="B358" s="60" t="s">
        <v>2350</v>
      </c>
      <c r="C358" s="59" t="s">
        <v>2154</v>
      </c>
      <c r="D358" s="7">
        <v>4611300</v>
      </c>
      <c r="E358" s="28"/>
      <c r="F358" s="28"/>
      <c r="G358" s="7"/>
      <c r="H358" s="7">
        <v>4611300</v>
      </c>
      <c r="I358" s="7">
        <v>52371110</v>
      </c>
      <c r="J358" s="93">
        <v>0</v>
      </c>
      <c r="K358" s="93">
        <v>0</v>
      </c>
      <c r="L358" s="93">
        <v>0</v>
      </c>
      <c r="M358" s="6">
        <f t="shared" si="6"/>
        <v>56982410</v>
      </c>
      <c r="N358" s="29">
        <v>43440</v>
      </c>
      <c r="O358" s="30">
        <v>43799</v>
      </c>
      <c r="P358" s="12" t="s">
        <v>1954</v>
      </c>
      <c r="Q358" s="11" t="s">
        <v>32</v>
      </c>
      <c r="R358" s="60" t="s">
        <v>2350</v>
      </c>
      <c r="S358" s="26" t="s">
        <v>2351</v>
      </c>
      <c r="T358" s="26" t="s">
        <v>2352</v>
      </c>
      <c r="U358" s="26" t="s">
        <v>3161</v>
      </c>
      <c r="V358" s="64" t="s">
        <v>3162</v>
      </c>
      <c r="W358" s="26" t="s">
        <v>28</v>
      </c>
    </row>
    <row r="359" spans="1:23" ht="84.95" hidden="1" customHeight="1" x14ac:dyDescent="0.2">
      <c r="A359" s="27" t="s">
        <v>2353</v>
      </c>
      <c r="B359" s="60" t="s">
        <v>2354</v>
      </c>
      <c r="C359" s="59" t="s">
        <v>2154</v>
      </c>
      <c r="D359" s="7">
        <v>4611300</v>
      </c>
      <c r="E359" s="28"/>
      <c r="F359" s="28"/>
      <c r="G359" s="7"/>
      <c r="H359" s="7">
        <v>4611300</v>
      </c>
      <c r="I359" s="7">
        <v>52371110</v>
      </c>
      <c r="J359" s="93">
        <v>0</v>
      </c>
      <c r="K359" s="93">
        <v>0</v>
      </c>
      <c r="L359" s="93">
        <v>0</v>
      </c>
      <c r="M359" s="6">
        <f t="shared" si="6"/>
        <v>56982410</v>
      </c>
      <c r="N359" s="29">
        <v>43440</v>
      </c>
      <c r="O359" s="30">
        <v>43799</v>
      </c>
      <c r="P359" s="12" t="s">
        <v>1954</v>
      </c>
      <c r="Q359" s="11" t="s">
        <v>32</v>
      </c>
      <c r="R359" s="60" t="s">
        <v>2354</v>
      </c>
      <c r="S359" s="26" t="s">
        <v>2355</v>
      </c>
      <c r="T359" s="26" t="s">
        <v>2356</v>
      </c>
      <c r="U359" s="26" t="s">
        <v>3163</v>
      </c>
      <c r="V359" s="64" t="s">
        <v>3164</v>
      </c>
      <c r="W359" s="26" t="s">
        <v>28</v>
      </c>
    </row>
    <row r="360" spans="1:23" ht="84.95" hidden="1" customHeight="1" x14ac:dyDescent="0.2">
      <c r="A360" s="27" t="s">
        <v>2357</v>
      </c>
      <c r="B360" s="60" t="s">
        <v>2358</v>
      </c>
      <c r="C360" s="59" t="s">
        <v>2154</v>
      </c>
      <c r="D360" s="7">
        <v>4611300</v>
      </c>
      <c r="E360" s="28"/>
      <c r="F360" s="28"/>
      <c r="G360" s="7"/>
      <c r="H360" s="7">
        <v>4611300</v>
      </c>
      <c r="I360" s="7">
        <v>52371110</v>
      </c>
      <c r="J360" s="93">
        <v>0</v>
      </c>
      <c r="K360" s="93">
        <v>0</v>
      </c>
      <c r="L360" s="93">
        <v>0</v>
      </c>
      <c r="M360" s="6">
        <f t="shared" si="6"/>
        <v>56982410</v>
      </c>
      <c r="N360" s="29">
        <v>43440</v>
      </c>
      <c r="O360" s="30">
        <v>43799</v>
      </c>
      <c r="P360" s="12" t="s">
        <v>1954</v>
      </c>
      <c r="Q360" s="11" t="s">
        <v>32</v>
      </c>
      <c r="R360" s="60" t="s">
        <v>2358</v>
      </c>
      <c r="S360" s="26" t="s">
        <v>2359</v>
      </c>
      <c r="T360" s="26" t="s">
        <v>2360</v>
      </c>
      <c r="U360" s="26" t="s">
        <v>2361</v>
      </c>
      <c r="V360" s="32" t="s">
        <v>2362</v>
      </c>
      <c r="W360" s="26" t="s">
        <v>28</v>
      </c>
    </row>
    <row r="361" spans="1:23" ht="84.95" hidden="1" customHeight="1" x14ac:dyDescent="0.2">
      <c r="A361" s="27" t="s">
        <v>3244</v>
      </c>
      <c r="B361" s="60" t="s">
        <v>3243</v>
      </c>
      <c r="C361" s="59" t="s">
        <v>3268</v>
      </c>
      <c r="D361" s="7">
        <v>49075000</v>
      </c>
      <c r="E361" s="28"/>
      <c r="F361" s="28"/>
      <c r="G361" s="7"/>
      <c r="H361" s="7">
        <v>49075000</v>
      </c>
      <c r="I361" s="93">
        <v>0</v>
      </c>
      <c r="J361" s="93">
        <v>0</v>
      </c>
      <c r="K361" s="93">
        <v>0</v>
      </c>
      <c r="L361" s="93">
        <v>0</v>
      </c>
      <c r="M361" s="6">
        <f t="shared" si="6"/>
        <v>49075000</v>
      </c>
      <c r="N361" s="29">
        <v>43444</v>
      </c>
      <c r="O361" s="30">
        <v>43465</v>
      </c>
      <c r="P361" s="12" t="s">
        <v>258</v>
      </c>
      <c r="Q361" s="13" t="s">
        <v>73</v>
      </c>
      <c r="R361" s="60" t="s">
        <v>2165</v>
      </c>
      <c r="S361" s="26" t="s">
        <v>2166</v>
      </c>
      <c r="T361" s="26" t="s">
        <v>2167</v>
      </c>
      <c r="U361" s="26" t="s">
        <v>2168</v>
      </c>
      <c r="V361" s="32" t="s">
        <v>2169</v>
      </c>
      <c r="W361" s="26" t="s">
        <v>28</v>
      </c>
    </row>
    <row r="362" spans="1:23" ht="115.5" hidden="1" customHeight="1" x14ac:dyDescent="0.2">
      <c r="A362" s="27" t="s">
        <v>3136</v>
      </c>
      <c r="B362" s="60" t="s">
        <v>3215</v>
      </c>
      <c r="C362" s="59" t="s">
        <v>3137</v>
      </c>
      <c r="D362" s="7">
        <v>10609000</v>
      </c>
      <c r="E362" s="28"/>
      <c r="F362" s="28"/>
      <c r="G362" s="7"/>
      <c r="H362" s="7">
        <v>10609000</v>
      </c>
      <c r="I362" s="93">
        <v>0</v>
      </c>
      <c r="J362" s="93">
        <v>0</v>
      </c>
      <c r="K362" s="93">
        <v>0</v>
      </c>
      <c r="L362" s="93">
        <v>0</v>
      </c>
      <c r="M362" s="6">
        <f t="shared" si="6"/>
        <v>10609000</v>
      </c>
      <c r="N362" s="29">
        <v>43441</v>
      </c>
      <c r="O362" s="30">
        <v>43799</v>
      </c>
      <c r="P362" s="12" t="s">
        <v>695</v>
      </c>
      <c r="Q362" s="72" t="s">
        <v>32</v>
      </c>
      <c r="R362" s="60" t="s">
        <v>600</v>
      </c>
      <c r="S362" s="26" t="s">
        <v>601</v>
      </c>
      <c r="T362" s="26" t="s">
        <v>602</v>
      </c>
      <c r="U362" s="26" t="s">
        <v>603</v>
      </c>
      <c r="V362" s="64" t="s">
        <v>604</v>
      </c>
      <c r="W362" s="26" t="s">
        <v>28</v>
      </c>
    </row>
    <row r="363" spans="1:23" ht="84.95" hidden="1" customHeight="1" x14ac:dyDescent="0.2">
      <c r="A363" s="27" t="s">
        <v>2363</v>
      </c>
      <c r="B363" s="60" t="s">
        <v>2364</v>
      </c>
      <c r="C363" s="59" t="s">
        <v>2365</v>
      </c>
      <c r="D363" s="7">
        <v>8755000</v>
      </c>
      <c r="E363" s="28"/>
      <c r="F363" s="28"/>
      <c r="G363" s="7"/>
      <c r="H363" s="7">
        <v>8755000</v>
      </c>
      <c r="I363" s="7">
        <v>99461750</v>
      </c>
      <c r="J363" s="93">
        <v>0</v>
      </c>
      <c r="K363" s="93">
        <v>0</v>
      </c>
      <c r="L363" s="93">
        <v>0</v>
      </c>
      <c r="M363" s="6">
        <f t="shared" si="6"/>
        <v>108216750</v>
      </c>
      <c r="N363" s="29">
        <v>43441</v>
      </c>
      <c r="O363" s="30">
        <v>43799</v>
      </c>
      <c r="P363" s="12" t="s">
        <v>653</v>
      </c>
      <c r="Q363" s="11" t="s">
        <v>32</v>
      </c>
      <c r="R363" s="60" t="s">
        <v>2364</v>
      </c>
      <c r="S363" s="26" t="s">
        <v>2366</v>
      </c>
      <c r="T363" s="26" t="s">
        <v>2367</v>
      </c>
      <c r="U363" s="26" t="s">
        <v>2368</v>
      </c>
      <c r="V363" s="32" t="s">
        <v>2369</v>
      </c>
      <c r="W363" s="26" t="s">
        <v>28</v>
      </c>
    </row>
    <row r="364" spans="1:23" ht="179.25" customHeight="1" x14ac:dyDescent="0.2">
      <c r="A364" s="27" t="s">
        <v>2370</v>
      </c>
      <c r="B364" s="60" t="s">
        <v>2371</v>
      </c>
      <c r="C364" s="59" t="s">
        <v>2372</v>
      </c>
      <c r="D364" s="7">
        <v>238263617</v>
      </c>
      <c r="E364" s="28">
        <v>190547058</v>
      </c>
      <c r="F364" s="28"/>
      <c r="G364" s="7"/>
      <c r="H364" s="7">
        <v>238263617</v>
      </c>
      <c r="I364" s="7">
        <v>6080423658</v>
      </c>
      <c r="J364" s="7">
        <v>6066572898</v>
      </c>
      <c r="K364" s="7">
        <v>6248570085</v>
      </c>
      <c r="L364" s="7">
        <v>3754349193</v>
      </c>
      <c r="M364" s="6">
        <f t="shared" si="6"/>
        <v>22388179451</v>
      </c>
      <c r="N364" s="29">
        <v>43449</v>
      </c>
      <c r="O364" s="30">
        <v>44773</v>
      </c>
      <c r="P364" s="12" t="s">
        <v>2373</v>
      </c>
      <c r="Q364" s="13" t="s">
        <v>73</v>
      </c>
      <c r="R364" s="60" t="s">
        <v>3369</v>
      </c>
      <c r="S364" s="26" t="s">
        <v>2374</v>
      </c>
      <c r="T364" s="26" t="s">
        <v>2375</v>
      </c>
      <c r="U364" s="26" t="s">
        <v>2376</v>
      </c>
      <c r="V364" s="64" t="s">
        <v>3165</v>
      </c>
      <c r="W364" s="26" t="s">
        <v>28</v>
      </c>
    </row>
    <row r="365" spans="1:23" ht="84.95" customHeight="1" x14ac:dyDescent="0.2">
      <c r="A365" s="27" t="s">
        <v>2377</v>
      </c>
      <c r="B365" s="60" t="s">
        <v>2378</v>
      </c>
      <c r="C365" s="59" t="s">
        <v>2379</v>
      </c>
      <c r="D365" s="7">
        <v>3000000</v>
      </c>
      <c r="E365" s="28"/>
      <c r="F365" s="28"/>
      <c r="G365" s="7"/>
      <c r="H365" s="7">
        <v>3000000</v>
      </c>
      <c r="I365" s="7">
        <v>16549395</v>
      </c>
      <c r="J365" s="7">
        <v>22000000</v>
      </c>
      <c r="K365" s="93">
        <v>0</v>
      </c>
      <c r="L365" s="93">
        <v>0</v>
      </c>
      <c r="M365" s="6">
        <f t="shared" si="6"/>
        <v>41549395</v>
      </c>
      <c r="N365" s="29">
        <v>43444</v>
      </c>
      <c r="O365" s="30">
        <v>44561</v>
      </c>
      <c r="P365" s="12" t="s">
        <v>617</v>
      </c>
      <c r="Q365" s="13" t="s">
        <v>73</v>
      </c>
      <c r="R365" s="60" t="s">
        <v>874</v>
      </c>
      <c r="S365" s="26" t="s">
        <v>875</v>
      </c>
      <c r="T365" s="26" t="s">
        <v>876</v>
      </c>
      <c r="U365" s="26" t="s">
        <v>2380</v>
      </c>
      <c r="V365" s="32" t="s">
        <v>878</v>
      </c>
      <c r="W365" s="26" t="s">
        <v>28</v>
      </c>
    </row>
    <row r="366" spans="1:23" ht="84.95" hidden="1" customHeight="1" x14ac:dyDescent="0.2">
      <c r="A366" s="27" t="s">
        <v>2381</v>
      </c>
      <c r="B366" s="60" t="s">
        <v>2382</v>
      </c>
      <c r="C366" s="59" t="s">
        <v>3216</v>
      </c>
      <c r="D366" s="7">
        <v>400610620</v>
      </c>
      <c r="E366" s="28">
        <v>150111000</v>
      </c>
      <c r="F366" s="28"/>
      <c r="G366" s="7"/>
      <c r="H366" s="7">
        <v>400610620</v>
      </c>
      <c r="I366" s="93">
        <v>0</v>
      </c>
      <c r="J366" s="93">
        <v>0</v>
      </c>
      <c r="K366" s="93">
        <v>0</v>
      </c>
      <c r="L366" s="93">
        <v>0</v>
      </c>
      <c r="M366" s="6">
        <f t="shared" si="6"/>
        <v>400610620</v>
      </c>
      <c r="N366" s="29">
        <v>43445</v>
      </c>
      <c r="O366" s="30">
        <v>43646</v>
      </c>
      <c r="P366" s="12" t="s">
        <v>426</v>
      </c>
      <c r="Q366" s="13" t="s">
        <v>73</v>
      </c>
      <c r="R366" s="60" t="s">
        <v>2383</v>
      </c>
      <c r="S366" s="26" t="s">
        <v>2384</v>
      </c>
      <c r="T366" s="26" t="s">
        <v>2385</v>
      </c>
      <c r="U366" s="26" t="s">
        <v>2386</v>
      </c>
      <c r="V366" s="32" t="s">
        <v>2387</v>
      </c>
      <c r="W366" s="26" t="s">
        <v>28</v>
      </c>
    </row>
    <row r="367" spans="1:23" ht="84.95" hidden="1" customHeight="1" x14ac:dyDescent="0.2">
      <c r="A367" s="27" t="s">
        <v>2388</v>
      </c>
      <c r="B367" s="60" t="s">
        <v>2389</v>
      </c>
      <c r="C367" s="59" t="s">
        <v>3217</v>
      </c>
      <c r="D367" s="7">
        <v>328000000</v>
      </c>
      <c r="E367" s="28"/>
      <c r="F367" s="28"/>
      <c r="G367" s="7"/>
      <c r="H367" s="7">
        <v>328000000</v>
      </c>
      <c r="I367" s="93">
        <v>0</v>
      </c>
      <c r="J367" s="93">
        <v>0</v>
      </c>
      <c r="K367" s="93">
        <v>0</v>
      </c>
      <c r="L367" s="93">
        <v>0</v>
      </c>
      <c r="M367" s="6">
        <f t="shared" si="6"/>
        <v>328000000</v>
      </c>
      <c r="N367" s="29">
        <v>43445</v>
      </c>
      <c r="O367" s="30">
        <v>43615</v>
      </c>
      <c r="P367" s="12" t="s">
        <v>892</v>
      </c>
      <c r="Q367" s="13" t="s">
        <v>73</v>
      </c>
      <c r="R367" s="60" t="s">
        <v>1331</v>
      </c>
      <c r="S367" s="26" t="s">
        <v>1332</v>
      </c>
      <c r="T367" s="26" t="s">
        <v>1333</v>
      </c>
      <c r="U367" s="26" t="s">
        <v>1334</v>
      </c>
      <c r="V367" s="32" t="s">
        <v>2390</v>
      </c>
      <c r="W367" s="26" t="s">
        <v>28</v>
      </c>
    </row>
    <row r="368" spans="1:23" ht="84.95" hidden="1" customHeight="1" x14ac:dyDescent="0.2">
      <c r="A368" s="27" t="s">
        <v>2391</v>
      </c>
      <c r="B368" s="60" t="s">
        <v>2392</v>
      </c>
      <c r="C368" s="59" t="s">
        <v>2393</v>
      </c>
      <c r="D368" s="7">
        <v>48000000</v>
      </c>
      <c r="E368" s="81"/>
      <c r="F368" s="81">
        <v>196000000</v>
      </c>
      <c r="G368" s="7"/>
      <c r="H368" s="7">
        <v>48000000</v>
      </c>
      <c r="I368" s="7">
        <v>689200000</v>
      </c>
      <c r="J368" s="7">
        <f>632600000-196000000</f>
        <v>436600000</v>
      </c>
      <c r="K368" s="93">
        <v>0</v>
      </c>
      <c r="L368" s="93">
        <v>0</v>
      </c>
      <c r="M368" s="6">
        <f t="shared" si="6"/>
        <v>1173800000</v>
      </c>
      <c r="N368" s="29">
        <v>43444</v>
      </c>
      <c r="O368" s="30">
        <v>44196</v>
      </c>
      <c r="P368" s="12" t="s">
        <v>1912</v>
      </c>
      <c r="Q368" s="11" t="s">
        <v>32</v>
      </c>
      <c r="R368" s="60" t="s">
        <v>2394</v>
      </c>
      <c r="S368" s="26" t="s">
        <v>2395</v>
      </c>
      <c r="T368" s="26" t="s">
        <v>2396</v>
      </c>
      <c r="U368" s="26" t="s">
        <v>3167</v>
      </c>
      <c r="V368" s="64" t="s">
        <v>3166</v>
      </c>
      <c r="W368" s="26" t="s">
        <v>28</v>
      </c>
    </row>
    <row r="369" spans="1:23" ht="84.95" hidden="1" customHeight="1" x14ac:dyDescent="0.2">
      <c r="A369" s="27" t="s">
        <v>2398</v>
      </c>
      <c r="B369" s="60" t="s">
        <v>2399</v>
      </c>
      <c r="C369" s="59" t="s">
        <v>2400</v>
      </c>
      <c r="D369" s="7">
        <v>10986500</v>
      </c>
      <c r="E369" s="28"/>
      <c r="F369" s="28"/>
      <c r="G369" s="7"/>
      <c r="H369" s="7">
        <v>10986500</v>
      </c>
      <c r="I369" s="93">
        <v>0</v>
      </c>
      <c r="J369" s="93">
        <v>0</v>
      </c>
      <c r="K369" s="93">
        <v>0</v>
      </c>
      <c r="L369" s="93">
        <v>0</v>
      </c>
      <c r="M369" s="6">
        <f t="shared" si="6"/>
        <v>10986500</v>
      </c>
      <c r="N369" s="29">
        <v>43444</v>
      </c>
      <c r="O369" s="30">
        <v>43646</v>
      </c>
      <c r="P369" s="12" t="s">
        <v>1954</v>
      </c>
      <c r="Q369" s="11" t="s">
        <v>32</v>
      </c>
      <c r="R369" s="60" t="s">
        <v>2401</v>
      </c>
      <c r="S369" s="26" t="s">
        <v>2402</v>
      </c>
      <c r="T369" s="26" t="s">
        <v>2403</v>
      </c>
      <c r="U369" s="26" t="s">
        <v>2404</v>
      </c>
      <c r="V369" s="64" t="s">
        <v>3168</v>
      </c>
      <c r="W369" s="26" t="s">
        <v>28</v>
      </c>
    </row>
    <row r="370" spans="1:23" ht="84.95" customHeight="1" x14ac:dyDescent="0.2">
      <c r="A370" s="27" t="s">
        <v>2405</v>
      </c>
      <c r="B370" s="60" t="s">
        <v>2406</v>
      </c>
      <c r="C370" s="59" t="s">
        <v>3294</v>
      </c>
      <c r="D370" s="7">
        <v>58675200</v>
      </c>
      <c r="E370" s="28"/>
      <c r="F370" s="28"/>
      <c r="G370" s="7"/>
      <c r="H370" s="7">
        <v>58675200</v>
      </c>
      <c r="I370" s="7">
        <v>688397616</v>
      </c>
      <c r="J370" s="7">
        <v>709051644</v>
      </c>
      <c r="K370" s="7">
        <v>730326780</v>
      </c>
      <c r="L370" s="7">
        <v>427714260</v>
      </c>
      <c r="M370" s="6">
        <f t="shared" si="6"/>
        <v>2614165500</v>
      </c>
      <c r="N370" s="29">
        <v>43444</v>
      </c>
      <c r="O370" s="30">
        <v>44742</v>
      </c>
      <c r="P370" s="12" t="s">
        <v>3385</v>
      </c>
      <c r="Q370" s="13" t="s">
        <v>32</v>
      </c>
      <c r="R370" s="60" t="s">
        <v>2162</v>
      </c>
      <c r="S370" s="26" t="s">
        <v>2163</v>
      </c>
      <c r="T370" s="26" t="s">
        <v>1225</v>
      </c>
      <c r="U370" s="26" t="s">
        <v>1226</v>
      </c>
      <c r="V370" s="32" t="s">
        <v>2164</v>
      </c>
      <c r="W370" s="26" t="s">
        <v>28</v>
      </c>
    </row>
    <row r="371" spans="1:23" ht="84.95" hidden="1" customHeight="1" x14ac:dyDescent="0.2">
      <c r="A371" s="27" t="s">
        <v>2407</v>
      </c>
      <c r="B371" s="60" t="s">
        <v>2408</v>
      </c>
      <c r="C371" s="59" t="s">
        <v>2409</v>
      </c>
      <c r="D371" s="7">
        <v>7413530</v>
      </c>
      <c r="E371" s="28"/>
      <c r="F371" s="28"/>
      <c r="G371" s="7"/>
      <c r="H371" s="7">
        <v>7413530</v>
      </c>
      <c r="I371" s="7">
        <v>43286470</v>
      </c>
      <c r="J371" s="93">
        <v>0</v>
      </c>
      <c r="K371" s="93">
        <v>0</v>
      </c>
      <c r="L371" s="93">
        <v>0</v>
      </c>
      <c r="M371" s="6">
        <f t="shared" si="6"/>
        <v>50700000</v>
      </c>
      <c r="N371" s="29">
        <v>43444</v>
      </c>
      <c r="O371" s="30">
        <v>43951</v>
      </c>
      <c r="P371" s="12" t="s">
        <v>1857</v>
      </c>
      <c r="Q371" s="11" t="s">
        <v>32</v>
      </c>
      <c r="R371" s="60" t="s">
        <v>2410</v>
      </c>
      <c r="S371" s="26" t="s">
        <v>2411</v>
      </c>
      <c r="T371" s="26" t="s">
        <v>2412</v>
      </c>
      <c r="U371" s="26" t="s">
        <v>2413</v>
      </c>
      <c r="V371" s="64" t="s">
        <v>3169</v>
      </c>
      <c r="W371" s="26" t="s">
        <v>28</v>
      </c>
    </row>
    <row r="372" spans="1:23" ht="84.95" hidden="1" customHeight="1" x14ac:dyDescent="0.2">
      <c r="A372" s="27" t="s">
        <v>2414</v>
      </c>
      <c r="B372" s="60" t="s">
        <v>2415</v>
      </c>
      <c r="C372" s="59" t="s">
        <v>2416</v>
      </c>
      <c r="D372" s="7">
        <v>159074516</v>
      </c>
      <c r="E372" s="28"/>
      <c r="F372" s="28"/>
      <c r="G372" s="7"/>
      <c r="H372" s="7">
        <v>159074516</v>
      </c>
      <c r="I372" s="93">
        <v>0</v>
      </c>
      <c r="J372" s="93">
        <v>0</v>
      </c>
      <c r="K372" s="93">
        <v>0</v>
      </c>
      <c r="L372" s="93">
        <v>0</v>
      </c>
      <c r="M372" s="6">
        <f t="shared" si="6"/>
        <v>159074516</v>
      </c>
      <c r="N372" s="29">
        <v>43445</v>
      </c>
      <c r="O372" s="30">
        <v>43465</v>
      </c>
      <c r="P372" s="12" t="s">
        <v>3291</v>
      </c>
      <c r="Q372" s="13" t="s">
        <v>73</v>
      </c>
      <c r="R372" s="60" t="s">
        <v>2417</v>
      </c>
      <c r="S372" s="26" t="s">
        <v>2418</v>
      </c>
      <c r="T372" s="26" t="s">
        <v>2419</v>
      </c>
      <c r="U372" s="26" t="s">
        <v>2420</v>
      </c>
      <c r="V372" s="32" t="s">
        <v>2421</v>
      </c>
      <c r="W372" s="26" t="s">
        <v>28</v>
      </c>
    </row>
    <row r="373" spans="1:23" ht="84.95" hidden="1" customHeight="1" x14ac:dyDescent="0.2">
      <c r="A373" s="27" t="s">
        <v>2422</v>
      </c>
      <c r="B373" s="60" t="s">
        <v>691</v>
      </c>
      <c r="C373" s="59" t="s">
        <v>2423</v>
      </c>
      <c r="D373" s="7">
        <v>23252362</v>
      </c>
      <c r="E373" s="28"/>
      <c r="F373" s="28"/>
      <c r="G373" s="7"/>
      <c r="H373" s="7">
        <v>23252362</v>
      </c>
      <c r="I373" s="93">
        <v>0</v>
      </c>
      <c r="J373" s="93">
        <v>0</v>
      </c>
      <c r="K373" s="93">
        <v>0</v>
      </c>
      <c r="L373" s="93">
        <v>0</v>
      </c>
      <c r="M373" s="6">
        <f t="shared" si="6"/>
        <v>23252362</v>
      </c>
      <c r="N373" s="29">
        <v>43445</v>
      </c>
      <c r="O373" s="30">
        <v>43465</v>
      </c>
      <c r="P373" s="12" t="s">
        <v>2636</v>
      </c>
      <c r="Q373" s="72" t="s">
        <v>32</v>
      </c>
      <c r="R373" s="60" t="s">
        <v>2424</v>
      </c>
      <c r="S373" s="26" t="s">
        <v>523</v>
      </c>
      <c r="T373" s="26" t="s">
        <v>524</v>
      </c>
      <c r="U373" s="26" t="s">
        <v>2425</v>
      </c>
      <c r="V373" s="32" t="s">
        <v>526</v>
      </c>
      <c r="W373" s="26" t="s">
        <v>28</v>
      </c>
    </row>
    <row r="374" spans="1:23" ht="317.25" customHeight="1" x14ac:dyDescent="0.2">
      <c r="A374" s="27" t="s">
        <v>2426</v>
      </c>
      <c r="B374" s="60" t="s">
        <v>1263</v>
      </c>
      <c r="C374" s="59" t="s">
        <v>2427</v>
      </c>
      <c r="D374" s="7">
        <v>250000000</v>
      </c>
      <c r="E374" s="28">
        <v>45000000</v>
      </c>
      <c r="F374" s="28"/>
      <c r="G374" s="7"/>
      <c r="H374" s="7">
        <v>250000000</v>
      </c>
      <c r="I374" s="7">
        <v>510000000</v>
      </c>
      <c r="J374" s="7">
        <f>510000000+45000000</f>
        <v>555000000</v>
      </c>
      <c r="K374" s="7">
        <v>510000000</v>
      </c>
      <c r="L374" s="7">
        <v>250000000</v>
      </c>
      <c r="M374" s="6">
        <f t="shared" si="6"/>
        <v>2075000000</v>
      </c>
      <c r="N374" s="29">
        <v>43447</v>
      </c>
      <c r="O374" s="30">
        <v>44742</v>
      </c>
      <c r="P374" s="12" t="s">
        <v>617</v>
      </c>
      <c r="Q374" s="13" t="s">
        <v>73</v>
      </c>
      <c r="R374" s="60" t="s">
        <v>1265</v>
      </c>
      <c r="S374" s="26" t="s">
        <v>1266</v>
      </c>
      <c r="T374" s="26" t="s">
        <v>2428</v>
      </c>
      <c r="U374" s="26" t="s">
        <v>1268</v>
      </c>
      <c r="V374" s="64" t="s">
        <v>1269</v>
      </c>
      <c r="W374" s="26" t="s">
        <v>28</v>
      </c>
    </row>
    <row r="375" spans="1:23" ht="127.5" customHeight="1" x14ac:dyDescent="0.2">
      <c r="A375" s="27" t="s">
        <v>2429</v>
      </c>
      <c r="B375" s="60" t="s">
        <v>2430</v>
      </c>
      <c r="C375" s="59" t="s">
        <v>2431</v>
      </c>
      <c r="D375" s="7">
        <v>22897200</v>
      </c>
      <c r="E375" s="28"/>
      <c r="F375" s="28"/>
      <c r="G375" s="7"/>
      <c r="H375" s="7">
        <v>22897200</v>
      </c>
      <c r="I375" s="7">
        <v>567374380</v>
      </c>
      <c r="J375" s="7">
        <v>584395610</v>
      </c>
      <c r="K375" s="7">
        <v>601927480</v>
      </c>
      <c r="L375" s="7">
        <v>361658100</v>
      </c>
      <c r="M375" s="6">
        <f t="shared" si="6"/>
        <v>2138252770</v>
      </c>
      <c r="N375" s="29">
        <v>43447</v>
      </c>
      <c r="O375" s="30">
        <v>44773</v>
      </c>
      <c r="P375" s="12" t="s">
        <v>3356</v>
      </c>
      <c r="Q375" s="13" t="s">
        <v>73</v>
      </c>
      <c r="R375" s="60" t="s">
        <v>2432</v>
      </c>
      <c r="S375" s="26" t="s">
        <v>2433</v>
      </c>
      <c r="T375" s="26" t="s">
        <v>2434</v>
      </c>
      <c r="U375" s="26" t="s">
        <v>3204</v>
      </c>
      <c r="V375" s="32" t="s">
        <v>2435</v>
      </c>
      <c r="W375" s="26" t="s">
        <v>28</v>
      </c>
    </row>
    <row r="376" spans="1:23" ht="84.95" customHeight="1" x14ac:dyDescent="0.2">
      <c r="A376" s="27" t="s">
        <v>2436</v>
      </c>
      <c r="B376" s="60" t="s">
        <v>2437</v>
      </c>
      <c r="C376" s="59" t="s">
        <v>2438</v>
      </c>
      <c r="D376" s="7">
        <v>2856982650</v>
      </c>
      <c r="E376" s="28"/>
      <c r="F376" s="81">
        <v>150000000</v>
      </c>
      <c r="G376" s="7"/>
      <c r="H376" s="7">
        <v>60586940</v>
      </c>
      <c r="I376" s="7">
        <v>750040940</v>
      </c>
      <c r="J376" s="7">
        <f>772542170-150000000</f>
        <v>622542170</v>
      </c>
      <c r="K376" s="7">
        <v>795718440</v>
      </c>
      <c r="L376" s="7">
        <v>478094160</v>
      </c>
      <c r="M376" s="6">
        <f t="shared" si="6"/>
        <v>2706982650</v>
      </c>
      <c r="N376" s="29">
        <v>43447</v>
      </c>
      <c r="O376" s="30">
        <v>44773</v>
      </c>
      <c r="P376" s="12" t="s">
        <v>3387</v>
      </c>
      <c r="Q376" s="13" t="s">
        <v>56</v>
      </c>
      <c r="R376" s="60" t="s">
        <v>2439</v>
      </c>
      <c r="S376" s="26" t="s">
        <v>2440</v>
      </c>
      <c r="T376" s="26" t="s">
        <v>1225</v>
      </c>
      <c r="U376" s="26" t="s">
        <v>1226</v>
      </c>
      <c r="V376" s="32" t="s">
        <v>2441</v>
      </c>
      <c r="W376" s="26" t="s">
        <v>28</v>
      </c>
    </row>
    <row r="377" spans="1:23" ht="84.95" customHeight="1" x14ac:dyDescent="0.2">
      <c r="A377" s="27" t="s">
        <v>2442</v>
      </c>
      <c r="B377" s="60" t="s">
        <v>1656</v>
      </c>
      <c r="C377" s="59" t="s">
        <v>2443</v>
      </c>
      <c r="D377" s="7">
        <v>20000000</v>
      </c>
      <c r="E377" s="28"/>
      <c r="F377" s="28"/>
      <c r="G377" s="7"/>
      <c r="H377" s="7">
        <v>20000000</v>
      </c>
      <c r="I377" s="7">
        <v>366525670</v>
      </c>
      <c r="J377" s="7">
        <v>377521440</v>
      </c>
      <c r="K377" s="7">
        <v>388847000</v>
      </c>
      <c r="L377" s="7">
        <v>233632290</v>
      </c>
      <c r="M377" s="6">
        <f t="shared" si="6"/>
        <v>1386526400</v>
      </c>
      <c r="N377" s="29">
        <v>43448</v>
      </c>
      <c r="O377" s="30">
        <v>44773</v>
      </c>
      <c r="P377" s="12" t="s">
        <v>892</v>
      </c>
      <c r="Q377" s="13" t="s">
        <v>73</v>
      </c>
      <c r="R377" s="60" t="s">
        <v>2444</v>
      </c>
      <c r="S377" s="26" t="s">
        <v>2445</v>
      </c>
      <c r="T377" s="26" t="s">
        <v>1012</v>
      </c>
      <c r="U377" s="26" t="s">
        <v>1013</v>
      </c>
      <c r="V377" s="32" t="s">
        <v>1014</v>
      </c>
      <c r="W377" s="26" t="s">
        <v>28</v>
      </c>
    </row>
    <row r="378" spans="1:23" ht="84.95" hidden="1" customHeight="1" x14ac:dyDescent="0.2">
      <c r="A378" s="27" t="s">
        <v>2446</v>
      </c>
      <c r="B378" s="60" t="s">
        <v>2447</v>
      </c>
      <c r="C378" s="59" t="s">
        <v>2448</v>
      </c>
      <c r="D378" s="7">
        <v>382844000</v>
      </c>
      <c r="E378" s="28"/>
      <c r="F378" s="28"/>
      <c r="G378" s="7"/>
      <c r="H378" s="7">
        <v>30465000</v>
      </c>
      <c r="I378" s="7">
        <v>731160000</v>
      </c>
      <c r="J378" s="7">
        <v>753094800</v>
      </c>
      <c r="K378" s="93">
        <v>0</v>
      </c>
      <c r="L378" s="93">
        <v>0</v>
      </c>
      <c r="M378" s="6">
        <f t="shared" si="6"/>
        <v>1514719800</v>
      </c>
      <c r="N378" s="29">
        <v>43451</v>
      </c>
      <c r="O378" s="30">
        <v>44196</v>
      </c>
      <c r="P378" s="12" t="s">
        <v>695</v>
      </c>
      <c r="Q378" s="11" t="s">
        <v>32</v>
      </c>
      <c r="R378" s="60" t="s">
        <v>410</v>
      </c>
      <c r="S378" s="26" t="s">
        <v>411</v>
      </c>
      <c r="T378" s="26" t="s">
        <v>2449</v>
      </c>
      <c r="U378" s="26" t="s">
        <v>413</v>
      </c>
      <c r="V378" s="64" t="s">
        <v>414</v>
      </c>
      <c r="W378" s="26" t="s">
        <v>28</v>
      </c>
    </row>
    <row r="379" spans="1:23" ht="84.95" hidden="1" customHeight="1" x14ac:dyDescent="0.2">
      <c r="A379" s="27" t="s">
        <v>2450</v>
      </c>
      <c r="B379" s="60" t="s">
        <v>2451</v>
      </c>
      <c r="C379" s="59" t="s">
        <v>2448</v>
      </c>
      <c r="D379" s="7">
        <v>1514719800</v>
      </c>
      <c r="E379" s="28"/>
      <c r="F379" s="28"/>
      <c r="G379" s="7"/>
      <c r="H379" s="7">
        <v>7700000</v>
      </c>
      <c r="I379" s="7">
        <v>184800000</v>
      </c>
      <c r="J379" s="7">
        <v>190344000</v>
      </c>
      <c r="K379" s="93">
        <v>0</v>
      </c>
      <c r="L379" s="93">
        <v>0</v>
      </c>
      <c r="M379" s="6">
        <f t="shared" si="6"/>
        <v>382844000</v>
      </c>
      <c r="N379" s="29">
        <v>43451</v>
      </c>
      <c r="O379" s="30">
        <v>44196</v>
      </c>
      <c r="P379" s="12" t="s">
        <v>695</v>
      </c>
      <c r="Q379" s="11" t="s">
        <v>32</v>
      </c>
      <c r="R379" s="60" t="s">
        <v>2452</v>
      </c>
      <c r="S379" s="26" t="s">
        <v>2453</v>
      </c>
      <c r="T379" s="26" t="s">
        <v>2454</v>
      </c>
      <c r="U379" s="26" t="s">
        <v>2455</v>
      </c>
      <c r="V379" s="64" t="s">
        <v>3170</v>
      </c>
      <c r="W379" s="26" t="s">
        <v>28</v>
      </c>
    </row>
    <row r="380" spans="1:23" ht="84.95" customHeight="1" x14ac:dyDescent="0.2">
      <c r="A380" s="27" t="s">
        <v>2456</v>
      </c>
      <c r="B380" s="60" t="s">
        <v>2457</v>
      </c>
      <c r="C380" s="59" t="s">
        <v>2458</v>
      </c>
      <c r="D380" s="7">
        <v>90263732</v>
      </c>
      <c r="E380" s="28"/>
      <c r="F380" s="28"/>
      <c r="G380" s="7"/>
      <c r="H380" s="7">
        <v>90263732</v>
      </c>
      <c r="I380" s="7">
        <v>2257315397</v>
      </c>
      <c r="J380" s="7">
        <v>2352122644</v>
      </c>
      <c r="K380" s="7">
        <v>2450911795</v>
      </c>
      <c r="L380" s="7">
        <v>1489745886</v>
      </c>
      <c r="M380" s="6">
        <f t="shared" si="6"/>
        <v>8640359454</v>
      </c>
      <c r="N380" s="29">
        <v>43453</v>
      </c>
      <c r="O380" s="30">
        <v>44773</v>
      </c>
      <c r="P380" s="12" t="s">
        <v>3356</v>
      </c>
      <c r="Q380" s="13" t="s">
        <v>73</v>
      </c>
      <c r="R380" s="60" t="s">
        <v>2459</v>
      </c>
      <c r="S380" s="26" t="s">
        <v>2460</v>
      </c>
      <c r="T380" s="26" t="s">
        <v>2461</v>
      </c>
      <c r="U380" s="26" t="s">
        <v>2462</v>
      </c>
      <c r="V380" s="32" t="s">
        <v>2463</v>
      </c>
      <c r="W380" s="26" t="s">
        <v>28</v>
      </c>
    </row>
    <row r="381" spans="1:23" ht="84.95" customHeight="1" x14ac:dyDescent="0.2">
      <c r="A381" s="27" t="s">
        <v>2464</v>
      </c>
      <c r="B381" s="60" t="s">
        <v>2465</v>
      </c>
      <c r="C381" s="59" t="s">
        <v>2466</v>
      </c>
      <c r="D381" s="7">
        <v>221450000</v>
      </c>
      <c r="E381" s="28"/>
      <c r="F381" s="28"/>
      <c r="G381" s="7"/>
      <c r="H381" s="7">
        <v>221450000</v>
      </c>
      <c r="I381" s="7">
        <v>548753840</v>
      </c>
      <c r="J381" s="7">
        <v>5651974460</v>
      </c>
      <c r="K381" s="7">
        <v>5821533690</v>
      </c>
      <c r="L381" s="7">
        <v>3497771490</v>
      </c>
      <c r="M381" s="6">
        <f t="shared" si="6"/>
        <v>15741483480</v>
      </c>
      <c r="N381" s="29">
        <v>43448</v>
      </c>
      <c r="O381" s="30">
        <v>44742</v>
      </c>
      <c r="P381" s="12" t="s">
        <v>3375</v>
      </c>
      <c r="Q381" s="13" t="s">
        <v>73</v>
      </c>
      <c r="R381" s="60" t="s">
        <v>2467</v>
      </c>
      <c r="S381" s="26" t="s">
        <v>2468</v>
      </c>
      <c r="T381" s="26" t="s">
        <v>2469</v>
      </c>
      <c r="U381" s="26" t="s">
        <v>2470</v>
      </c>
      <c r="V381" s="32" t="s">
        <v>2471</v>
      </c>
      <c r="W381" s="26" t="s">
        <v>28</v>
      </c>
    </row>
    <row r="382" spans="1:23" ht="117.75" customHeight="1" x14ac:dyDescent="0.2">
      <c r="A382" s="27" t="s">
        <v>3246</v>
      </c>
      <c r="B382" s="60" t="s">
        <v>2465</v>
      </c>
      <c r="C382" s="59" t="s">
        <v>3247</v>
      </c>
      <c r="D382" s="7">
        <v>28883954</v>
      </c>
      <c r="E382" s="28"/>
      <c r="F382" s="28"/>
      <c r="G382" s="7">
        <v>28883954</v>
      </c>
      <c r="H382" s="7">
        <v>28883954</v>
      </c>
      <c r="I382" s="7">
        <v>407380988</v>
      </c>
      <c r="J382" s="7">
        <v>420817889</v>
      </c>
      <c r="K382" s="7">
        <v>434718670</v>
      </c>
      <c r="L382" s="7">
        <v>224550143</v>
      </c>
      <c r="M382" s="6">
        <f t="shared" si="6"/>
        <v>1516351644</v>
      </c>
      <c r="N382" s="29">
        <v>43448</v>
      </c>
      <c r="O382" s="30">
        <v>44742</v>
      </c>
      <c r="P382" s="12" t="s">
        <v>3375</v>
      </c>
      <c r="Q382" s="13" t="s">
        <v>73</v>
      </c>
      <c r="R382" s="60" t="s">
        <v>2467</v>
      </c>
      <c r="S382" s="26" t="s">
        <v>2468</v>
      </c>
      <c r="T382" s="26" t="s">
        <v>2469</v>
      </c>
      <c r="U382" s="26" t="s">
        <v>2470</v>
      </c>
      <c r="V382" s="32" t="s">
        <v>2471</v>
      </c>
      <c r="W382" s="26" t="s">
        <v>28</v>
      </c>
    </row>
    <row r="383" spans="1:23" ht="84.95" customHeight="1" x14ac:dyDescent="0.2">
      <c r="A383" s="27" t="s">
        <v>2472</v>
      </c>
      <c r="B383" s="60" t="s">
        <v>2473</v>
      </c>
      <c r="C383" s="59" t="s">
        <v>2474</v>
      </c>
      <c r="D383" s="7">
        <v>41142330</v>
      </c>
      <c r="E383" s="28">
        <v>184518462</v>
      </c>
      <c r="F383" s="28"/>
      <c r="G383" s="7"/>
      <c r="H383" s="7">
        <v>41142330</v>
      </c>
      <c r="I383" s="7">
        <v>509737050</v>
      </c>
      <c r="J383" s="7">
        <v>525029160</v>
      </c>
      <c r="K383" s="7">
        <v>540780030</v>
      </c>
      <c r="L383" s="7">
        <v>324918670</v>
      </c>
      <c r="M383" s="6">
        <f t="shared" si="6"/>
        <v>1941607240</v>
      </c>
      <c r="N383" s="29">
        <v>43453</v>
      </c>
      <c r="O383" s="30">
        <v>44773</v>
      </c>
      <c r="P383" s="12" t="s">
        <v>2475</v>
      </c>
      <c r="Q383" s="11" t="s">
        <v>32</v>
      </c>
      <c r="R383" s="60" t="s">
        <v>2476</v>
      </c>
      <c r="S383" s="26" t="s">
        <v>2477</v>
      </c>
      <c r="T383" s="26" t="s">
        <v>2478</v>
      </c>
      <c r="U383" s="26" t="s">
        <v>2479</v>
      </c>
      <c r="V383" s="32" t="s">
        <v>2480</v>
      </c>
      <c r="W383" s="26" t="s">
        <v>28</v>
      </c>
    </row>
    <row r="384" spans="1:23" ht="84.95" hidden="1" customHeight="1" x14ac:dyDescent="0.2">
      <c r="A384" s="27" t="s">
        <v>2481</v>
      </c>
      <c r="B384" s="60" t="s">
        <v>2482</v>
      </c>
      <c r="C384" s="59" t="s">
        <v>3269</v>
      </c>
      <c r="D384" s="7">
        <v>158000000</v>
      </c>
      <c r="E384" s="28"/>
      <c r="F384" s="28"/>
      <c r="G384" s="7"/>
      <c r="H384" s="7">
        <v>158000000</v>
      </c>
      <c r="I384" s="93">
        <v>0</v>
      </c>
      <c r="J384" s="93">
        <v>0</v>
      </c>
      <c r="K384" s="93">
        <v>0</v>
      </c>
      <c r="L384" s="93">
        <v>0</v>
      </c>
      <c r="M384" s="6">
        <f t="shared" si="6"/>
        <v>158000000</v>
      </c>
      <c r="N384" s="29">
        <v>43453</v>
      </c>
      <c r="O384" s="30">
        <v>43646</v>
      </c>
      <c r="P384" s="12" t="s">
        <v>2483</v>
      </c>
      <c r="Q384" s="13" t="s">
        <v>56</v>
      </c>
      <c r="R384" s="60" t="s">
        <v>1594</v>
      </c>
      <c r="S384" s="26" t="s">
        <v>1595</v>
      </c>
      <c r="T384" s="26" t="s">
        <v>2484</v>
      </c>
      <c r="U384" s="26" t="s">
        <v>2485</v>
      </c>
      <c r="V384" s="32" t="s">
        <v>2486</v>
      </c>
      <c r="W384" s="26" t="s">
        <v>28</v>
      </c>
    </row>
    <row r="385" spans="1:23" ht="84.95" customHeight="1" x14ac:dyDescent="0.2">
      <c r="A385" s="27" t="s">
        <v>2487</v>
      </c>
      <c r="B385" s="60" t="s">
        <v>1361</v>
      </c>
      <c r="C385" s="59" t="s">
        <v>2488</v>
      </c>
      <c r="D385" s="7">
        <v>52122000</v>
      </c>
      <c r="E385" s="81"/>
      <c r="F385" s="81">
        <v>60000000</v>
      </c>
      <c r="G385" s="7"/>
      <c r="H385" s="7">
        <v>52122000</v>
      </c>
      <c r="I385" s="7">
        <v>53323900</v>
      </c>
      <c r="J385" s="7">
        <f>80000000-60000000</f>
        <v>20000000</v>
      </c>
      <c r="K385" s="7">
        <v>80000000</v>
      </c>
      <c r="L385" s="7">
        <v>40000000</v>
      </c>
      <c r="M385" s="6">
        <f t="shared" si="6"/>
        <v>245445900</v>
      </c>
      <c r="N385" s="29">
        <v>43452</v>
      </c>
      <c r="O385" s="30">
        <v>44742</v>
      </c>
      <c r="P385" s="12" t="s">
        <v>617</v>
      </c>
      <c r="Q385" s="13" t="s">
        <v>73</v>
      </c>
      <c r="R385" s="60" t="s">
        <v>2489</v>
      </c>
      <c r="S385" s="26" t="s">
        <v>1364</v>
      </c>
      <c r="T385" s="26" t="s">
        <v>1365</v>
      </c>
      <c r="U385" s="26" t="s">
        <v>1366</v>
      </c>
      <c r="V385" s="32" t="s">
        <v>1367</v>
      </c>
      <c r="W385" s="26" t="s">
        <v>28</v>
      </c>
    </row>
    <row r="386" spans="1:23" ht="84.95" hidden="1" customHeight="1" x14ac:dyDescent="0.2">
      <c r="A386" s="27" t="s">
        <v>2490</v>
      </c>
      <c r="B386" s="60" t="s">
        <v>853</v>
      </c>
      <c r="C386" s="59" t="s">
        <v>3270</v>
      </c>
      <c r="D386" s="7">
        <v>114090199</v>
      </c>
      <c r="E386" s="28"/>
      <c r="F386" s="28"/>
      <c r="G386" s="7"/>
      <c r="H386" s="7">
        <v>114090199</v>
      </c>
      <c r="I386" s="93">
        <v>0</v>
      </c>
      <c r="J386" s="93">
        <v>0</v>
      </c>
      <c r="K386" s="93">
        <v>0</v>
      </c>
      <c r="L386" s="93">
        <v>0</v>
      </c>
      <c r="M386" s="6">
        <f t="shared" si="6"/>
        <v>114090199</v>
      </c>
      <c r="N386" s="29">
        <v>43452</v>
      </c>
      <c r="O386" s="30">
        <v>43495</v>
      </c>
      <c r="P386" s="12" t="s">
        <v>3186</v>
      </c>
      <c r="Q386" s="11" t="s">
        <v>32</v>
      </c>
      <c r="R386" s="60" t="s">
        <v>204</v>
      </c>
      <c r="S386" s="26" t="s">
        <v>205</v>
      </c>
      <c r="T386" s="26" t="s">
        <v>206</v>
      </c>
      <c r="U386" s="26" t="s">
        <v>207</v>
      </c>
      <c r="V386" s="32" t="s">
        <v>208</v>
      </c>
      <c r="W386" s="26" t="s">
        <v>28</v>
      </c>
    </row>
    <row r="387" spans="1:23" ht="84.95" hidden="1" customHeight="1" x14ac:dyDescent="0.2">
      <c r="A387" s="27" t="s">
        <v>2491</v>
      </c>
      <c r="B387" s="60" t="s">
        <v>1874</v>
      </c>
      <c r="C387" s="59" t="s">
        <v>2492</v>
      </c>
      <c r="D387" s="7">
        <v>155000000</v>
      </c>
      <c r="E387" s="28"/>
      <c r="F387" s="28"/>
      <c r="G387" s="7"/>
      <c r="H387" s="7">
        <v>155000000</v>
      </c>
      <c r="I387" s="93">
        <v>0</v>
      </c>
      <c r="J387" s="93">
        <v>0</v>
      </c>
      <c r="K387" s="93">
        <v>0</v>
      </c>
      <c r="L387" s="93">
        <v>0</v>
      </c>
      <c r="M387" s="6">
        <f t="shared" si="6"/>
        <v>155000000</v>
      </c>
      <c r="N387" s="29">
        <v>43458</v>
      </c>
      <c r="O387" s="30">
        <v>43465</v>
      </c>
      <c r="P387" s="12" t="s">
        <v>2493</v>
      </c>
      <c r="Q387" s="11" t="s">
        <v>32</v>
      </c>
      <c r="R387" s="60" t="s">
        <v>2494</v>
      </c>
      <c r="S387" s="26" t="s">
        <v>1877</v>
      </c>
      <c r="T387" s="26" t="s">
        <v>1878</v>
      </c>
      <c r="U387" s="26" t="s">
        <v>2495</v>
      </c>
      <c r="V387" s="32" t="s">
        <v>2496</v>
      </c>
      <c r="W387" s="26" t="s">
        <v>28</v>
      </c>
    </row>
    <row r="388" spans="1:23" ht="84.95" hidden="1" customHeight="1" x14ac:dyDescent="0.2">
      <c r="A388" s="27" t="s">
        <v>2497</v>
      </c>
      <c r="B388" s="60" t="s">
        <v>2498</v>
      </c>
      <c r="C388" s="59" t="s">
        <v>2492</v>
      </c>
      <c r="D388" s="7">
        <v>140000000</v>
      </c>
      <c r="E388" s="28"/>
      <c r="F388" s="28"/>
      <c r="G388" s="7"/>
      <c r="H388" s="7">
        <v>140000000</v>
      </c>
      <c r="I388" s="93">
        <v>0</v>
      </c>
      <c r="J388" s="93">
        <v>0</v>
      </c>
      <c r="K388" s="93">
        <v>0</v>
      </c>
      <c r="L388" s="93">
        <v>0</v>
      </c>
      <c r="M388" s="6">
        <f t="shared" ref="M388:M451" si="7">SUM(H388:L388)</f>
        <v>140000000</v>
      </c>
      <c r="N388" s="29">
        <v>43454</v>
      </c>
      <c r="O388" s="30">
        <v>43465</v>
      </c>
      <c r="P388" s="12" t="s">
        <v>2499</v>
      </c>
      <c r="Q388" s="11" t="s">
        <v>32</v>
      </c>
      <c r="R388" s="60" t="s">
        <v>2500</v>
      </c>
      <c r="S388" s="26" t="s">
        <v>2501</v>
      </c>
      <c r="T388" s="26" t="s">
        <v>2502</v>
      </c>
      <c r="U388" s="26" t="s">
        <v>2503</v>
      </c>
      <c r="V388" s="64" t="s">
        <v>3171</v>
      </c>
      <c r="W388" s="26" t="s">
        <v>28</v>
      </c>
    </row>
    <row r="389" spans="1:23" ht="84.95" hidden="1" customHeight="1" x14ac:dyDescent="0.2">
      <c r="A389" s="27" t="s">
        <v>2504</v>
      </c>
      <c r="B389" s="60" t="s">
        <v>1377</v>
      </c>
      <c r="C389" s="59" t="s">
        <v>2492</v>
      </c>
      <c r="D389" s="7">
        <v>20000000</v>
      </c>
      <c r="E389" s="28"/>
      <c r="F389" s="28"/>
      <c r="G389" s="7"/>
      <c r="H389" s="7">
        <v>20000000</v>
      </c>
      <c r="I389" s="93">
        <v>0</v>
      </c>
      <c r="J389" s="93">
        <v>0</v>
      </c>
      <c r="K389" s="93">
        <v>0</v>
      </c>
      <c r="L389" s="93">
        <v>0</v>
      </c>
      <c r="M389" s="6">
        <f t="shared" si="7"/>
        <v>20000000</v>
      </c>
      <c r="N389" s="29">
        <v>43454</v>
      </c>
      <c r="O389" s="30">
        <v>43465</v>
      </c>
      <c r="P389" s="12" t="s">
        <v>2505</v>
      </c>
      <c r="Q389" s="11" t="s">
        <v>32</v>
      </c>
      <c r="R389" s="60" t="s">
        <v>1537</v>
      </c>
      <c r="S389" s="26" t="s">
        <v>1379</v>
      </c>
      <c r="T389" s="26" t="s">
        <v>808</v>
      </c>
      <c r="U389" s="26" t="s">
        <v>1380</v>
      </c>
      <c r="V389" s="64" t="s">
        <v>1381</v>
      </c>
      <c r="W389" s="26" t="s">
        <v>28</v>
      </c>
    </row>
    <row r="390" spans="1:23" ht="84.95" hidden="1" customHeight="1" x14ac:dyDescent="0.2">
      <c r="A390" s="27" t="s">
        <v>2506</v>
      </c>
      <c r="B390" s="60" t="s">
        <v>2507</v>
      </c>
      <c r="C390" s="59" t="s">
        <v>2492</v>
      </c>
      <c r="D390" s="7">
        <v>50000000</v>
      </c>
      <c r="E390" s="28"/>
      <c r="F390" s="28"/>
      <c r="G390" s="7"/>
      <c r="H390" s="7">
        <v>50000000</v>
      </c>
      <c r="I390" s="93">
        <v>0</v>
      </c>
      <c r="J390" s="93">
        <v>0</v>
      </c>
      <c r="K390" s="93">
        <v>0</v>
      </c>
      <c r="L390" s="93">
        <v>0</v>
      </c>
      <c r="M390" s="6">
        <f t="shared" si="7"/>
        <v>50000000</v>
      </c>
      <c r="N390" s="29">
        <v>43454</v>
      </c>
      <c r="O390" s="30">
        <v>43465</v>
      </c>
      <c r="P390" s="12" t="s">
        <v>1808</v>
      </c>
      <c r="Q390" s="11" t="s">
        <v>32</v>
      </c>
      <c r="R390" s="60" t="s">
        <v>2508</v>
      </c>
      <c r="S390" s="26" t="s">
        <v>2509</v>
      </c>
      <c r="T390" s="26" t="s">
        <v>2510</v>
      </c>
      <c r="U390" s="26" t="s">
        <v>2511</v>
      </c>
      <c r="V390" s="64" t="s">
        <v>2839</v>
      </c>
      <c r="W390" s="26" t="s">
        <v>28</v>
      </c>
    </row>
    <row r="391" spans="1:23" ht="84.95" hidden="1" customHeight="1" x14ac:dyDescent="0.2">
      <c r="A391" s="27" t="s">
        <v>2512</v>
      </c>
      <c r="B391" s="60" t="s">
        <v>2513</v>
      </c>
      <c r="C391" s="59" t="s">
        <v>2492</v>
      </c>
      <c r="D391" s="7">
        <v>20000000</v>
      </c>
      <c r="E391" s="28"/>
      <c r="F391" s="28"/>
      <c r="G391" s="7"/>
      <c r="H391" s="7">
        <v>20000000</v>
      </c>
      <c r="I391" s="93">
        <v>0</v>
      </c>
      <c r="J391" s="93">
        <v>0</v>
      </c>
      <c r="K391" s="93">
        <v>0</v>
      </c>
      <c r="L391" s="93">
        <v>0</v>
      </c>
      <c r="M391" s="6">
        <f t="shared" si="7"/>
        <v>20000000</v>
      </c>
      <c r="N391" s="29">
        <v>43454</v>
      </c>
      <c r="O391" s="30">
        <v>43465</v>
      </c>
      <c r="P391" s="12" t="s">
        <v>2514</v>
      </c>
      <c r="Q391" s="11" t="s">
        <v>32</v>
      </c>
      <c r="R391" s="60" t="s">
        <v>2515</v>
      </c>
      <c r="S391" s="26" t="s">
        <v>2516</v>
      </c>
      <c r="T391" s="26" t="s">
        <v>2517</v>
      </c>
      <c r="U391" s="26" t="s">
        <v>2518</v>
      </c>
      <c r="V391" s="32" t="s">
        <v>2519</v>
      </c>
      <c r="W391" s="26" t="s">
        <v>28</v>
      </c>
    </row>
    <row r="392" spans="1:23" ht="84.95" hidden="1" customHeight="1" x14ac:dyDescent="0.2">
      <c r="A392" s="27" t="s">
        <v>3364</v>
      </c>
      <c r="B392" s="60" t="s">
        <v>3248</v>
      </c>
      <c r="C392" s="59" t="s">
        <v>3249</v>
      </c>
      <c r="D392" s="7">
        <v>56982410</v>
      </c>
      <c r="E392" s="28"/>
      <c r="F392" s="28"/>
      <c r="G392" s="7"/>
      <c r="H392" s="7">
        <v>56982410</v>
      </c>
      <c r="I392" s="93">
        <v>0</v>
      </c>
      <c r="J392" s="93">
        <v>0</v>
      </c>
      <c r="K392" s="93">
        <v>0</v>
      </c>
      <c r="L392" s="93">
        <v>0</v>
      </c>
      <c r="M392" s="6">
        <f t="shared" si="7"/>
        <v>56982410</v>
      </c>
      <c r="N392" s="29">
        <v>43451</v>
      </c>
      <c r="O392" s="30">
        <v>43799</v>
      </c>
      <c r="P392" s="12" t="s">
        <v>1954</v>
      </c>
      <c r="Q392" s="72" t="s">
        <v>32</v>
      </c>
      <c r="R392" s="60"/>
      <c r="S392" s="26"/>
      <c r="T392" s="26"/>
      <c r="U392" s="26"/>
      <c r="V392" s="32"/>
      <c r="W392" s="26"/>
    </row>
    <row r="393" spans="1:23" ht="84.95" hidden="1" customHeight="1" x14ac:dyDescent="0.2">
      <c r="A393" s="27" t="s">
        <v>3365</v>
      </c>
      <c r="B393" s="60" t="s">
        <v>3250</v>
      </c>
      <c r="C393" s="59" t="s">
        <v>3251</v>
      </c>
      <c r="D393" s="7">
        <v>103261300</v>
      </c>
      <c r="E393" s="28"/>
      <c r="F393" s="28"/>
      <c r="G393" s="7"/>
      <c r="H393" s="7">
        <v>103261300</v>
      </c>
      <c r="I393" s="93">
        <v>0</v>
      </c>
      <c r="J393" s="93">
        <v>0</v>
      </c>
      <c r="K393" s="93">
        <v>0</v>
      </c>
      <c r="L393" s="93">
        <v>0</v>
      </c>
      <c r="M393" s="6">
        <f t="shared" si="7"/>
        <v>103261300</v>
      </c>
      <c r="N393" s="29">
        <v>43451</v>
      </c>
      <c r="O393" s="30">
        <v>43799</v>
      </c>
      <c r="P393" s="12" t="s">
        <v>695</v>
      </c>
      <c r="Q393" s="72" t="s">
        <v>32</v>
      </c>
      <c r="R393" s="60"/>
      <c r="S393" s="26"/>
      <c r="T393" s="26"/>
      <c r="U393" s="26"/>
      <c r="V393" s="32"/>
      <c r="W393" s="26"/>
    </row>
    <row r="394" spans="1:23" ht="84.95" hidden="1" customHeight="1" x14ac:dyDescent="0.2">
      <c r="A394" s="27" t="s">
        <v>3093</v>
      </c>
      <c r="B394" s="60" t="s">
        <v>1895</v>
      </c>
      <c r="C394" s="59" t="s">
        <v>3094</v>
      </c>
      <c r="D394" s="7">
        <v>13261300</v>
      </c>
      <c r="E394" s="28">
        <v>81935825</v>
      </c>
      <c r="F394" s="28"/>
      <c r="G394" s="7"/>
      <c r="H394" s="7">
        <v>13261300</v>
      </c>
      <c r="I394" s="7">
        <v>150610350</v>
      </c>
      <c r="J394" s="93">
        <v>0</v>
      </c>
      <c r="K394" s="93">
        <v>0</v>
      </c>
      <c r="L394" s="93">
        <v>0</v>
      </c>
      <c r="M394" s="6">
        <f t="shared" si="7"/>
        <v>163871650</v>
      </c>
      <c r="N394" s="29">
        <v>43452</v>
      </c>
      <c r="O394" s="30">
        <v>43799</v>
      </c>
      <c r="P394" s="12" t="s">
        <v>695</v>
      </c>
      <c r="Q394" s="11" t="s">
        <v>32</v>
      </c>
      <c r="R394" s="60" t="s">
        <v>1895</v>
      </c>
      <c r="S394" s="26" t="s">
        <v>1897</v>
      </c>
      <c r="T394" s="26" t="s">
        <v>3095</v>
      </c>
      <c r="U394" s="26" t="s">
        <v>3096</v>
      </c>
      <c r="V394" s="64" t="s">
        <v>1899</v>
      </c>
      <c r="W394" s="26" t="s">
        <v>28</v>
      </c>
    </row>
    <row r="395" spans="1:23" ht="227.25" customHeight="1" x14ac:dyDescent="0.2">
      <c r="A395" s="27" t="s">
        <v>2520</v>
      </c>
      <c r="B395" s="60" t="s">
        <v>2521</v>
      </c>
      <c r="C395" s="59" t="s">
        <v>2522</v>
      </c>
      <c r="D395" s="7">
        <v>512643980</v>
      </c>
      <c r="E395" s="81"/>
      <c r="F395" s="81">
        <f>500000000+1000000000</f>
        <v>1500000000</v>
      </c>
      <c r="G395" s="7"/>
      <c r="H395" s="7">
        <v>512643980</v>
      </c>
      <c r="I395" s="7">
        <v>6351453850</v>
      </c>
      <c r="J395" s="7">
        <f>6041997470-500000000-1000000000</f>
        <v>4541997470</v>
      </c>
      <c r="K395" s="7">
        <v>6738257390</v>
      </c>
      <c r="L395" s="7">
        <v>4048569650</v>
      </c>
      <c r="M395" s="6">
        <f t="shared" si="7"/>
        <v>22192922340</v>
      </c>
      <c r="N395" s="29">
        <v>43453</v>
      </c>
      <c r="O395" s="30">
        <v>44773</v>
      </c>
      <c r="P395" s="12" t="s">
        <v>3386</v>
      </c>
      <c r="Q395" s="13" t="s">
        <v>56</v>
      </c>
      <c r="R395" s="60" t="s">
        <v>2523</v>
      </c>
      <c r="S395" s="26" t="s">
        <v>2524</v>
      </c>
      <c r="T395" s="26" t="s">
        <v>2525</v>
      </c>
      <c r="U395" s="26" t="s">
        <v>2526</v>
      </c>
      <c r="V395" s="32" t="s">
        <v>2527</v>
      </c>
      <c r="W395" s="26" t="s">
        <v>28</v>
      </c>
    </row>
    <row r="396" spans="1:23" ht="84.95" customHeight="1" x14ac:dyDescent="0.2">
      <c r="A396" s="27" t="s">
        <v>3133</v>
      </c>
      <c r="B396" s="60" t="s">
        <v>2406</v>
      </c>
      <c r="C396" s="59" t="s">
        <v>3277</v>
      </c>
      <c r="D396" s="7">
        <v>50555411</v>
      </c>
      <c r="E396" s="28">
        <f>9059337+106000000+435000000</f>
        <v>550059337</v>
      </c>
      <c r="F396" s="28"/>
      <c r="G396" s="7"/>
      <c r="H396" s="7">
        <v>50555411</v>
      </c>
      <c r="I396" s="7">
        <f>623129152+9059337</f>
        <v>632188489</v>
      </c>
      <c r="J396" s="7">
        <v>643610826</v>
      </c>
      <c r="K396" s="7">
        <f>662919151+435000000</f>
        <v>1097919151</v>
      </c>
      <c r="L396" s="7">
        <v>398303923</v>
      </c>
      <c r="M396" s="6">
        <f t="shared" si="7"/>
        <v>2822577800</v>
      </c>
      <c r="N396" s="29">
        <v>43461</v>
      </c>
      <c r="O396" s="30">
        <v>44773</v>
      </c>
      <c r="P396" s="12" t="s">
        <v>3384</v>
      </c>
      <c r="Q396" s="13" t="s">
        <v>32</v>
      </c>
      <c r="R396" s="60" t="s">
        <v>2162</v>
      </c>
      <c r="S396" s="26" t="s">
        <v>3278</v>
      </c>
      <c r="T396" s="26" t="s">
        <v>3279</v>
      </c>
      <c r="U396" s="26" t="s">
        <v>1226</v>
      </c>
      <c r="V396" s="64" t="s">
        <v>3280</v>
      </c>
      <c r="W396" s="26" t="s">
        <v>28</v>
      </c>
    </row>
    <row r="397" spans="1:23" ht="159" customHeight="1" x14ac:dyDescent="0.2">
      <c r="A397" s="27" t="s">
        <v>3119</v>
      </c>
      <c r="B397" s="60" t="s">
        <v>3120</v>
      </c>
      <c r="C397" s="59" t="s">
        <v>3142</v>
      </c>
      <c r="D397" s="7">
        <v>223265210</v>
      </c>
      <c r="E397" s="56"/>
      <c r="F397" s="81">
        <f>430000000+1400000000+230000000</f>
        <v>2060000000</v>
      </c>
      <c r="G397" s="7"/>
      <c r="H397" s="7">
        <v>223265210</v>
      </c>
      <c r="I397" s="7">
        <v>2459355860</v>
      </c>
      <c r="J397" s="7">
        <f>2976036541-1400000000+230000000</f>
        <v>1806036541</v>
      </c>
      <c r="K397" s="7">
        <v>3065317638</v>
      </c>
      <c r="L397" s="7">
        <v>1841745018</v>
      </c>
      <c r="M397" s="6">
        <f t="shared" si="7"/>
        <v>9395720267</v>
      </c>
      <c r="N397" s="29">
        <v>43453</v>
      </c>
      <c r="O397" s="30">
        <v>44773</v>
      </c>
      <c r="P397" s="12" t="s">
        <v>343</v>
      </c>
      <c r="Q397" s="13" t="s">
        <v>56</v>
      </c>
      <c r="R397" s="60" t="s">
        <v>3121</v>
      </c>
      <c r="S397" s="26" t="s">
        <v>3125</v>
      </c>
      <c r="T397" s="26" t="s">
        <v>3122</v>
      </c>
      <c r="U397" s="26" t="s">
        <v>3123</v>
      </c>
      <c r="V397" s="64" t="s">
        <v>3124</v>
      </c>
      <c r="W397" s="26" t="s">
        <v>28</v>
      </c>
    </row>
    <row r="398" spans="1:23" ht="84.95" hidden="1" customHeight="1" x14ac:dyDescent="0.2">
      <c r="A398" s="27" t="s">
        <v>2528</v>
      </c>
      <c r="B398" s="60" t="s">
        <v>230</v>
      </c>
      <c r="C398" s="59" t="s">
        <v>3271</v>
      </c>
      <c r="D398" s="7">
        <v>39837537</v>
      </c>
      <c r="E398" s="28"/>
      <c r="F398" s="28"/>
      <c r="G398" s="7"/>
      <c r="H398" s="7">
        <v>39837537</v>
      </c>
      <c r="I398" s="93">
        <v>0</v>
      </c>
      <c r="J398" s="93">
        <v>0</v>
      </c>
      <c r="K398" s="93">
        <v>0</v>
      </c>
      <c r="L398" s="93">
        <v>0</v>
      </c>
      <c r="M398" s="6">
        <f t="shared" si="7"/>
        <v>39837537</v>
      </c>
      <c r="N398" s="29">
        <v>43454</v>
      </c>
      <c r="O398" s="30">
        <v>43465</v>
      </c>
      <c r="P398" s="12" t="s">
        <v>211</v>
      </c>
      <c r="Q398" s="13" t="s">
        <v>56</v>
      </c>
      <c r="R398" s="60" t="s">
        <v>1471</v>
      </c>
      <c r="S398" s="26" t="s">
        <v>515</v>
      </c>
      <c r="T398" s="26" t="s">
        <v>1472</v>
      </c>
      <c r="U398" s="26" t="s">
        <v>236</v>
      </c>
      <c r="V398" s="32" t="s">
        <v>2529</v>
      </c>
      <c r="W398" s="26" t="s">
        <v>28</v>
      </c>
    </row>
    <row r="399" spans="1:23" ht="84.95" customHeight="1" x14ac:dyDescent="0.2">
      <c r="A399" s="27" t="s">
        <v>2530</v>
      </c>
      <c r="B399" s="60" t="s">
        <v>2531</v>
      </c>
      <c r="C399" s="59" t="s">
        <v>2532</v>
      </c>
      <c r="D399" s="7">
        <v>46000000</v>
      </c>
      <c r="E399" s="28">
        <v>40000000</v>
      </c>
      <c r="F399" s="28"/>
      <c r="G399" s="7"/>
      <c r="H399" s="7">
        <v>46000000</v>
      </c>
      <c r="I399" s="7">
        <v>90000000</v>
      </c>
      <c r="J399" s="7">
        <f>80000000+40000000</f>
        <v>120000000</v>
      </c>
      <c r="K399" s="7">
        <v>90000000</v>
      </c>
      <c r="L399" s="7">
        <v>80000000</v>
      </c>
      <c r="M399" s="6">
        <f t="shared" si="7"/>
        <v>426000000</v>
      </c>
      <c r="N399" s="29">
        <v>43453</v>
      </c>
      <c r="O399" s="30">
        <v>44773</v>
      </c>
      <c r="P399" s="12" t="s">
        <v>617</v>
      </c>
      <c r="Q399" s="13" t="s">
        <v>73</v>
      </c>
      <c r="R399" s="60" t="s">
        <v>1016</v>
      </c>
      <c r="S399" s="26" t="s">
        <v>1017</v>
      </c>
      <c r="T399" s="26" t="s">
        <v>2533</v>
      </c>
      <c r="U399" s="26" t="s">
        <v>1019</v>
      </c>
      <c r="V399" s="32" t="s">
        <v>1020</v>
      </c>
      <c r="W399" s="26" t="s">
        <v>1666</v>
      </c>
    </row>
    <row r="400" spans="1:23" ht="84.95" hidden="1" customHeight="1" x14ac:dyDescent="0.2">
      <c r="A400" s="27" t="s">
        <v>2534</v>
      </c>
      <c r="B400" s="60" t="s">
        <v>2535</v>
      </c>
      <c r="C400" s="59" t="s">
        <v>3272</v>
      </c>
      <c r="D400" s="7">
        <v>30619323</v>
      </c>
      <c r="E400" s="28"/>
      <c r="F400" s="28"/>
      <c r="G400" s="7"/>
      <c r="H400" s="7">
        <v>30619323</v>
      </c>
      <c r="I400" s="93">
        <v>0</v>
      </c>
      <c r="J400" s="93">
        <v>0</v>
      </c>
      <c r="K400" s="93">
        <v>0</v>
      </c>
      <c r="L400" s="93">
        <v>0</v>
      </c>
      <c r="M400" s="6">
        <f t="shared" si="7"/>
        <v>30619323</v>
      </c>
      <c r="N400" s="29">
        <v>43455</v>
      </c>
      <c r="O400" s="30">
        <v>43511</v>
      </c>
      <c r="P400" s="12" t="s">
        <v>2536</v>
      </c>
      <c r="Q400" s="11" t="s">
        <v>32</v>
      </c>
      <c r="R400" s="60" t="s">
        <v>2537</v>
      </c>
      <c r="S400" s="26" t="s">
        <v>2538</v>
      </c>
      <c r="T400" s="26" t="s">
        <v>2539</v>
      </c>
      <c r="U400" s="26" t="s">
        <v>2540</v>
      </c>
      <c r="V400" s="32" t="s">
        <v>2541</v>
      </c>
      <c r="W400" s="26" t="s">
        <v>28</v>
      </c>
    </row>
    <row r="401" spans="1:23" ht="84.95" customHeight="1" x14ac:dyDescent="0.2">
      <c r="A401" s="27" t="s">
        <v>2542</v>
      </c>
      <c r="B401" s="60" t="s">
        <v>2543</v>
      </c>
      <c r="C401" s="59" t="s">
        <v>2544</v>
      </c>
      <c r="D401" s="7">
        <v>174000000</v>
      </c>
      <c r="E401" s="28"/>
      <c r="F401" s="28"/>
      <c r="G401" s="7"/>
      <c r="H401" s="7">
        <v>174000000</v>
      </c>
      <c r="I401" s="7">
        <v>230000000</v>
      </c>
      <c r="J401" s="7">
        <v>230000000</v>
      </c>
      <c r="K401" s="7">
        <v>230000000</v>
      </c>
      <c r="L401" s="7">
        <v>135753630</v>
      </c>
      <c r="M401" s="6">
        <f t="shared" si="7"/>
        <v>999753630</v>
      </c>
      <c r="N401" s="29">
        <v>43454</v>
      </c>
      <c r="O401" s="30">
        <v>44742</v>
      </c>
      <c r="P401" s="12" t="s">
        <v>617</v>
      </c>
      <c r="Q401" s="13" t="s">
        <v>73</v>
      </c>
      <c r="R401" s="60" t="s">
        <v>2545</v>
      </c>
      <c r="S401" s="26" t="s">
        <v>2546</v>
      </c>
      <c r="T401" s="26" t="s">
        <v>2547</v>
      </c>
      <c r="U401" s="26" t="s">
        <v>2548</v>
      </c>
      <c r="V401" s="32" t="s">
        <v>2549</v>
      </c>
      <c r="W401" s="26" t="s">
        <v>28</v>
      </c>
    </row>
    <row r="402" spans="1:23" ht="84.95" customHeight="1" x14ac:dyDescent="0.2">
      <c r="A402" s="27" t="s">
        <v>2550</v>
      </c>
      <c r="B402" s="60" t="s">
        <v>1388</v>
      </c>
      <c r="C402" s="59" t="s">
        <v>2551</v>
      </c>
      <c r="D402" s="7">
        <v>30000000</v>
      </c>
      <c r="E402" s="28"/>
      <c r="F402" s="28"/>
      <c r="G402" s="7"/>
      <c r="H402" s="7">
        <v>30000000</v>
      </c>
      <c r="I402" s="7">
        <v>110000000</v>
      </c>
      <c r="J402" s="7">
        <v>150000000</v>
      </c>
      <c r="K402" s="7">
        <v>150000000</v>
      </c>
      <c r="L402" s="7">
        <v>75000000</v>
      </c>
      <c r="M402" s="6">
        <f t="shared" si="7"/>
        <v>515000000</v>
      </c>
      <c r="N402" s="29">
        <v>43454</v>
      </c>
      <c r="O402" s="30">
        <v>44773</v>
      </c>
      <c r="P402" s="12" t="s">
        <v>617</v>
      </c>
      <c r="Q402" s="13" t="s">
        <v>73</v>
      </c>
      <c r="R402" s="60" t="s">
        <v>1389</v>
      </c>
      <c r="S402" s="26" t="s">
        <v>1390</v>
      </c>
      <c r="T402" s="26" t="s">
        <v>1391</v>
      </c>
      <c r="U402" s="26" t="s">
        <v>1398</v>
      </c>
      <c r="V402" s="32" t="s">
        <v>2552</v>
      </c>
      <c r="W402" s="26" t="s">
        <v>28</v>
      </c>
    </row>
    <row r="403" spans="1:23" ht="141" customHeight="1" x14ac:dyDescent="0.2">
      <c r="A403" s="27" t="s">
        <v>2553</v>
      </c>
      <c r="B403" s="60" t="s">
        <v>230</v>
      </c>
      <c r="C403" s="59" t="s">
        <v>2554</v>
      </c>
      <c r="D403" s="7">
        <v>60000000</v>
      </c>
      <c r="E403" s="28"/>
      <c r="F403" s="28"/>
      <c r="G403" s="7"/>
      <c r="H403" s="7">
        <v>60000000</v>
      </c>
      <c r="I403" s="7">
        <v>100000000</v>
      </c>
      <c r="J403" s="7">
        <v>106000000</v>
      </c>
      <c r="K403" s="7">
        <v>80000000</v>
      </c>
      <c r="L403" s="7">
        <v>40000000</v>
      </c>
      <c r="M403" s="6">
        <f t="shared" si="7"/>
        <v>386000000</v>
      </c>
      <c r="N403" s="29">
        <v>43454</v>
      </c>
      <c r="O403" s="30">
        <v>44773</v>
      </c>
      <c r="P403" s="12" t="s">
        <v>617</v>
      </c>
      <c r="Q403" s="13" t="s">
        <v>73</v>
      </c>
      <c r="R403" s="60" t="s">
        <v>1471</v>
      </c>
      <c r="S403" s="26" t="s">
        <v>515</v>
      </c>
      <c r="T403" s="26" t="s">
        <v>2555</v>
      </c>
      <c r="U403" s="26" t="s">
        <v>236</v>
      </c>
      <c r="V403" s="64" t="s">
        <v>2529</v>
      </c>
      <c r="W403" s="26" t="s">
        <v>28</v>
      </c>
    </row>
    <row r="404" spans="1:23" ht="84.95" customHeight="1" x14ac:dyDescent="0.2">
      <c r="A404" s="27" t="s">
        <v>2556</v>
      </c>
      <c r="B404" s="60" t="s">
        <v>2389</v>
      </c>
      <c r="C404" s="59" t="s">
        <v>3234</v>
      </c>
      <c r="D404" s="7">
        <v>60000000</v>
      </c>
      <c r="E404" s="28"/>
      <c r="F404" s="28"/>
      <c r="G404" s="7"/>
      <c r="H404" s="7">
        <v>60000000</v>
      </c>
      <c r="I404" s="7">
        <v>100000000</v>
      </c>
      <c r="J404" s="7">
        <v>100000000</v>
      </c>
      <c r="K404" s="7">
        <v>100000000</v>
      </c>
      <c r="L404" s="7">
        <v>50000000</v>
      </c>
      <c r="M404" s="6">
        <f t="shared" si="7"/>
        <v>410000000</v>
      </c>
      <c r="N404" s="29">
        <v>43454</v>
      </c>
      <c r="O404" s="30">
        <v>44773</v>
      </c>
      <c r="P404" s="12" t="s">
        <v>617</v>
      </c>
      <c r="Q404" s="13" t="s">
        <v>73</v>
      </c>
      <c r="R404" s="60" t="s">
        <v>1331</v>
      </c>
      <c r="S404" s="26" t="s">
        <v>1332</v>
      </c>
      <c r="T404" s="26" t="s">
        <v>1333</v>
      </c>
      <c r="U404" s="26" t="s">
        <v>1334</v>
      </c>
      <c r="V404" s="32" t="s">
        <v>1335</v>
      </c>
      <c r="W404" s="26" t="s">
        <v>28</v>
      </c>
    </row>
    <row r="405" spans="1:23" ht="84.95" customHeight="1" x14ac:dyDescent="0.2">
      <c r="A405" s="27" t="s">
        <v>2557</v>
      </c>
      <c r="B405" s="60" t="s">
        <v>691</v>
      </c>
      <c r="C405" s="59" t="s">
        <v>2558</v>
      </c>
      <c r="D405" s="7">
        <v>104000000</v>
      </c>
      <c r="E405" s="28">
        <v>50743388</v>
      </c>
      <c r="F405" s="28"/>
      <c r="G405" s="7"/>
      <c r="H405" s="7">
        <v>104000000</v>
      </c>
      <c r="I405" s="7">
        <v>250000000</v>
      </c>
      <c r="J405" s="7">
        <f>250000000+50743388</f>
        <v>300743388</v>
      </c>
      <c r="K405" s="7">
        <v>250000000</v>
      </c>
      <c r="L405" s="7">
        <v>135000000</v>
      </c>
      <c r="M405" s="6">
        <f t="shared" si="7"/>
        <v>1039743388</v>
      </c>
      <c r="N405" s="29">
        <v>43453</v>
      </c>
      <c r="O405" s="30">
        <v>44773</v>
      </c>
      <c r="P405" s="12" t="s">
        <v>617</v>
      </c>
      <c r="Q405" s="13" t="s">
        <v>73</v>
      </c>
      <c r="R405" s="26" t="s">
        <v>2424</v>
      </c>
      <c r="S405" s="26" t="s">
        <v>523</v>
      </c>
      <c r="T405" s="26" t="s">
        <v>524</v>
      </c>
      <c r="U405" s="26" t="s">
        <v>525</v>
      </c>
      <c r="V405" s="32" t="s">
        <v>526</v>
      </c>
      <c r="W405" s="26" t="s">
        <v>28</v>
      </c>
    </row>
    <row r="406" spans="1:23" ht="84.95" customHeight="1" x14ac:dyDescent="0.2">
      <c r="A406" s="27" t="s">
        <v>2559</v>
      </c>
      <c r="B406" s="60" t="s">
        <v>2560</v>
      </c>
      <c r="C406" s="59" t="s">
        <v>2561</v>
      </c>
      <c r="D406" s="7">
        <v>94661000</v>
      </c>
      <c r="E406" s="81"/>
      <c r="F406" s="81">
        <v>330000000</v>
      </c>
      <c r="G406" s="7"/>
      <c r="H406" s="7">
        <v>94661000</v>
      </c>
      <c r="I406" s="7">
        <v>2343768000</v>
      </c>
      <c r="J406" s="7">
        <f>2414088000-330000000</f>
        <v>2084088000</v>
      </c>
      <c r="K406" s="7">
        <v>2486508000</v>
      </c>
      <c r="L406" s="7">
        <v>1493975000</v>
      </c>
      <c r="M406" s="6">
        <f t="shared" si="7"/>
        <v>8503000000</v>
      </c>
      <c r="N406" s="29">
        <v>43455</v>
      </c>
      <c r="O406" s="30">
        <v>44773</v>
      </c>
      <c r="P406" s="12" t="s">
        <v>1890</v>
      </c>
      <c r="Q406" s="13" t="s">
        <v>56</v>
      </c>
      <c r="R406" s="60" t="s">
        <v>1165</v>
      </c>
      <c r="S406" s="26" t="s">
        <v>2562</v>
      </c>
      <c r="T406" s="26" t="s">
        <v>2563</v>
      </c>
      <c r="U406" s="26" t="s">
        <v>1226</v>
      </c>
      <c r="V406" s="32" t="s">
        <v>2564</v>
      </c>
      <c r="W406" s="26" t="s">
        <v>28</v>
      </c>
    </row>
    <row r="407" spans="1:23" ht="84.95" customHeight="1" x14ac:dyDescent="0.2">
      <c r="A407" s="27" t="s">
        <v>2565</v>
      </c>
      <c r="B407" s="60" t="s">
        <v>2566</v>
      </c>
      <c r="C407" s="59" t="s">
        <v>3395</v>
      </c>
      <c r="D407" s="7">
        <v>62113160</v>
      </c>
      <c r="E407" s="28"/>
      <c r="F407" s="28"/>
      <c r="G407" s="7"/>
      <c r="H407" s="7">
        <v>62113160</v>
      </c>
      <c r="I407" s="7">
        <v>1535437308</v>
      </c>
      <c r="J407" s="7">
        <v>1581500424</v>
      </c>
      <c r="K407" s="7">
        <v>1628945436</v>
      </c>
      <c r="L407" s="7">
        <v>978724719</v>
      </c>
      <c r="M407" s="6">
        <f t="shared" si="7"/>
        <v>5786721047</v>
      </c>
      <c r="N407" s="29">
        <v>43455</v>
      </c>
      <c r="O407" s="30">
        <v>44773</v>
      </c>
      <c r="P407" s="12" t="s">
        <v>3363</v>
      </c>
      <c r="Q407" s="11" t="s">
        <v>32</v>
      </c>
      <c r="R407" s="60" t="s">
        <v>600</v>
      </c>
      <c r="S407" s="26" t="s">
        <v>601</v>
      </c>
      <c r="T407" s="26" t="s">
        <v>2567</v>
      </c>
      <c r="U407" s="26" t="s">
        <v>2568</v>
      </c>
      <c r="V407" s="32" t="s">
        <v>2569</v>
      </c>
      <c r="W407" s="26" t="s">
        <v>28</v>
      </c>
    </row>
    <row r="408" spans="1:23" ht="179.25" customHeight="1" x14ac:dyDescent="0.2">
      <c r="A408" s="27" t="s">
        <v>3143</v>
      </c>
      <c r="B408" s="60" t="s">
        <v>2406</v>
      </c>
      <c r="C408" s="59" t="s">
        <v>3144</v>
      </c>
      <c r="D408" s="7">
        <v>86000000</v>
      </c>
      <c r="E408" s="81"/>
      <c r="F408" s="81">
        <f>119036932+250000000+200000000</f>
        <v>569036932</v>
      </c>
      <c r="G408" s="7"/>
      <c r="H408" s="7">
        <v>86000000</v>
      </c>
      <c r="I408" s="7">
        <v>2387477502</v>
      </c>
      <c r="J408" s="7">
        <f>2520353639-250000000-200000000</f>
        <v>2070353639</v>
      </c>
      <c r="K408" s="7">
        <v>2595964248</v>
      </c>
      <c r="L408" s="7">
        <v>1559741852</v>
      </c>
      <c r="M408" s="6">
        <f t="shared" si="7"/>
        <v>8699537241</v>
      </c>
      <c r="N408" s="29">
        <v>43455</v>
      </c>
      <c r="O408" s="30">
        <v>44773</v>
      </c>
      <c r="P408" s="12" t="s">
        <v>513</v>
      </c>
      <c r="Q408" s="13" t="s">
        <v>56</v>
      </c>
      <c r="R408" s="60" t="s">
        <v>2162</v>
      </c>
      <c r="S408" s="26" t="s">
        <v>2163</v>
      </c>
      <c r="T408" s="26" t="s">
        <v>1225</v>
      </c>
      <c r="U408" s="26" t="s">
        <v>1226</v>
      </c>
      <c r="V408" s="64" t="s">
        <v>2164</v>
      </c>
      <c r="W408" s="26" t="s">
        <v>28</v>
      </c>
    </row>
    <row r="409" spans="1:23" ht="75" hidden="1" customHeight="1" x14ac:dyDescent="0.2">
      <c r="A409" s="27" t="s">
        <v>2570</v>
      </c>
      <c r="B409" s="60" t="s">
        <v>2571</v>
      </c>
      <c r="C409" s="59" t="s">
        <v>2572</v>
      </c>
      <c r="D409" s="7">
        <v>44000000</v>
      </c>
      <c r="E409" s="28"/>
      <c r="F409" s="28"/>
      <c r="G409" s="7"/>
      <c r="H409" s="7">
        <v>44000000</v>
      </c>
      <c r="I409" s="7">
        <v>1320000000</v>
      </c>
      <c r="J409" s="7">
        <v>1320000000</v>
      </c>
      <c r="K409" s="93">
        <v>0</v>
      </c>
      <c r="L409" s="93">
        <v>0</v>
      </c>
      <c r="M409" s="6">
        <f t="shared" si="7"/>
        <v>2684000000</v>
      </c>
      <c r="N409" s="29">
        <v>43460</v>
      </c>
      <c r="O409" s="30">
        <v>44196</v>
      </c>
      <c r="P409" s="12" t="s">
        <v>644</v>
      </c>
      <c r="Q409" s="11" t="s">
        <v>32</v>
      </c>
      <c r="R409" s="60" t="s">
        <v>2573</v>
      </c>
      <c r="S409" s="26" t="s">
        <v>2574</v>
      </c>
      <c r="T409" s="26" t="s">
        <v>2575</v>
      </c>
      <c r="U409" s="26" t="s">
        <v>2576</v>
      </c>
      <c r="V409" s="32" t="s">
        <v>2577</v>
      </c>
      <c r="W409" s="26" t="s">
        <v>28</v>
      </c>
    </row>
    <row r="410" spans="1:23" ht="127.5" hidden="1" customHeight="1" x14ac:dyDescent="0.2">
      <c r="A410" s="27" t="s">
        <v>2578</v>
      </c>
      <c r="B410" s="60" t="s">
        <v>3275</v>
      </c>
      <c r="C410" s="59" t="s">
        <v>2579</v>
      </c>
      <c r="D410" s="7">
        <v>278591398</v>
      </c>
      <c r="E410" s="28">
        <v>367000000</v>
      </c>
      <c r="F410" s="28"/>
      <c r="G410" s="7"/>
      <c r="H410" s="7">
        <v>278591398</v>
      </c>
      <c r="I410" s="7">
        <v>6076570014</v>
      </c>
      <c r="J410" s="7">
        <v>6258867115</v>
      </c>
      <c r="K410" s="93">
        <v>367000000</v>
      </c>
      <c r="L410" s="93">
        <v>0</v>
      </c>
      <c r="M410" s="6">
        <f t="shared" si="7"/>
        <v>12981028527</v>
      </c>
      <c r="N410" s="29">
        <v>43458</v>
      </c>
      <c r="O410" s="30">
        <v>44286</v>
      </c>
      <c r="P410" s="12" t="s">
        <v>3376</v>
      </c>
      <c r="Q410" s="13" t="s">
        <v>56</v>
      </c>
      <c r="R410" s="60" t="s">
        <v>2580</v>
      </c>
      <c r="S410" s="26" t="s">
        <v>1544</v>
      </c>
      <c r="T410" s="26" t="s">
        <v>1545</v>
      </c>
      <c r="U410" s="26" t="s">
        <v>2581</v>
      </c>
      <c r="V410" s="32" t="s">
        <v>2582</v>
      </c>
      <c r="W410" s="26" t="s">
        <v>28</v>
      </c>
    </row>
    <row r="411" spans="1:23" ht="84.95" customHeight="1" x14ac:dyDescent="0.2">
      <c r="A411" s="27" t="s">
        <v>2583</v>
      </c>
      <c r="B411" s="60" t="s">
        <v>2584</v>
      </c>
      <c r="C411" s="59" t="s">
        <v>2585</v>
      </c>
      <c r="D411" s="7">
        <v>80000000</v>
      </c>
      <c r="E411" s="81"/>
      <c r="F411" s="81">
        <v>33650000</v>
      </c>
      <c r="G411" s="7"/>
      <c r="H411" s="7">
        <v>80000000</v>
      </c>
      <c r="I411" s="7">
        <v>2793050000</v>
      </c>
      <c r="J411" s="7">
        <v>2923700000</v>
      </c>
      <c r="K411" s="7">
        <v>3000600000</v>
      </c>
      <c r="L411" s="7">
        <v>1792000000</v>
      </c>
      <c r="M411" s="6">
        <f t="shared" si="7"/>
        <v>10589350000</v>
      </c>
      <c r="N411" s="29">
        <v>43458</v>
      </c>
      <c r="O411" s="30">
        <v>44773</v>
      </c>
      <c r="P411" s="12" t="s">
        <v>2075</v>
      </c>
      <c r="Q411" s="13" t="s">
        <v>56</v>
      </c>
      <c r="R411" s="60" t="s">
        <v>2586</v>
      </c>
      <c r="S411" s="26" t="s">
        <v>2587</v>
      </c>
      <c r="T411" s="26" t="s">
        <v>2588</v>
      </c>
      <c r="U411" s="26" t="s">
        <v>1226</v>
      </c>
      <c r="V411" s="32" t="s">
        <v>2589</v>
      </c>
      <c r="W411" s="26" t="s">
        <v>28</v>
      </c>
    </row>
    <row r="412" spans="1:23" ht="107.25" customHeight="1" x14ac:dyDescent="0.2">
      <c r="A412" s="27" t="s">
        <v>3218</v>
      </c>
      <c r="B412" s="60" t="s">
        <v>3220</v>
      </c>
      <c r="C412" s="59" t="s">
        <v>3219</v>
      </c>
      <c r="D412" s="7">
        <v>50000000</v>
      </c>
      <c r="E412" s="81"/>
      <c r="F412" s="81">
        <v>80000000</v>
      </c>
      <c r="G412" s="7"/>
      <c r="H412" s="7">
        <v>50000000</v>
      </c>
      <c r="I412" s="7">
        <v>85000000</v>
      </c>
      <c r="J412" s="7">
        <f>85000000-80000000</f>
        <v>5000000</v>
      </c>
      <c r="K412" s="7">
        <v>85000000</v>
      </c>
      <c r="L412" s="7">
        <v>50000000</v>
      </c>
      <c r="M412" s="6">
        <f t="shared" si="7"/>
        <v>275000000</v>
      </c>
      <c r="N412" s="29">
        <v>43461</v>
      </c>
      <c r="O412" s="30">
        <v>44742</v>
      </c>
      <c r="P412" s="12" t="s">
        <v>617</v>
      </c>
      <c r="Q412" s="13" t="s">
        <v>73</v>
      </c>
      <c r="R412" s="60" t="s">
        <v>3221</v>
      </c>
      <c r="S412" s="26" t="s">
        <v>3223</v>
      </c>
      <c r="T412" s="26" t="s">
        <v>3222</v>
      </c>
      <c r="U412" s="26"/>
      <c r="V412" s="32"/>
      <c r="W412" s="26" t="s">
        <v>28</v>
      </c>
    </row>
    <row r="413" spans="1:23" ht="80.25" customHeight="1" x14ac:dyDescent="0.2">
      <c r="A413" s="27" t="s">
        <v>3134</v>
      </c>
      <c r="B413" s="60" t="s">
        <v>2406</v>
      </c>
      <c r="C413" s="59" t="s">
        <v>3135</v>
      </c>
      <c r="D413" s="7">
        <v>102935000</v>
      </c>
      <c r="E413" s="28">
        <v>108500000</v>
      </c>
      <c r="F413" s="81">
        <v>88981797</v>
      </c>
      <c r="G413" s="7"/>
      <c r="H413" s="7">
        <v>102935000</v>
      </c>
      <c r="I413" s="7">
        <v>1183294803</v>
      </c>
      <c r="J413" s="7">
        <f>1310444898+108500000</f>
        <v>1418944898</v>
      </c>
      <c r="K413" s="7">
        <v>1349758245</v>
      </c>
      <c r="L413" s="7">
        <v>810979746</v>
      </c>
      <c r="M413" s="6">
        <f t="shared" si="7"/>
        <v>4865912692</v>
      </c>
      <c r="N413" s="29">
        <v>43458</v>
      </c>
      <c r="O413" s="30">
        <v>44773</v>
      </c>
      <c r="P413" s="62" t="s">
        <v>3372</v>
      </c>
      <c r="Q413" s="13" t="s">
        <v>56</v>
      </c>
      <c r="R413" s="60" t="s">
        <v>2162</v>
      </c>
      <c r="S413" s="26" t="s">
        <v>2163</v>
      </c>
      <c r="T413" s="26" t="s">
        <v>1225</v>
      </c>
      <c r="U413" s="26" t="s">
        <v>1226</v>
      </c>
      <c r="V413" s="64" t="s">
        <v>2164</v>
      </c>
      <c r="W413" s="26" t="s">
        <v>28</v>
      </c>
    </row>
    <row r="414" spans="1:23" ht="158.25" customHeight="1" x14ac:dyDescent="0.2">
      <c r="A414" s="27" t="s">
        <v>2590</v>
      </c>
      <c r="B414" s="60" t="s">
        <v>2591</v>
      </c>
      <c r="C414" s="59" t="s">
        <v>3193</v>
      </c>
      <c r="D414" s="7">
        <v>38999600</v>
      </c>
      <c r="E414" s="28">
        <v>50648190</v>
      </c>
      <c r="F414" s="28"/>
      <c r="G414" s="7"/>
      <c r="H414" s="7">
        <v>38999600</v>
      </c>
      <c r="I414" s="7">
        <v>482035056</v>
      </c>
      <c r="J414" s="7">
        <v>496496108</v>
      </c>
      <c r="K414" s="7">
        <v>511390991</v>
      </c>
      <c r="L414" s="7">
        <v>307260754</v>
      </c>
      <c r="M414" s="6">
        <f t="shared" si="7"/>
        <v>1836182509</v>
      </c>
      <c r="N414" s="29">
        <v>43458</v>
      </c>
      <c r="O414" s="30">
        <v>44773</v>
      </c>
      <c r="P414" s="12" t="s">
        <v>3372</v>
      </c>
      <c r="Q414" s="13" t="s">
        <v>56</v>
      </c>
      <c r="R414" s="60" t="s">
        <v>2439</v>
      </c>
      <c r="S414" s="26" t="s">
        <v>2440</v>
      </c>
      <c r="T414" s="26" t="s">
        <v>1225</v>
      </c>
      <c r="U414" s="26" t="s">
        <v>1226</v>
      </c>
      <c r="V414" s="32" t="s">
        <v>2441</v>
      </c>
      <c r="W414" s="26" t="s">
        <v>28</v>
      </c>
    </row>
    <row r="415" spans="1:23" ht="84.95" customHeight="1" x14ac:dyDescent="0.2">
      <c r="A415" s="27" t="s">
        <v>2592</v>
      </c>
      <c r="B415" s="60" t="s">
        <v>561</v>
      </c>
      <c r="C415" s="59" t="s">
        <v>2593</v>
      </c>
      <c r="D415" s="7">
        <v>60995959</v>
      </c>
      <c r="E415" s="28">
        <v>20000000</v>
      </c>
      <c r="F415" s="28"/>
      <c r="G415" s="83"/>
      <c r="H415" s="7">
        <v>60995959</v>
      </c>
      <c r="I415" s="7">
        <v>478511918</v>
      </c>
      <c r="J415" s="7">
        <v>649027980</v>
      </c>
      <c r="K415" s="7">
        <v>683806218</v>
      </c>
      <c r="L415" s="7">
        <v>356008705</v>
      </c>
      <c r="M415" s="6">
        <f t="shared" si="7"/>
        <v>2228350780</v>
      </c>
      <c r="N415" s="29">
        <v>43460</v>
      </c>
      <c r="O415" s="30">
        <v>44773</v>
      </c>
      <c r="P415" s="12" t="s">
        <v>3393</v>
      </c>
      <c r="Q415" s="11" t="s">
        <v>32</v>
      </c>
      <c r="R415" s="60" t="s">
        <v>562</v>
      </c>
      <c r="S415" s="26" t="s">
        <v>563</v>
      </c>
      <c r="T415" s="26" t="s">
        <v>2594</v>
      </c>
      <c r="U415" s="26" t="s">
        <v>2595</v>
      </c>
      <c r="V415" s="64" t="s">
        <v>2967</v>
      </c>
      <c r="W415" s="26" t="s">
        <v>28</v>
      </c>
    </row>
    <row r="416" spans="1:23" ht="84.95" customHeight="1" x14ac:dyDescent="0.2">
      <c r="A416" s="27" t="s">
        <v>2596</v>
      </c>
      <c r="B416" s="60" t="s">
        <v>763</v>
      </c>
      <c r="C416" s="59" t="s">
        <v>2593</v>
      </c>
      <c r="D416" s="7">
        <v>43326914</v>
      </c>
      <c r="E416" s="28"/>
      <c r="F416" s="81">
        <v>500000000</v>
      </c>
      <c r="G416" s="7"/>
      <c r="H416" s="7">
        <v>43326914</v>
      </c>
      <c r="I416" s="7">
        <v>566213813</v>
      </c>
      <c r="J416" s="7">
        <f>904221785-500000000</f>
        <v>404221785</v>
      </c>
      <c r="K416" s="7">
        <v>962852667</v>
      </c>
      <c r="L416" s="7">
        <v>542399132</v>
      </c>
      <c r="M416" s="6">
        <f t="shared" si="7"/>
        <v>2519014311</v>
      </c>
      <c r="N416" s="29">
        <v>43460</v>
      </c>
      <c r="O416" s="30">
        <v>44773</v>
      </c>
      <c r="P416" s="12" t="s">
        <v>3393</v>
      </c>
      <c r="Q416" s="11" t="s">
        <v>32</v>
      </c>
      <c r="R416" s="60" t="s">
        <v>2597</v>
      </c>
      <c r="S416" s="26" t="s">
        <v>2598</v>
      </c>
      <c r="T416" s="26" t="s">
        <v>2599</v>
      </c>
      <c r="U416" s="26" t="s">
        <v>2600</v>
      </c>
      <c r="V416" s="32" t="s">
        <v>2601</v>
      </c>
      <c r="W416" s="26" t="s">
        <v>28</v>
      </c>
    </row>
    <row r="417" spans="1:23" ht="162" customHeight="1" x14ac:dyDescent="0.2">
      <c r="A417" s="27" t="s">
        <v>2602</v>
      </c>
      <c r="B417" s="60" t="s">
        <v>1560</v>
      </c>
      <c r="C417" s="59" t="s">
        <v>2593</v>
      </c>
      <c r="D417" s="7">
        <v>16320810</v>
      </c>
      <c r="E417" s="28"/>
      <c r="F417" s="81">
        <v>400000000</v>
      </c>
      <c r="G417" s="7"/>
      <c r="H417" s="7">
        <v>16320810</v>
      </c>
      <c r="I417" s="7">
        <v>386524468</v>
      </c>
      <c r="J417" s="7">
        <f>593096277-400000000</f>
        <v>193096277</v>
      </c>
      <c r="K417" s="7">
        <v>641165958</v>
      </c>
      <c r="L417" s="7">
        <v>395842341</v>
      </c>
      <c r="M417" s="6">
        <f t="shared" si="7"/>
        <v>1632949854</v>
      </c>
      <c r="N417" s="29">
        <v>43460</v>
      </c>
      <c r="O417" s="30">
        <v>44773</v>
      </c>
      <c r="P417" s="12" t="s">
        <v>3393</v>
      </c>
      <c r="Q417" s="11" t="s">
        <v>32</v>
      </c>
      <c r="R417" s="60" t="s">
        <v>1561</v>
      </c>
      <c r="S417" s="26" t="s">
        <v>2603</v>
      </c>
      <c r="T417" s="26" t="s">
        <v>2047</v>
      </c>
      <c r="U417" s="26" t="s">
        <v>1564</v>
      </c>
      <c r="V417" s="32" t="s">
        <v>1565</v>
      </c>
      <c r="W417" s="26" t="s">
        <v>28</v>
      </c>
    </row>
    <row r="418" spans="1:23" ht="114.75" customHeight="1" x14ac:dyDescent="0.2">
      <c r="A418" s="27" t="s">
        <v>2604</v>
      </c>
      <c r="B418" s="60" t="s">
        <v>1752</v>
      </c>
      <c r="C418" s="59" t="s">
        <v>2593</v>
      </c>
      <c r="D418" s="7">
        <v>26749102</v>
      </c>
      <c r="E418" s="28"/>
      <c r="F418" s="28"/>
      <c r="G418" s="7"/>
      <c r="H418" s="7">
        <v>26749102</v>
      </c>
      <c r="I418" s="7">
        <v>502302895</v>
      </c>
      <c r="J418" s="7">
        <f>653235019-653235019</f>
        <v>0</v>
      </c>
      <c r="K418" s="7">
        <v>703070526</v>
      </c>
      <c r="L418" s="7">
        <v>208521882</v>
      </c>
      <c r="M418" s="6">
        <f t="shared" si="7"/>
        <v>1440644405</v>
      </c>
      <c r="N418" s="29">
        <v>43460</v>
      </c>
      <c r="O418" s="30">
        <v>44773</v>
      </c>
      <c r="P418" s="12" t="s">
        <v>3393</v>
      </c>
      <c r="Q418" s="11" t="s">
        <v>32</v>
      </c>
      <c r="R418" s="60" t="s">
        <v>2605</v>
      </c>
      <c r="S418" s="26" t="s">
        <v>1754</v>
      </c>
      <c r="T418" s="26" t="s">
        <v>1755</v>
      </c>
      <c r="U418" s="26" t="s">
        <v>2606</v>
      </c>
      <c r="V418" s="32" t="s">
        <v>2607</v>
      </c>
      <c r="W418" s="26" t="s">
        <v>28</v>
      </c>
    </row>
    <row r="419" spans="1:23" ht="84.95" customHeight="1" x14ac:dyDescent="0.2">
      <c r="A419" s="27" t="s">
        <v>2608</v>
      </c>
      <c r="B419" s="60" t="s">
        <v>2609</v>
      </c>
      <c r="C419" s="59" t="s">
        <v>2593</v>
      </c>
      <c r="D419" s="7">
        <v>31700000</v>
      </c>
      <c r="E419" s="28">
        <v>60000000</v>
      </c>
      <c r="F419" s="28"/>
      <c r="G419" s="7"/>
      <c r="H419" s="7">
        <v>31700000</v>
      </c>
      <c r="I419" s="7">
        <v>707800000</v>
      </c>
      <c r="J419" s="7">
        <v>855300000</v>
      </c>
      <c r="K419" s="7">
        <v>959000000</v>
      </c>
      <c r="L419" s="7">
        <v>495000000</v>
      </c>
      <c r="M419" s="6">
        <f t="shared" si="7"/>
        <v>3048800000</v>
      </c>
      <c r="N419" s="29">
        <v>43460</v>
      </c>
      <c r="O419" s="30">
        <v>44773</v>
      </c>
      <c r="P419" s="12" t="s">
        <v>2610</v>
      </c>
      <c r="Q419" s="11" t="s">
        <v>32</v>
      </c>
      <c r="R419" s="60" t="s">
        <v>2611</v>
      </c>
      <c r="S419" s="26" t="s">
        <v>2612</v>
      </c>
      <c r="T419" s="26" t="s">
        <v>2613</v>
      </c>
      <c r="U419" s="26" t="s">
        <v>2614</v>
      </c>
      <c r="V419" s="64" t="s">
        <v>3172</v>
      </c>
      <c r="W419" s="26" t="s">
        <v>28</v>
      </c>
    </row>
    <row r="420" spans="1:23" ht="84.95" customHeight="1" x14ac:dyDescent="0.2">
      <c r="A420" s="27" t="s">
        <v>2615</v>
      </c>
      <c r="B420" s="60" t="s">
        <v>1549</v>
      </c>
      <c r="C420" s="59" t="s">
        <v>2593</v>
      </c>
      <c r="D420" s="7">
        <v>8420326</v>
      </c>
      <c r="E420" s="81"/>
      <c r="F420" s="81">
        <v>10000000</v>
      </c>
      <c r="G420" s="7"/>
      <c r="H420" s="7">
        <v>8420326</v>
      </c>
      <c r="I420" s="7">
        <v>176297134</v>
      </c>
      <c r="J420" s="7">
        <v>261726929</v>
      </c>
      <c r="K420" s="7">
        <v>262062848</v>
      </c>
      <c r="L420" s="7">
        <v>183431503</v>
      </c>
      <c r="M420" s="6">
        <f t="shared" si="7"/>
        <v>891938740</v>
      </c>
      <c r="N420" s="29">
        <v>43460</v>
      </c>
      <c r="O420" s="30">
        <v>44773</v>
      </c>
      <c r="P420" s="12" t="s">
        <v>2044</v>
      </c>
      <c r="Q420" s="11" t="s">
        <v>32</v>
      </c>
      <c r="R420" s="60" t="s">
        <v>1551</v>
      </c>
      <c r="S420" s="26" t="s">
        <v>1552</v>
      </c>
      <c r="T420" s="26" t="s">
        <v>2616</v>
      </c>
      <c r="U420" s="26" t="s">
        <v>1852</v>
      </c>
      <c r="V420" s="64" t="s">
        <v>1555</v>
      </c>
      <c r="W420" s="26" t="s">
        <v>28</v>
      </c>
    </row>
    <row r="421" spans="1:23" ht="105" customHeight="1" x14ac:dyDescent="0.2">
      <c r="A421" s="27" t="s">
        <v>2617</v>
      </c>
      <c r="B421" s="60" t="s">
        <v>1745</v>
      </c>
      <c r="C421" s="59" t="s">
        <v>2593</v>
      </c>
      <c r="D421" s="7">
        <v>44397157</v>
      </c>
      <c r="E421" s="81"/>
      <c r="F421" s="81">
        <v>250000000</v>
      </c>
      <c r="G421" s="7"/>
      <c r="H421" s="7">
        <v>44397157</v>
      </c>
      <c r="I421" s="7">
        <v>638854812</v>
      </c>
      <c r="J421" s="7">
        <f>1082105570-250000000</f>
        <v>832105570</v>
      </c>
      <c r="K421" s="7">
        <v>1057080083</v>
      </c>
      <c r="L421" s="7">
        <v>736994817</v>
      </c>
      <c r="M421" s="6">
        <f t="shared" si="7"/>
        <v>3309432439</v>
      </c>
      <c r="N421" s="29">
        <v>43460</v>
      </c>
      <c r="O421" s="30">
        <v>44773</v>
      </c>
      <c r="P421" s="12" t="s">
        <v>3393</v>
      </c>
      <c r="Q421" s="11" t="s">
        <v>32</v>
      </c>
      <c r="R421" s="60" t="s">
        <v>2618</v>
      </c>
      <c r="S421" s="26" t="s">
        <v>1747</v>
      </c>
      <c r="T421" s="26" t="s">
        <v>2619</v>
      </c>
      <c r="U421" s="26" t="s">
        <v>1749</v>
      </c>
      <c r="V421" s="64" t="s">
        <v>1750</v>
      </c>
      <c r="W421" s="26" t="s">
        <v>28</v>
      </c>
    </row>
    <row r="422" spans="1:23" ht="84.95" customHeight="1" x14ac:dyDescent="0.2">
      <c r="A422" s="27" t="s">
        <v>2620</v>
      </c>
      <c r="B422" s="60" t="s">
        <v>1567</v>
      </c>
      <c r="C422" s="59" t="s">
        <v>2593</v>
      </c>
      <c r="D422" s="7">
        <v>9774203</v>
      </c>
      <c r="E422" s="28"/>
      <c r="F422" s="28"/>
      <c r="G422" s="7"/>
      <c r="H422" s="7">
        <v>9774203</v>
      </c>
      <c r="I422" s="7">
        <v>186598411</v>
      </c>
      <c r="J422" s="7">
        <v>262126339</v>
      </c>
      <c r="K422" s="7">
        <v>294686633</v>
      </c>
      <c r="L422" s="7">
        <v>157534095</v>
      </c>
      <c r="M422" s="6">
        <f t="shared" si="7"/>
        <v>910719681</v>
      </c>
      <c r="N422" s="29">
        <v>43460</v>
      </c>
      <c r="O422" s="30">
        <v>44773</v>
      </c>
      <c r="P422" s="12" t="s">
        <v>2044</v>
      </c>
      <c r="Q422" s="11" t="s">
        <v>32</v>
      </c>
      <c r="R422" s="60" t="s">
        <v>1568</v>
      </c>
      <c r="S422" s="26" t="s">
        <v>1569</v>
      </c>
      <c r="T422" s="26" t="s">
        <v>2621</v>
      </c>
      <c r="U422" s="26" t="s">
        <v>2622</v>
      </c>
      <c r="V422" s="64" t="s">
        <v>1572</v>
      </c>
      <c r="W422" s="26" t="s">
        <v>28</v>
      </c>
    </row>
    <row r="423" spans="1:23" ht="84.95" customHeight="1" x14ac:dyDescent="0.2">
      <c r="A423" s="27" t="s">
        <v>2623</v>
      </c>
      <c r="B423" s="60" t="s">
        <v>2624</v>
      </c>
      <c r="C423" s="59" t="s">
        <v>2593</v>
      </c>
      <c r="D423" s="7">
        <v>10010000</v>
      </c>
      <c r="E423" s="28"/>
      <c r="F423" s="28"/>
      <c r="G423" s="7"/>
      <c r="H423" s="7">
        <v>10010000</v>
      </c>
      <c r="I423" s="7">
        <v>191100000</v>
      </c>
      <c r="J423" s="7">
        <v>268450000</v>
      </c>
      <c r="K423" s="7">
        <v>254800000</v>
      </c>
      <c r="L423" s="7">
        <v>185640000</v>
      </c>
      <c r="M423" s="6">
        <f t="shared" si="7"/>
        <v>910000000</v>
      </c>
      <c r="N423" s="29">
        <v>43460</v>
      </c>
      <c r="O423" s="30">
        <v>44773</v>
      </c>
      <c r="P423" s="12" t="s">
        <v>3393</v>
      </c>
      <c r="Q423" s="11" t="s">
        <v>32</v>
      </c>
      <c r="R423" s="60" t="s">
        <v>2625</v>
      </c>
      <c r="S423" s="26" t="s">
        <v>2626</v>
      </c>
      <c r="T423" s="26" t="s">
        <v>2627</v>
      </c>
      <c r="U423" s="26" t="s">
        <v>2628</v>
      </c>
      <c r="V423" s="64" t="s">
        <v>2898</v>
      </c>
      <c r="W423" s="26" t="s">
        <v>28</v>
      </c>
    </row>
    <row r="424" spans="1:23" ht="84.95" customHeight="1" x14ac:dyDescent="0.2">
      <c r="A424" s="27" t="s">
        <v>2629</v>
      </c>
      <c r="B424" s="60" t="s">
        <v>433</v>
      </c>
      <c r="C424" s="59" t="s">
        <v>2593</v>
      </c>
      <c r="D424" s="7">
        <v>5973888</v>
      </c>
      <c r="E424" s="28"/>
      <c r="F424" s="81">
        <v>120000000</v>
      </c>
      <c r="G424" s="7"/>
      <c r="H424" s="7">
        <v>5973888</v>
      </c>
      <c r="I424" s="7">
        <v>114085136</v>
      </c>
      <c r="J424" s="7">
        <f>160262453-120000000</f>
        <v>40262453</v>
      </c>
      <c r="K424" s="7">
        <v>152113514</v>
      </c>
      <c r="L424" s="7">
        <v>110825560</v>
      </c>
      <c r="M424" s="6">
        <f t="shared" si="7"/>
        <v>423260551</v>
      </c>
      <c r="N424" s="29">
        <v>43460</v>
      </c>
      <c r="O424" s="30">
        <v>44773</v>
      </c>
      <c r="P424" s="12" t="s">
        <v>3393</v>
      </c>
      <c r="Q424" s="11" t="s">
        <v>32</v>
      </c>
      <c r="R424" s="60" t="s">
        <v>529</v>
      </c>
      <c r="S424" s="26" t="s">
        <v>435</v>
      </c>
      <c r="T424" s="26" t="s">
        <v>2630</v>
      </c>
      <c r="U424" s="26" t="s">
        <v>437</v>
      </c>
      <c r="V424" s="64" t="s">
        <v>438</v>
      </c>
      <c r="W424" s="26" t="s">
        <v>281</v>
      </c>
    </row>
    <row r="425" spans="1:23" ht="84.95" customHeight="1" x14ac:dyDescent="0.2">
      <c r="A425" s="27" t="s">
        <v>2631</v>
      </c>
      <c r="B425" s="60" t="s">
        <v>2632</v>
      </c>
      <c r="C425" s="59" t="s">
        <v>2593</v>
      </c>
      <c r="D425" s="7">
        <v>39200000</v>
      </c>
      <c r="E425" s="28">
        <f>457000000+100000000</f>
        <v>557000000</v>
      </c>
      <c r="F425" s="28"/>
      <c r="G425" s="7"/>
      <c r="H425" s="7">
        <v>39200000</v>
      </c>
      <c r="I425" s="7">
        <v>907000000</v>
      </c>
      <c r="J425" s="7">
        <f>1050000000+100000000</f>
        <v>1150000000</v>
      </c>
      <c r="K425" s="7">
        <v>1000000000</v>
      </c>
      <c r="L425" s="7">
        <v>900000000</v>
      </c>
      <c r="M425" s="6">
        <f t="shared" si="7"/>
        <v>3996200000</v>
      </c>
      <c r="N425" s="29">
        <v>43460</v>
      </c>
      <c r="O425" s="30">
        <v>44773</v>
      </c>
      <c r="P425" s="12" t="s">
        <v>3393</v>
      </c>
      <c r="Q425" s="11" t="s">
        <v>32</v>
      </c>
      <c r="R425" s="60" t="s">
        <v>2633</v>
      </c>
      <c r="S425" s="26" t="s">
        <v>2032</v>
      </c>
      <c r="T425" s="26" t="s">
        <v>2634</v>
      </c>
      <c r="U425" s="26" t="s">
        <v>2034</v>
      </c>
      <c r="V425" s="64" t="s">
        <v>2035</v>
      </c>
      <c r="W425" s="26" t="s">
        <v>28</v>
      </c>
    </row>
    <row r="426" spans="1:23" ht="84.95" customHeight="1" x14ac:dyDescent="0.2">
      <c r="A426" s="27" t="s">
        <v>2635</v>
      </c>
      <c r="B426" s="60" t="s">
        <v>1054</v>
      </c>
      <c r="C426" s="59" t="s">
        <v>2593</v>
      </c>
      <c r="D426" s="7">
        <v>12526136</v>
      </c>
      <c r="E426" s="81"/>
      <c r="F426" s="81">
        <v>80000000</v>
      </c>
      <c r="G426" s="7"/>
      <c r="H426" s="7">
        <v>12526136</v>
      </c>
      <c r="I426" s="7">
        <v>159135355</v>
      </c>
      <c r="J426" s="7">
        <f>346928237-80000000</f>
        <v>266928237</v>
      </c>
      <c r="K426" s="7">
        <v>340679557</v>
      </c>
      <c r="L426" s="7">
        <v>232302916</v>
      </c>
      <c r="M426" s="6">
        <f t="shared" si="7"/>
        <v>1011572201</v>
      </c>
      <c r="N426" s="29">
        <v>43460</v>
      </c>
      <c r="O426" s="30">
        <v>44773</v>
      </c>
      <c r="P426" s="12" t="s">
        <v>2636</v>
      </c>
      <c r="Q426" s="11" t="s">
        <v>32</v>
      </c>
      <c r="R426" s="60" t="s">
        <v>403</v>
      </c>
      <c r="S426" s="26" t="s">
        <v>404</v>
      </c>
      <c r="T426" s="26" t="s">
        <v>2637</v>
      </c>
      <c r="U426" s="26" t="s">
        <v>406</v>
      </c>
      <c r="V426" s="32" t="s">
        <v>2638</v>
      </c>
      <c r="W426" s="26" t="s">
        <v>28</v>
      </c>
    </row>
    <row r="427" spans="1:23" ht="144" customHeight="1" x14ac:dyDescent="0.2">
      <c r="A427" s="27" t="s">
        <v>2639</v>
      </c>
      <c r="B427" s="60" t="s">
        <v>574</v>
      </c>
      <c r="C427" s="59" t="s">
        <v>2593</v>
      </c>
      <c r="D427" s="7">
        <v>2200000</v>
      </c>
      <c r="E427" s="81"/>
      <c r="F427" s="81">
        <f>57772400+78000000</f>
        <v>135772400</v>
      </c>
      <c r="G427" s="7"/>
      <c r="H427" s="7">
        <v>2200000</v>
      </c>
      <c r="I427" s="7">
        <v>6227600</v>
      </c>
      <c r="J427" s="7">
        <f>78000000-68000000</f>
        <v>10000000</v>
      </c>
      <c r="K427" s="7">
        <v>78000000</v>
      </c>
      <c r="L427" s="7">
        <v>51600000</v>
      </c>
      <c r="M427" s="6">
        <f t="shared" si="7"/>
        <v>148027600</v>
      </c>
      <c r="N427" s="29">
        <v>43460</v>
      </c>
      <c r="O427" s="30">
        <v>44773</v>
      </c>
      <c r="P427" s="12" t="s">
        <v>2636</v>
      </c>
      <c r="Q427" s="11" t="s">
        <v>32</v>
      </c>
      <c r="R427" s="60" t="s">
        <v>576</v>
      </c>
      <c r="S427" s="26" t="s">
        <v>577</v>
      </c>
      <c r="T427" s="26" t="s">
        <v>2640</v>
      </c>
      <c r="U427" s="26" t="s">
        <v>579</v>
      </c>
      <c r="V427" s="32" t="s">
        <v>2641</v>
      </c>
      <c r="W427" s="26" t="s">
        <v>28</v>
      </c>
    </row>
    <row r="428" spans="1:23" ht="84.95" customHeight="1" x14ac:dyDescent="0.2">
      <c r="A428" s="27" t="s">
        <v>2642</v>
      </c>
      <c r="B428" s="60" t="s">
        <v>1981</v>
      </c>
      <c r="C428" s="59" t="s">
        <v>2593</v>
      </c>
      <c r="D428" s="7">
        <v>929241</v>
      </c>
      <c r="E428" s="28"/>
      <c r="F428" s="28"/>
      <c r="G428" s="7"/>
      <c r="H428" s="7">
        <v>929241</v>
      </c>
      <c r="I428" s="7">
        <v>17740049</v>
      </c>
      <c r="J428" s="7">
        <v>24920545</v>
      </c>
      <c r="K428" s="7">
        <v>23653399</v>
      </c>
      <c r="L428" s="7">
        <v>17233190</v>
      </c>
      <c r="M428" s="6">
        <f t="shared" si="7"/>
        <v>84476424</v>
      </c>
      <c r="N428" s="29">
        <v>43460</v>
      </c>
      <c r="O428" s="30">
        <v>44773</v>
      </c>
      <c r="P428" s="12" t="s">
        <v>2044</v>
      </c>
      <c r="Q428" s="11" t="s">
        <v>32</v>
      </c>
      <c r="R428" s="60" t="s">
        <v>2643</v>
      </c>
      <c r="S428" s="26" t="s">
        <v>1984</v>
      </c>
      <c r="T428" s="26" t="s">
        <v>2644</v>
      </c>
      <c r="U428" s="26" t="s">
        <v>1986</v>
      </c>
      <c r="V428" s="32" t="s">
        <v>1987</v>
      </c>
      <c r="W428" s="26" t="s">
        <v>28</v>
      </c>
    </row>
    <row r="429" spans="1:23" ht="84.95" customHeight="1" x14ac:dyDescent="0.2">
      <c r="A429" s="27" t="s">
        <v>2645</v>
      </c>
      <c r="B429" s="60" t="s">
        <v>797</v>
      </c>
      <c r="C429" s="59" t="s">
        <v>2593</v>
      </c>
      <c r="D429" s="7">
        <v>11114776</v>
      </c>
      <c r="E429" s="28"/>
      <c r="F429" s="28"/>
      <c r="G429" s="7"/>
      <c r="H429" s="7">
        <v>11114776</v>
      </c>
      <c r="I429" s="7">
        <v>212191172</v>
      </c>
      <c r="J429" s="7">
        <v>298078076</v>
      </c>
      <c r="K429" s="7">
        <v>287921563</v>
      </c>
      <c r="L429" s="7">
        <v>206128568</v>
      </c>
      <c r="M429" s="6">
        <f t="shared" si="7"/>
        <v>1015434155</v>
      </c>
      <c r="N429" s="29">
        <v>43460</v>
      </c>
      <c r="O429" s="30">
        <v>44773</v>
      </c>
      <c r="P429" s="12" t="s">
        <v>2044</v>
      </c>
      <c r="Q429" s="11" t="s">
        <v>32</v>
      </c>
      <c r="R429" s="60" t="s">
        <v>798</v>
      </c>
      <c r="S429" s="26" t="s">
        <v>799</v>
      </c>
      <c r="T429" s="26" t="s">
        <v>2646</v>
      </c>
      <c r="U429" s="26" t="s">
        <v>2647</v>
      </c>
      <c r="V429" s="64" t="s">
        <v>802</v>
      </c>
      <c r="W429" s="26" t="s">
        <v>28</v>
      </c>
    </row>
    <row r="430" spans="1:23" ht="84.95" customHeight="1" x14ac:dyDescent="0.2">
      <c r="A430" s="27" t="s">
        <v>2648</v>
      </c>
      <c r="B430" s="60" t="s">
        <v>2649</v>
      </c>
      <c r="C430" s="59" t="s">
        <v>2593</v>
      </c>
      <c r="D430" s="7">
        <v>2848328</v>
      </c>
      <c r="E430" s="28"/>
      <c r="F430" s="28"/>
      <c r="G430" s="7"/>
      <c r="H430" s="7">
        <v>2848328</v>
      </c>
      <c r="I430" s="7">
        <v>58558995</v>
      </c>
      <c r="J430" s="7">
        <v>76223350</v>
      </c>
      <c r="K430" s="7">
        <v>75411993</v>
      </c>
      <c r="L430" s="7">
        <v>57114452</v>
      </c>
      <c r="M430" s="6">
        <f t="shared" si="7"/>
        <v>270157118</v>
      </c>
      <c r="N430" s="29">
        <v>43460</v>
      </c>
      <c r="O430" s="30">
        <v>44773</v>
      </c>
      <c r="P430" s="12" t="s">
        <v>2044</v>
      </c>
      <c r="Q430" s="11" t="s">
        <v>32</v>
      </c>
      <c r="R430" s="60" t="s">
        <v>2650</v>
      </c>
      <c r="S430" s="26" t="s">
        <v>2651</v>
      </c>
      <c r="T430" s="26" t="s">
        <v>2652</v>
      </c>
      <c r="U430" s="26" t="s">
        <v>2653</v>
      </c>
      <c r="V430" s="64" t="s">
        <v>3173</v>
      </c>
      <c r="W430" s="26" t="s">
        <v>28</v>
      </c>
    </row>
    <row r="431" spans="1:23" ht="84.95" customHeight="1" x14ac:dyDescent="0.2">
      <c r="A431" s="27" t="s">
        <v>2654</v>
      </c>
      <c r="B431" s="60" t="s">
        <v>2655</v>
      </c>
      <c r="C431" s="59" t="s">
        <v>2593</v>
      </c>
      <c r="D431" s="7">
        <v>77000</v>
      </c>
      <c r="E431" s="28"/>
      <c r="F431" s="28"/>
      <c r="G431" s="7"/>
      <c r="H431" s="7">
        <v>77000</v>
      </c>
      <c r="I431" s="7">
        <v>1470000</v>
      </c>
      <c r="J431" s="7">
        <v>2065000</v>
      </c>
      <c r="K431" s="7">
        <v>1960000</v>
      </c>
      <c r="L431" s="7">
        <v>1428000</v>
      </c>
      <c r="M431" s="6">
        <f t="shared" si="7"/>
        <v>7000000</v>
      </c>
      <c r="N431" s="29">
        <v>43460</v>
      </c>
      <c r="O431" s="30">
        <v>44773</v>
      </c>
      <c r="P431" s="12" t="s">
        <v>3393</v>
      </c>
      <c r="Q431" s="11" t="s">
        <v>32</v>
      </c>
      <c r="R431" s="60" t="s">
        <v>2656</v>
      </c>
      <c r="S431" s="26" t="s">
        <v>2657</v>
      </c>
      <c r="T431" s="26" t="s">
        <v>2658</v>
      </c>
      <c r="U431" s="26" t="s">
        <v>2659</v>
      </c>
      <c r="V431" s="64" t="s">
        <v>3038</v>
      </c>
      <c r="W431" s="26" t="s">
        <v>28</v>
      </c>
    </row>
    <row r="432" spans="1:23" ht="84.95" customHeight="1" x14ac:dyDescent="0.2">
      <c r="A432" s="27" t="s">
        <v>2660</v>
      </c>
      <c r="B432" s="60" t="s">
        <v>2661</v>
      </c>
      <c r="C432" s="59" t="s">
        <v>2593</v>
      </c>
      <c r="D432" s="7">
        <v>60000000</v>
      </c>
      <c r="E432" s="28">
        <f>40000000+55000000</f>
        <v>95000000</v>
      </c>
      <c r="F432" s="28"/>
      <c r="G432" s="7"/>
      <c r="H432" s="7">
        <v>60000000</v>
      </c>
      <c r="I432" s="7">
        <v>452437796</v>
      </c>
      <c r="J432" s="7">
        <f>590188517+55000000</f>
        <v>645188517</v>
      </c>
      <c r="K432" s="7">
        <v>700444181</v>
      </c>
      <c r="L432" s="7">
        <v>228929506</v>
      </c>
      <c r="M432" s="6">
        <f t="shared" si="7"/>
        <v>2087000000</v>
      </c>
      <c r="N432" s="29">
        <v>43460</v>
      </c>
      <c r="O432" s="30">
        <v>44773</v>
      </c>
      <c r="P432" s="12" t="s">
        <v>3393</v>
      </c>
      <c r="Q432" s="11" t="s">
        <v>32</v>
      </c>
      <c r="R432" s="60" t="s">
        <v>2662</v>
      </c>
      <c r="S432" s="26" t="s">
        <v>2663</v>
      </c>
      <c r="T432" s="26" t="s">
        <v>2664</v>
      </c>
      <c r="U432" s="26" t="s">
        <v>2665</v>
      </c>
      <c r="V432" s="64" t="s">
        <v>3174</v>
      </c>
      <c r="W432" s="26" t="s">
        <v>2666</v>
      </c>
    </row>
    <row r="433" spans="1:23" ht="84.95" customHeight="1" x14ac:dyDescent="0.2">
      <c r="A433" s="27" t="s">
        <v>2667</v>
      </c>
      <c r="B433" s="60" t="s">
        <v>691</v>
      </c>
      <c r="C433" s="59" t="s">
        <v>2593</v>
      </c>
      <c r="D433" s="7">
        <v>2000000</v>
      </c>
      <c r="E433" s="28">
        <v>2000000</v>
      </c>
      <c r="F433" s="28"/>
      <c r="G433" s="7"/>
      <c r="H433" s="7">
        <v>2000000</v>
      </c>
      <c r="I433" s="7">
        <v>45000000</v>
      </c>
      <c r="J433" s="7">
        <v>65000000</v>
      </c>
      <c r="K433" s="7">
        <v>75000000</v>
      </c>
      <c r="L433" s="7">
        <v>12800000</v>
      </c>
      <c r="M433" s="6">
        <f t="shared" si="7"/>
        <v>199800000</v>
      </c>
      <c r="N433" s="29">
        <v>43460</v>
      </c>
      <c r="O433" s="30">
        <v>44773</v>
      </c>
      <c r="P433" s="12" t="s">
        <v>2636</v>
      </c>
      <c r="Q433" s="11" t="s">
        <v>32</v>
      </c>
      <c r="R433" s="60" t="s">
        <v>692</v>
      </c>
      <c r="S433" s="26" t="s">
        <v>523</v>
      </c>
      <c r="T433" s="26" t="s">
        <v>2668</v>
      </c>
      <c r="U433" s="26" t="s">
        <v>525</v>
      </c>
      <c r="V433" s="64" t="s">
        <v>526</v>
      </c>
      <c r="W433" s="26" t="s">
        <v>28</v>
      </c>
    </row>
    <row r="434" spans="1:23" ht="84.95" customHeight="1" x14ac:dyDescent="0.2">
      <c r="A434" s="27" t="s">
        <v>2669</v>
      </c>
      <c r="B434" s="60" t="s">
        <v>1263</v>
      </c>
      <c r="C434" s="59" t="s">
        <v>2593</v>
      </c>
      <c r="D434" s="7">
        <v>500000</v>
      </c>
      <c r="E434" s="28"/>
      <c r="F434" s="28"/>
      <c r="G434" s="7"/>
      <c r="H434" s="7">
        <v>500000</v>
      </c>
      <c r="I434" s="7">
        <v>6000000</v>
      </c>
      <c r="J434" s="7">
        <v>7000000</v>
      </c>
      <c r="K434" s="7">
        <v>7000000</v>
      </c>
      <c r="L434" s="7">
        <v>3500000</v>
      </c>
      <c r="M434" s="6">
        <f t="shared" si="7"/>
        <v>24000000</v>
      </c>
      <c r="N434" s="29">
        <v>43460</v>
      </c>
      <c r="O434" s="30">
        <v>44773</v>
      </c>
      <c r="P434" s="12" t="s">
        <v>2636</v>
      </c>
      <c r="Q434" s="11" t="s">
        <v>32</v>
      </c>
      <c r="R434" s="60" t="s">
        <v>2670</v>
      </c>
      <c r="S434" s="26" t="s">
        <v>1266</v>
      </c>
      <c r="T434" s="26" t="s">
        <v>2428</v>
      </c>
      <c r="U434" s="26" t="s">
        <v>1268</v>
      </c>
      <c r="V434" s="64" t="s">
        <v>1269</v>
      </c>
      <c r="W434" s="26" t="s">
        <v>28</v>
      </c>
    </row>
    <row r="435" spans="1:23" ht="81" customHeight="1" x14ac:dyDescent="0.2">
      <c r="A435" s="27" t="s">
        <v>2671</v>
      </c>
      <c r="B435" s="60" t="s">
        <v>2672</v>
      </c>
      <c r="C435" s="59" t="s">
        <v>2673</v>
      </c>
      <c r="D435" s="7">
        <v>75568942</v>
      </c>
      <c r="E435" s="28">
        <v>200000000</v>
      </c>
      <c r="F435" s="28"/>
      <c r="G435" s="7"/>
      <c r="H435" s="7">
        <v>75568942</v>
      </c>
      <c r="I435" s="7">
        <v>2059459678</v>
      </c>
      <c r="J435" s="7">
        <v>1850220270</v>
      </c>
      <c r="K435" s="7">
        <v>1905726880</v>
      </c>
      <c r="L435" s="7">
        <v>1145024230</v>
      </c>
      <c r="M435" s="6">
        <f t="shared" si="7"/>
        <v>7036000000</v>
      </c>
      <c r="N435" s="29">
        <v>43462</v>
      </c>
      <c r="O435" s="30">
        <v>44773</v>
      </c>
      <c r="P435" s="12" t="s">
        <v>3390</v>
      </c>
      <c r="Q435" s="13" t="s">
        <v>56</v>
      </c>
      <c r="R435" s="60" t="s">
        <v>2674</v>
      </c>
      <c r="S435" s="26" t="s">
        <v>2675</v>
      </c>
      <c r="T435" s="26" t="s">
        <v>2676</v>
      </c>
      <c r="U435" s="26" t="s">
        <v>2677</v>
      </c>
      <c r="V435" s="32" t="s">
        <v>2678</v>
      </c>
      <c r="W435" s="26" t="s">
        <v>28</v>
      </c>
    </row>
    <row r="436" spans="1:23" ht="84.95" hidden="1" customHeight="1" x14ac:dyDescent="0.2">
      <c r="A436" s="27" t="s">
        <v>2679</v>
      </c>
      <c r="B436" s="60" t="s">
        <v>2680</v>
      </c>
      <c r="C436" s="59" t="s">
        <v>2681</v>
      </c>
      <c r="D436" s="7">
        <v>78250000</v>
      </c>
      <c r="E436" s="28"/>
      <c r="F436" s="28"/>
      <c r="G436" s="7"/>
      <c r="H436" s="7">
        <v>78250000</v>
      </c>
      <c r="I436" s="7">
        <v>1878000000</v>
      </c>
      <c r="J436" s="7">
        <v>1934340000</v>
      </c>
      <c r="K436" s="93">
        <v>0</v>
      </c>
      <c r="L436" s="93">
        <v>0</v>
      </c>
      <c r="M436" s="6">
        <f t="shared" si="7"/>
        <v>3890590000</v>
      </c>
      <c r="N436" s="29">
        <v>43460</v>
      </c>
      <c r="O436" s="30">
        <v>44196</v>
      </c>
      <c r="P436" s="12" t="s">
        <v>2682</v>
      </c>
      <c r="Q436" s="72" t="s">
        <v>32</v>
      </c>
      <c r="R436" s="60" t="s">
        <v>2683</v>
      </c>
      <c r="S436" s="26" t="s">
        <v>646</v>
      </c>
      <c r="T436" s="26" t="s">
        <v>647</v>
      </c>
      <c r="U436" s="26" t="s">
        <v>648</v>
      </c>
      <c r="V436" s="32" t="s">
        <v>2684</v>
      </c>
      <c r="W436" s="26" t="s">
        <v>28</v>
      </c>
    </row>
    <row r="437" spans="1:23" ht="84.95" customHeight="1" x14ac:dyDescent="0.2">
      <c r="A437" s="27" t="s">
        <v>2685</v>
      </c>
      <c r="B437" s="60" t="s">
        <v>2686</v>
      </c>
      <c r="C437" s="59" t="s">
        <v>2687</v>
      </c>
      <c r="D437" s="7">
        <v>13750000</v>
      </c>
      <c r="E437" s="28"/>
      <c r="F437" s="28"/>
      <c r="G437" s="7"/>
      <c r="H437" s="7">
        <v>13750000</v>
      </c>
      <c r="I437" s="7">
        <v>340714000</v>
      </c>
      <c r="J437" s="7">
        <v>350935420</v>
      </c>
      <c r="K437" s="7">
        <v>361463480</v>
      </c>
      <c r="L437" s="7">
        <v>217179310</v>
      </c>
      <c r="M437" s="6">
        <f t="shared" si="7"/>
        <v>1284042210</v>
      </c>
      <c r="N437" s="29">
        <v>43460</v>
      </c>
      <c r="O437" s="30">
        <v>44773</v>
      </c>
      <c r="P437" s="12" t="s">
        <v>892</v>
      </c>
      <c r="Q437" s="13" t="s">
        <v>73</v>
      </c>
      <c r="R437" s="60" t="s">
        <v>2688</v>
      </c>
      <c r="S437" s="26" t="s">
        <v>2445</v>
      </c>
      <c r="T437" s="26" t="s">
        <v>2689</v>
      </c>
      <c r="U437" s="26" t="s">
        <v>2690</v>
      </c>
      <c r="V437" s="32" t="s">
        <v>2691</v>
      </c>
      <c r="W437" s="26" t="s">
        <v>264</v>
      </c>
    </row>
    <row r="438" spans="1:23" ht="121.5" hidden="1" customHeight="1" x14ac:dyDescent="0.2">
      <c r="A438" s="27" t="s">
        <v>2692</v>
      </c>
      <c r="B438" s="60" t="s">
        <v>1111</v>
      </c>
      <c r="C438" s="59" t="s">
        <v>2693</v>
      </c>
      <c r="D438" s="7">
        <v>31696509</v>
      </c>
      <c r="E438" s="28">
        <v>811000000</v>
      </c>
      <c r="F438" s="28"/>
      <c r="G438" s="7"/>
      <c r="H438" s="7">
        <v>31696509</v>
      </c>
      <c r="I438" s="7">
        <v>1594537690</v>
      </c>
      <c r="J438" s="7">
        <v>807043821</v>
      </c>
      <c r="K438" s="93">
        <v>0</v>
      </c>
      <c r="L438" s="93">
        <v>0</v>
      </c>
      <c r="M438" s="6">
        <f t="shared" si="7"/>
        <v>2433278020</v>
      </c>
      <c r="N438" s="29">
        <v>43460</v>
      </c>
      <c r="O438" s="30">
        <v>44196</v>
      </c>
      <c r="P438" s="12" t="s">
        <v>2694</v>
      </c>
      <c r="Q438" s="11" t="s">
        <v>32</v>
      </c>
      <c r="R438" s="60" t="s">
        <v>2695</v>
      </c>
      <c r="S438" s="26" t="s">
        <v>1114</v>
      </c>
      <c r="T438" s="26" t="s">
        <v>1115</v>
      </c>
      <c r="U438" s="26" t="s">
        <v>2696</v>
      </c>
      <c r="V438" s="64" t="s">
        <v>1117</v>
      </c>
      <c r="W438" s="26" t="s">
        <v>264</v>
      </c>
    </row>
    <row r="439" spans="1:23" ht="101.25" customHeight="1" x14ac:dyDescent="0.2">
      <c r="A439" s="27" t="s">
        <v>2697</v>
      </c>
      <c r="B439" s="60" t="s">
        <v>2406</v>
      </c>
      <c r="C439" s="59" t="s">
        <v>2698</v>
      </c>
      <c r="D439" s="7">
        <v>20592750</v>
      </c>
      <c r="E439" s="81"/>
      <c r="F439" s="81">
        <f>17000000+50000000</f>
        <v>67000000</v>
      </c>
      <c r="G439" s="7"/>
      <c r="H439" s="7">
        <v>20572750</v>
      </c>
      <c r="I439" s="7">
        <v>198135980</v>
      </c>
      <c r="J439" s="7">
        <f>262790060-50000000</f>
        <v>212790060</v>
      </c>
      <c r="K439" s="7">
        <v>270673760</v>
      </c>
      <c r="L439" s="7">
        <v>162629820</v>
      </c>
      <c r="M439" s="6">
        <f t="shared" si="7"/>
        <v>864802370</v>
      </c>
      <c r="N439" s="29">
        <v>43461</v>
      </c>
      <c r="O439" s="30">
        <v>44773</v>
      </c>
      <c r="P439" s="12" t="s">
        <v>3388</v>
      </c>
      <c r="Q439" s="13" t="s">
        <v>56</v>
      </c>
      <c r="R439" s="60" t="s">
        <v>2162</v>
      </c>
      <c r="S439" s="26" t="s">
        <v>2699</v>
      </c>
      <c r="T439" s="26" t="s">
        <v>1225</v>
      </c>
      <c r="U439" s="26" t="s">
        <v>1226</v>
      </c>
      <c r="V439" s="32" t="s">
        <v>2164</v>
      </c>
      <c r="W439" s="26" t="s">
        <v>28</v>
      </c>
    </row>
    <row r="440" spans="1:23" ht="112.5" customHeight="1" x14ac:dyDescent="0.2">
      <c r="A440" s="27" t="s">
        <v>2700</v>
      </c>
      <c r="B440" s="60" t="s">
        <v>2701</v>
      </c>
      <c r="C440" s="59" t="s">
        <v>2702</v>
      </c>
      <c r="D440" s="7">
        <v>69828250</v>
      </c>
      <c r="E440" s="81"/>
      <c r="F440" s="81">
        <f>123000000+400000000</f>
        <v>523000000</v>
      </c>
      <c r="G440" s="7"/>
      <c r="H440" s="7">
        <v>68828250</v>
      </c>
      <c r="I440" s="7">
        <v>742144120</v>
      </c>
      <c r="J440" s="7">
        <f>891098440-400000000</f>
        <v>491098440</v>
      </c>
      <c r="K440" s="7">
        <v>917831390</v>
      </c>
      <c r="L440" s="7">
        <v>551463690</v>
      </c>
      <c r="M440" s="6">
        <f t="shared" si="7"/>
        <v>2771365890</v>
      </c>
      <c r="N440" s="29">
        <v>43461</v>
      </c>
      <c r="O440" s="30">
        <v>44773</v>
      </c>
      <c r="P440" s="12" t="s">
        <v>513</v>
      </c>
      <c r="Q440" s="13" t="s">
        <v>56</v>
      </c>
      <c r="R440" s="60" t="s">
        <v>2703</v>
      </c>
      <c r="S440" s="26" t="s">
        <v>2704</v>
      </c>
      <c r="T440" s="26" t="s">
        <v>1225</v>
      </c>
      <c r="U440" s="26" t="s">
        <v>1226</v>
      </c>
      <c r="V440" s="32" t="s">
        <v>2705</v>
      </c>
      <c r="W440" s="26" t="s">
        <v>28</v>
      </c>
    </row>
    <row r="441" spans="1:23" ht="84.95" customHeight="1" x14ac:dyDescent="0.2">
      <c r="A441" s="27" t="s">
        <v>2706</v>
      </c>
      <c r="B441" s="60" t="s">
        <v>2406</v>
      </c>
      <c r="C441" s="59" t="s">
        <v>2707</v>
      </c>
      <c r="D441" s="7">
        <v>5500000</v>
      </c>
      <c r="E441" s="28"/>
      <c r="F441" s="28"/>
      <c r="G441" s="7"/>
      <c r="H441" s="7">
        <v>5500000</v>
      </c>
      <c r="I441" s="7">
        <v>180000000</v>
      </c>
      <c r="J441" s="7">
        <v>180000000</v>
      </c>
      <c r="K441" s="7">
        <v>185400000</v>
      </c>
      <c r="L441" s="7">
        <v>111394500</v>
      </c>
      <c r="M441" s="6">
        <f t="shared" si="7"/>
        <v>662294500</v>
      </c>
      <c r="N441" s="29">
        <v>43461</v>
      </c>
      <c r="O441" s="30">
        <v>44773</v>
      </c>
      <c r="P441" s="12" t="s">
        <v>3386</v>
      </c>
      <c r="Q441" s="13" t="s">
        <v>56</v>
      </c>
      <c r="R441" s="60" t="s">
        <v>2162</v>
      </c>
      <c r="S441" s="26" t="s">
        <v>2699</v>
      </c>
      <c r="T441" s="26" t="s">
        <v>1225</v>
      </c>
      <c r="U441" s="26" t="s">
        <v>2708</v>
      </c>
      <c r="V441" s="32" t="s">
        <v>2164</v>
      </c>
      <c r="W441" s="26" t="s">
        <v>28</v>
      </c>
    </row>
    <row r="442" spans="1:23" ht="84.95" customHeight="1" x14ac:dyDescent="0.2">
      <c r="A442" s="27" t="s">
        <v>2709</v>
      </c>
      <c r="B442" s="60" t="s">
        <v>2710</v>
      </c>
      <c r="C442" s="59" t="s">
        <v>2711</v>
      </c>
      <c r="D442" s="7">
        <v>95404865</v>
      </c>
      <c r="E442" s="94">
        <v>678594434</v>
      </c>
      <c r="F442" s="81">
        <v>65703941</v>
      </c>
      <c r="G442" s="7"/>
      <c r="H442" s="7">
        <v>95404865</v>
      </c>
      <c r="I442" s="7">
        <v>3569152669</v>
      </c>
      <c r="J442" s="7">
        <v>3733205445</v>
      </c>
      <c r="K442" s="7">
        <f>3859224224+678594434</f>
        <v>4537818658</v>
      </c>
      <c r="L442" s="7">
        <v>2296483809</v>
      </c>
      <c r="M442" s="6">
        <f t="shared" si="7"/>
        <v>14232065446</v>
      </c>
      <c r="N442" s="29">
        <v>43461</v>
      </c>
      <c r="O442" s="30">
        <v>44773</v>
      </c>
      <c r="P442" s="12" t="s">
        <v>2712</v>
      </c>
      <c r="Q442" s="13" t="s">
        <v>56</v>
      </c>
      <c r="R442" s="60" t="s">
        <v>2713</v>
      </c>
      <c r="S442" s="26" t="s">
        <v>2714</v>
      </c>
      <c r="T442" s="26" t="s">
        <v>2715</v>
      </c>
      <c r="U442" s="26" t="s">
        <v>2716</v>
      </c>
      <c r="V442" s="32" t="s">
        <v>2717</v>
      </c>
      <c r="W442" s="26" t="s">
        <v>28</v>
      </c>
    </row>
    <row r="443" spans="1:23" ht="177" customHeight="1" x14ac:dyDescent="0.2">
      <c r="A443" s="27" t="s">
        <v>2718</v>
      </c>
      <c r="B443" s="60" t="s">
        <v>2719</v>
      </c>
      <c r="C443" s="59" t="s">
        <v>2720</v>
      </c>
      <c r="D443" s="7">
        <v>266732480</v>
      </c>
      <c r="E443" s="81"/>
      <c r="F443" s="81">
        <f>1750000000+1900000000+130000000</f>
        <v>3780000000</v>
      </c>
      <c r="G443" s="7"/>
      <c r="H443" s="7">
        <v>266732480</v>
      </c>
      <c r="I443" s="7">
        <v>1554708790</v>
      </c>
      <c r="J443" s="7">
        <f>3403850050-1900000000+130000000</f>
        <v>1633850050</v>
      </c>
      <c r="K443" s="7">
        <v>3505965550</v>
      </c>
      <c r="L443" s="7">
        <v>2106500970</v>
      </c>
      <c r="M443" s="6">
        <f t="shared" si="7"/>
        <v>9067757840</v>
      </c>
      <c r="N443" s="29">
        <v>43461</v>
      </c>
      <c r="O443" s="30">
        <v>44773</v>
      </c>
      <c r="P443" s="12" t="s">
        <v>2721</v>
      </c>
      <c r="Q443" s="13" t="s">
        <v>56</v>
      </c>
      <c r="R443" s="60" t="s">
        <v>2722</v>
      </c>
      <c r="S443" s="26" t="s">
        <v>2723</v>
      </c>
      <c r="T443" s="26" t="s">
        <v>2724</v>
      </c>
      <c r="U443" s="26" t="s">
        <v>2725</v>
      </c>
      <c r="V443" s="32" t="s">
        <v>2726</v>
      </c>
      <c r="W443" s="26" t="s">
        <v>28</v>
      </c>
    </row>
    <row r="444" spans="1:23" ht="84.95" customHeight="1" x14ac:dyDescent="0.2">
      <c r="A444" s="27" t="s">
        <v>2727</v>
      </c>
      <c r="B444" s="60" t="s">
        <v>2728</v>
      </c>
      <c r="C444" s="59" t="s">
        <v>2729</v>
      </c>
      <c r="D444" s="7">
        <v>157000000</v>
      </c>
      <c r="E444" s="80">
        <v>33000000</v>
      </c>
      <c r="F444" s="82">
        <v>100000000</v>
      </c>
      <c r="G444" s="7"/>
      <c r="H444" s="7">
        <v>157000000</v>
      </c>
      <c r="I444" s="7">
        <v>258720520</v>
      </c>
      <c r="J444" s="7">
        <f>191720520-100000000</f>
        <v>91720520</v>
      </c>
      <c r="K444" s="7">
        <v>198720520</v>
      </c>
      <c r="L444" s="7">
        <v>170000000</v>
      </c>
      <c r="M444" s="6">
        <f t="shared" si="7"/>
        <v>876161560</v>
      </c>
      <c r="N444" s="29">
        <v>43461</v>
      </c>
      <c r="O444" s="30">
        <v>44742</v>
      </c>
      <c r="P444" s="12" t="s">
        <v>617</v>
      </c>
      <c r="Q444" s="13" t="s">
        <v>73</v>
      </c>
      <c r="R444" s="60" t="s">
        <v>2730</v>
      </c>
      <c r="S444" s="26" t="s">
        <v>556</v>
      </c>
      <c r="T444" s="26" t="s">
        <v>557</v>
      </c>
      <c r="U444" s="26" t="s">
        <v>2731</v>
      </c>
      <c r="V444" s="32" t="s">
        <v>2732</v>
      </c>
      <c r="W444" s="26" t="s">
        <v>28</v>
      </c>
    </row>
    <row r="445" spans="1:23" ht="84.95" customHeight="1" x14ac:dyDescent="0.2">
      <c r="A445" s="27" t="s">
        <v>2733</v>
      </c>
      <c r="B445" s="60" t="s">
        <v>3358</v>
      </c>
      <c r="C445" s="59" t="s">
        <v>3233</v>
      </c>
      <c r="D445" s="7">
        <v>2188325</v>
      </c>
      <c r="E445" s="28">
        <f>26259900+27047697</f>
        <v>53307597</v>
      </c>
      <c r="F445" s="28"/>
      <c r="G445" s="7"/>
      <c r="H445" s="7">
        <v>2188325</v>
      </c>
      <c r="I445" s="7">
        <v>78779700</v>
      </c>
      <c r="J445" s="7">
        <f>54095394+27047697</f>
        <v>81143091</v>
      </c>
      <c r="K445" s="7">
        <v>55719000</v>
      </c>
      <c r="L445" s="7">
        <v>20005151</v>
      </c>
      <c r="M445" s="6">
        <f t="shared" si="7"/>
        <v>237835267</v>
      </c>
      <c r="N445" s="29">
        <v>43460</v>
      </c>
      <c r="O445" s="30">
        <v>44773</v>
      </c>
      <c r="P445" s="12" t="s">
        <v>3356</v>
      </c>
      <c r="Q445" s="13" t="s">
        <v>73</v>
      </c>
      <c r="R445" s="60" t="s">
        <v>2734</v>
      </c>
      <c r="S445" s="26" t="s">
        <v>2735</v>
      </c>
      <c r="T445" s="26" t="s">
        <v>2736</v>
      </c>
      <c r="U445" s="26" t="s">
        <v>2737</v>
      </c>
      <c r="V445" s="32" t="s">
        <v>2738</v>
      </c>
      <c r="W445" s="26" t="s">
        <v>28</v>
      </c>
    </row>
    <row r="446" spans="1:23" ht="84.95" hidden="1" customHeight="1" x14ac:dyDescent="0.2">
      <c r="A446" s="27" t="s">
        <v>2739</v>
      </c>
      <c r="B446" s="60" t="s">
        <v>1910</v>
      </c>
      <c r="C446" s="59" t="s">
        <v>3273</v>
      </c>
      <c r="D446" s="7">
        <v>1213800</v>
      </c>
      <c r="E446" s="28"/>
      <c r="F446" s="28"/>
      <c r="G446" s="7"/>
      <c r="H446" s="7">
        <v>1213800</v>
      </c>
      <c r="I446" s="93">
        <v>0</v>
      </c>
      <c r="J446" s="93">
        <v>0</v>
      </c>
      <c r="K446" s="93">
        <v>0</v>
      </c>
      <c r="L446" s="93">
        <v>0</v>
      </c>
      <c r="M446" s="6">
        <f t="shared" si="7"/>
        <v>1213800</v>
      </c>
      <c r="N446" s="29">
        <v>43461</v>
      </c>
      <c r="O446" s="30">
        <v>43465</v>
      </c>
      <c r="P446" s="12" t="s">
        <v>3295</v>
      </c>
      <c r="Q446" s="11" t="s">
        <v>32</v>
      </c>
      <c r="R446" s="60" t="s">
        <v>1913</v>
      </c>
      <c r="S446" s="26" t="s">
        <v>1914</v>
      </c>
      <c r="T446" s="26" t="s">
        <v>1915</v>
      </c>
      <c r="U446" s="26" t="s">
        <v>1916</v>
      </c>
      <c r="V446" s="32" t="s">
        <v>1917</v>
      </c>
      <c r="W446" s="26" t="s">
        <v>1908</v>
      </c>
    </row>
    <row r="447" spans="1:23" ht="84.95" hidden="1" customHeight="1" x14ac:dyDescent="0.2">
      <c r="A447" s="27" t="s">
        <v>2740</v>
      </c>
      <c r="B447" s="60" t="s">
        <v>2406</v>
      </c>
      <c r="C447" s="59" t="s">
        <v>2741</v>
      </c>
      <c r="D447" s="7">
        <v>6019324</v>
      </c>
      <c r="E447" s="28"/>
      <c r="F447" s="28"/>
      <c r="G447" s="7"/>
      <c r="H447" s="7">
        <v>6019324</v>
      </c>
      <c r="I447" s="7">
        <v>204596800</v>
      </c>
      <c r="J447" s="93">
        <v>0</v>
      </c>
      <c r="K447" s="93">
        <v>0</v>
      </c>
      <c r="L447" s="93">
        <v>0</v>
      </c>
      <c r="M447" s="6">
        <f t="shared" si="7"/>
        <v>210616124</v>
      </c>
      <c r="N447" s="29">
        <v>43461</v>
      </c>
      <c r="O447" s="30">
        <v>43799</v>
      </c>
      <c r="P447" s="12" t="s">
        <v>547</v>
      </c>
      <c r="Q447" s="13" t="s">
        <v>56</v>
      </c>
      <c r="R447" s="60" t="s">
        <v>2162</v>
      </c>
      <c r="S447" s="26" t="s">
        <v>2163</v>
      </c>
      <c r="T447" s="26" t="s">
        <v>2742</v>
      </c>
      <c r="U447" s="26" t="s">
        <v>1226</v>
      </c>
      <c r="V447" s="32" t="s">
        <v>2164</v>
      </c>
      <c r="W447" s="26" t="s">
        <v>28</v>
      </c>
    </row>
    <row r="448" spans="1:23" ht="123.75" hidden="1" customHeight="1" x14ac:dyDescent="0.2">
      <c r="A448" s="27" t="s">
        <v>2743</v>
      </c>
      <c r="B448" s="60" t="s">
        <v>2744</v>
      </c>
      <c r="C448" s="59" t="s">
        <v>2745</v>
      </c>
      <c r="D448" s="7">
        <v>27584108</v>
      </c>
      <c r="E448" s="28"/>
      <c r="F448" s="28"/>
      <c r="G448" s="7"/>
      <c r="H448" s="7">
        <v>27584108</v>
      </c>
      <c r="I448" s="7">
        <v>681879158</v>
      </c>
      <c r="J448" s="7">
        <v>702335533</v>
      </c>
      <c r="K448" s="93">
        <v>0</v>
      </c>
      <c r="L448" s="93">
        <v>0</v>
      </c>
      <c r="M448" s="6">
        <f t="shared" si="7"/>
        <v>1411798799</v>
      </c>
      <c r="N448" s="29">
        <v>43461</v>
      </c>
      <c r="O448" s="30">
        <v>44196</v>
      </c>
      <c r="P448" s="12" t="s">
        <v>2694</v>
      </c>
      <c r="Q448" s="11" t="s">
        <v>32</v>
      </c>
      <c r="R448" s="60" t="s">
        <v>2746</v>
      </c>
      <c r="S448" s="26" t="s">
        <v>2747</v>
      </c>
      <c r="T448" s="26" t="s">
        <v>2748</v>
      </c>
      <c r="U448" s="26" t="s">
        <v>2749</v>
      </c>
      <c r="V448" s="32" t="s">
        <v>2750</v>
      </c>
      <c r="W448" s="26" t="s">
        <v>28</v>
      </c>
    </row>
    <row r="449" spans="1:23" ht="97.5" hidden="1" customHeight="1" x14ac:dyDescent="0.2">
      <c r="A449" s="27" t="s">
        <v>2751</v>
      </c>
      <c r="B449" s="60" t="s">
        <v>2392</v>
      </c>
      <c r="C449" s="59" t="s">
        <v>2752</v>
      </c>
      <c r="D449" s="7">
        <v>13608359</v>
      </c>
      <c r="E449" s="28">
        <f>348000000+58206000</f>
        <v>406206000</v>
      </c>
      <c r="F449" s="28"/>
      <c r="G449" s="7"/>
      <c r="H449" s="7">
        <v>13609359</v>
      </c>
      <c r="I449" s="7">
        <v>336398638</v>
      </c>
      <c r="J449" s="7">
        <f>346490597+58206000</f>
        <v>404696597</v>
      </c>
      <c r="K449" s="93">
        <v>0</v>
      </c>
      <c r="L449" s="93">
        <v>0</v>
      </c>
      <c r="M449" s="6">
        <f t="shared" si="7"/>
        <v>754704594</v>
      </c>
      <c r="N449" s="29">
        <v>43462</v>
      </c>
      <c r="O449" s="30">
        <v>44196</v>
      </c>
      <c r="P449" s="12" t="s">
        <v>2694</v>
      </c>
      <c r="Q449" s="11" t="s">
        <v>32</v>
      </c>
      <c r="R449" s="60" t="s">
        <v>2753</v>
      </c>
      <c r="S449" s="26" t="s">
        <v>2395</v>
      </c>
      <c r="T449" s="26" t="s">
        <v>2754</v>
      </c>
      <c r="U449" s="26" t="s">
        <v>2397</v>
      </c>
      <c r="V449" s="32"/>
      <c r="W449" s="26" t="s">
        <v>28</v>
      </c>
    </row>
    <row r="450" spans="1:23" ht="84.95" hidden="1" customHeight="1" x14ac:dyDescent="0.2">
      <c r="A450" s="27" t="s">
        <v>2755</v>
      </c>
      <c r="B450" s="60" t="s">
        <v>2756</v>
      </c>
      <c r="C450" s="59" t="s">
        <v>2757</v>
      </c>
      <c r="D450" s="7">
        <v>44853173</v>
      </c>
      <c r="E450" s="28">
        <v>338000000</v>
      </c>
      <c r="F450" s="28"/>
      <c r="G450" s="7"/>
      <c r="H450" s="7">
        <v>44853173</v>
      </c>
      <c r="I450" s="7">
        <v>1108770428</v>
      </c>
      <c r="J450" s="7">
        <v>1142033541</v>
      </c>
      <c r="K450" s="93">
        <v>0</v>
      </c>
      <c r="L450" s="93">
        <v>0</v>
      </c>
      <c r="M450" s="6">
        <f t="shared" si="7"/>
        <v>2295657142</v>
      </c>
      <c r="N450" s="29">
        <v>43460</v>
      </c>
      <c r="O450" s="30">
        <v>44196</v>
      </c>
      <c r="P450" s="12" t="s">
        <v>2694</v>
      </c>
      <c r="Q450" s="11" t="s">
        <v>32</v>
      </c>
      <c r="R450" s="60" t="s">
        <v>2758</v>
      </c>
      <c r="S450" s="26" t="s">
        <v>2759</v>
      </c>
      <c r="T450" s="26" t="s">
        <v>1811</v>
      </c>
      <c r="U450" s="26" t="s">
        <v>2760</v>
      </c>
      <c r="V450" s="32" t="s">
        <v>2761</v>
      </c>
      <c r="W450" s="26" t="s">
        <v>28</v>
      </c>
    </row>
    <row r="451" spans="1:23" ht="84.95" customHeight="1" x14ac:dyDescent="0.2">
      <c r="A451" s="27" t="s">
        <v>2762</v>
      </c>
      <c r="B451" s="60" t="s">
        <v>2571</v>
      </c>
      <c r="C451" s="59" t="s">
        <v>2763</v>
      </c>
      <c r="D451" s="7">
        <v>100000000</v>
      </c>
      <c r="E451" s="28"/>
      <c r="F451" s="28"/>
      <c r="G451" s="7"/>
      <c r="H451" s="7">
        <v>100000000</v>
      </c>
      <c r="I451" s="7">
        <v>1100000000</v>
      </c>
      <c r="J451" s="7">
        <v>1359600000</v>
      </c>
      <c r="K451" s="7">
        <v>1400388000</v>
      </c>
      <c r="L451" s="7">
        <v>841399790</v>
      </c>
      <c r="M451" s="6">
        <f t="shared" si="7"/>
        <v>4801387790</v>
      </c>
      <c r="N451" s="29">
        <v>43462</v>
      </c>
      <c r="O451" s="30">
        <v>44773</v>
      </c>
      <c r="P451" s="12" t="s">
        <v>3296</v>
      </c>
      <c r="Q451" s="11" t="s">
        <v>32</v>
      </c>
      <c r="R451" s="60" t="s">
        <v>2764</v>
      </c>
      <c r="S451" s="26" t="s">
        <v>2574</v>
      </c>
      <c r="T451" s="26" t="s">
        <v>2765</v>
      </c>
      <c r="U451" s="26" t="s">
        <v>2766</v>
      </c>
      <c r="V451" s="64" t="s">
        <v>2577</v>
      </c>
      <c r="W451" s="26" t="s">
        <v>28</v>
      </c>
    </row>
    <row r="452" spans="1:23" ht="104.25" customHeight="1" x14ac:dyDescent="0.2">
      <c r="A452" s="27" t="s">
        <v>2767</v>
      </c>
      <c r="B452" s="60" t="s">
        <v>2768</v>
      </c>
      <c r="C452" s="59" t="s">
        <v>3229</v>
      </c>
      <c r="D452" s="7">
        <v>120000000</v>
      </c>
      <c r="E452" s="81"/>
      <c r="F452" s="81">
        <f>600000000+3239629657</f>
        <v>3839629657</v>
      </c>
      <c r="G452" s="7"/>
      <c r="H452" s="7">
        <v>120000000</v>
      </c>
      <c r="I452" s="7">
        <v>5960480000</v>
      </c>
      <c r="J452" s="7">
        <f>6757294400-3239629657</f>
        <v>3517664743</v>
      </c>
      <c r="K452" s="7">
        <v>6960013232</v>
      </c>
      <c r="L452" s="7">
        <v>4181807951</v>
      </c>
      <c r="M452" s="6">
        <f t="shared" ref="M452:M515" si="8">SUM(H452:L452)</f>
        <v>20739965926</v>
      </c>
      <c r="N452" s="29">
        <v>43462</v>
      </c>
      <c r="O452" s="30">
        <v>44773</v>
      </c>
      <c r="P452" s="12" t="s">
        <v>1056</v>
      </c>
      <c r="Q452" s="13" t="s">
        <v>56</v>
      </c>
      <c r="R452" s="60" t="s">
        <v>2769</v>
      </c>
      <c r="S452" s="26" t="s">
        <v>2770</v>
      </c>
      <c r="T452" s="26" t="s">
        <v>2771</v>
      </c>
      <c r="U452" s="26" t="s">
        <v>2772</v>
      </c>
      <c r="V452" s="32" t="s">
        <v>2773</v>
      </c>
      <c r="W452" s="26" t="s">
        <v>28</v>
      </c>
    </row>
    <row r="453" spans="1:23" ht="84.95" customHeight="1" x14ac:dyDescent="0.2">
      <c r="A453" s="27" t="s">
        <v>2774</v>
      </c>
      <c r="B453" s="60" t="s">
        <v>2775</v>
      </c>
      <c r="C453" s="59" t="s">
        <v>2776</v>
      </c>
      <c r="D453" s="7">
        <v>23000000</v>
      </c>
      <c r="E453" s="28"/>
      <c r="F453" s="28"/>
      <c r="G453" s="7"/>
      <c r="H453" s="7">
        <v>23000000</v>
      </c>
      <c r="I453" s="7">
        <v>856208100</v>
      </c>
      <c r="J453" s="7">
        <v>881894340</v>
      </c>
      <c r="K453" s="7">
        <v>908351160</v>
      </c>
      <c r="L453" s="7">
        <v>545767670</v>
      </c>
      <c r="M453" s="6">
        <f t="shared" si="8"/>
        <v>3215221270</v>
      </c>
      <c r="N453" s="29">
        <v>43462</v>
      </c>
      <c r="O453" s="30">
        <v>44773</v>
      </c>
      <c r="P453" s="12" t="s">
        <v>873</v>
      </c>
      <c r="Q453" s="13" t="s">
        <v>56</v>
      </c>
      <c r="R453" s="60" t="s">
        <v>2777</v>
      </c>
      <c r="S453" s="26" t="s">
        <v>2778</v>
      </c>
      <c r="T453" s="26" t="s">
        <v>2779</v>
      </c>
      <c r="U453" s="26" t="s">
        <v>2780</v>
      </c>
      <c r="V453" s="32" t="s">
        <v>2781</v>
      </c>
      <c r="W453" s="26" t="s">
        <v>28</v>
      </c>
    </row>
    <row r="454" spans="1:23" ht="84.95" customHeight="1" x14ac:dyDescent="0.2">
      <c r="A454" s="27" t="s">
        <v>2782</v>
      </c>
      <c r="B454" s="60" t="s">
        <v>2406</v>
      </c>
      <c r="C454" s="59" t="s">
        <v>2783</v>
      </c>
      <c r="D454" s="7">
        <v>20000000</v>
      </c>
      <c r="E454" s="80">
        <v>170000000</v>
      </c>
      <c r="F454" s="82">
        <f>100000000+22000000</f>
        <v>122000000</v>
      </c>
      <c r="G454" s="7"/>
      <c r="H454" s="7">
        <v>20000000</v>
      </c>
      <c r="I454" s="7">
        <v>890000000</v>
      </c>
      <c r="J454" s="7">
        <f>770400000-100000000</f>
        <v>670400000</v>
      </c>
      <c r="K454" s="7">
        <f>824400000-22000000</f>
        <v>802400000</v>
      </c>
      <c r="L454" s="7">
        <v>514500000</v>
      </c>
      <c r="M454" s="6">
        <f t="shared" si="8"/>
        <v>2897300000</v>
      </c>
      <c r="N454" s="29">
        <v>43462</v>
      </c>
      <c r="O454" s="30">
        <v>44773</v>
      </c>
      <c r="P454" s="12" t="s">
        <v>211</v>
      </c>
      <c r="Q454" s="13" t="s">
        <v>56</v>
      </c>
      <c r="R454" s="60" t="s">
        <v>2162</v>
      </c>
      <c r="S454" s="26" t="s">
        <v>2784</v>
      </c>
      <c r="T454" s="26" t="s">
        <v>1225</v>
      </c>
      <c r="U454" s="26" t="s">
        <v>1226</v>
      </c>
      <c r="V454" s="32" t="s">
        <v>2785</v>
      </c>
      <c r="W454" s="26" t="s">
        <v>28</v>
      </c>
    </row>
    <row r="455" spans="1:23" ht="125.25" hidden="1" customHeight="1" x14ac:dyDescent="0.2">
      <c r="A455" s="27" t="s">
        <v>2786</v>
      </c>
      <c r="B455" s="60" t="s">
        <v>1220</v>
      </c>
      <c r="C455" s="59" t="s">
        <v>2787</v>
      </c>
      <c r="D455" s="7">
        <v>130000000</v>
      </c>
      <c r="E455" s="28">
        <f>2600000000+800000000</f>
        <v>3400000000</v>
      </c>
      <c r="F455" s="28"/>
      <c r="G455" s="7"/>
      <c r="H455" s="7">
        <v>130000000</v>
      </c>
      <c r="I455" s="7">
        <v>16415416885</v>
      </c>
      <c r="J455" s="7">
        <f>8317562977+800000000</f>
        <v>9117562977</v>
      </c>
      <c r="K455" s="93">
        <v>0</v>
      </c>
      <c r="L455" s="93">
        <v>0</v>
      </c>
      <c r="M455" s="6">
        <f t="shared" si="8"/>
        <v>25662979862</v>
      </c>
      <c r="N455" s="29">
        <v>43461</v>
      </c>
      <c r="O455" s="30">
        <v>44150</v>
      </c>
      <c r="P455" s="12" t="s">
        <v>3368</v>
      </c>
      <c r="Q455" s="13" t="s">
        <v>56</v>
      </c>
      <c r="R455" s="60" t="s">
        <v>1223</v>
      </c>
      <c r="S455" s="26" t="s">
        <v>1224</v>
      </c>
      <c r="T455" s="26" t="s">
        <v>1225</v>
      </c>
      <c r="U455" s="26" t="s">
        <v>1226</v>
      </c>
      <c r="V455" s="32" t="s">
        <v>2788</v>
      </c>
      <c r="W455" s="26" t="s">
        <v>28</v>
      </c>
    </row>
    <row r="456" spans="1:23" ht="206.25" customHeight="1" x14ac:dyDescent="0.2">
      <c r="A456" s="27" t="s">
        <v>2789</v>
      </c>
      <c r="B456" s="60" t="s">
        <v>2406</v>
      </c>
      <c r="C456" s="59" t="s">
        <v>2790</v>
      </c>
      <c r="D456" s="7">
        <v>80348819</v>
      </c>
      <c r="E456" s="81"/>
      <c r="F456" s="81">
        <f>313886353+800000000+400000000</f>
        <v>1513886353</v>
      </c>
      <c r="G456" s="7"/>
      <c r="H456" s="7">
        <v>80348819</v>
      </c>
      <c r="I456" s="7">
        <v>2665447856</v>
      </c>
      <c r="J456" s="7">
        <f>3068714235+800000000+400000000</f>
        <v>4268714235</v>
      </c>
      <c r="K456" s="7">
        <v>3160775662</v>
      </c>
      <c r="L456" s="7">
        <v>1899099377</v>
      </c>
      <c r="M456" s="6">
        <f t="shared" si="8"/>
        <v>12074385949</v>
      </c>
      <c r="N456" s="29">
        <v>43462</v>
      </c>
      <c r="O456" s="30">
        <v>44773</v>
      </c>
      <c r="P456" s="62" t="s">
        <v>3372</v>
      </c>
      <c r="Q456" s="13" t="s">
        <v>56</v>
      </c>
      <c r="R456" s="60" t="s">
        <v>2162</v>
      </c>
      <c r="S456" s="26" t="s">
        <v>2163</v>
      </c>
      <c r="T456" s="26" t="s">
        <v>1225</v>
      </c>
      <c r="U456" s="26" t="s">
        <v>1226</v>
      </c>
      <c r="V456" s="32" t="s">
        <v>2164</v>
      </c>
      <c r="W456" s="26" t="s">
        <v>28</v>
      </c>
    </row>
    <row r="457" spans="1:23" ht="84.95" customHeight="1" x14ac:dyDescent="0.2">
      <c r="A457" s="27" t="s">
        <v>2791</v>
      </c>
      <c r="B457" s="60" t="s">
        <v>2792</v>
      </c>
      <c r="C457" s="59" t="s">
        <v>2793</v>
      </c>
      <c r="D457" s="7">
        <v>183522918</v>
      </c>
      <c r="E457" s="28">
        <v>19920960</v>
      </c>
      <c r="F457" s="81">
        <v>216956490</v>
      </c>
      <c r="G457" s="7"/>
      <c r="H457" s="7">
        <v>183522918</v>
      </c>
      <c r="I457" s="7">
        <v>6588073292</v>
      </c>
      <c r="J457" s="7">
        <f>7009180676+19920960</f>
        <v>7029101636</v>
      </c>
      <c r="K457" s="7">
        <v>7219456096</v>
      </c>
      <c r="L457" s="7">
        <v>4337689871</v>
      </c>
      <c r="M457" s="6">
        <f t="shared" si="8"/>
        <v>25357843813</v>
      </c>
      <c r="N457" s="29">
        <v>43462</v>
      </c>
      <c r="O457" s="30">
        <v>44773</v>
      </c>
      <c r="P457" s="12" t="s">
        <v>3389</v>
      </c>
      <c r="Q457" s="13" t="s">
        <v>56</v>
      </c>
      <c r="R457" s="60" t="s">
        <v>2794</v>
      </c>
      <c r="S457" s="26" t="s">
        <v>2795</v>
      </c>
      <c r="T457" s="26" t="s">
        <v>1225</v>
      </c>
      <c r="U457" s="26" t="s">
        <v>1226</v>
      </c>
      <c r="V457" s="32" t="s">
        <v>2796</v>
      </c>
      <c r="W457" s="26" t="s">
        <v>28</v>
      </c>
    </row>
    <row r="458" spans="1:23" ht="117.75" customHeight="1" x14ac:dyDescent="0.2">
      <c r="A458" s="27" t="s">
        <v>2797</v>
      </c>
      <c r="B458" s="60" t="s">
        <v>2406</v>
      </c>
      <c r="C458" s="59" t="s">
        <v>2798</v>
      </c>
      <c r="D458" s="7">
        <v>20864574</v>
      </c>
      <c r="E458" s="81"/>
      <c r="F458" s="81">
        <f>350000000+100000000</f>
        <v>450000000</v>
      </c>
      <c r="G458" s="7"/>
      <c r="H458" s="7">
        <v>20864574</v>
      </c>
      <c r="I458" s="7">
        <v>773658402</v>
      </c>
      <c r="J458" s="7">
        <f>796868154-350000000-100000000</f>
        <v>346868154</v>
      </c>
      <c r="K458" s="7">
        <v>820774199</v>
      </c>
      <c r="L458" s="7">
        <v>493148498</v>
      </c>
      <c r="M458" s="6">
        <f t="shared" si="8"/>
        <v>2455313827</v>
      </c>
      <c r="N458" s="29">
        <v>43462</v>
      </c>
      <c r="O458" s="30">
        <v>44773</v>
      </c>
      <c r="P458" s="62" t="s">
        <v>3372</v>
      </c>
      <c r="Q458" s="13" t="s">
        <v>56</v>
      </c>
      <c r="R458" s="60" t="s">
        <v>2162</v>
      </c>
      <c r="S458" s="26" t="s">
        <v>2784</v>
      </c>
      <c r="T458" s="26" t="s">
        <v>1225</v>
      </c>
      <c r="U458" s="26" t="s">
        <v>1226</v>
      </c>
      <c r="V458" s="32" t="s">
        <v>2785</v>
      </c>
      <c r="W458" s="26" t="s">
        <v>28</v>
      </c>
    </row>
    <row r="459" spans="1:23" ht="84.95" customHeight="1" x14ac:dyDescent="0.2">
      <c r="A459" s="27" t="s">
        <v>2799</v>
      </c>
      <c r="B459" s="60" t="s">
        <v>2800</v>
      </c>
      <c r="C459" s="59" t="s">
        <v>2801</v>
      </c>
      <c r="D459" s="7">
        <v>32000000</v>
      </c>
      <c r="E459" s="81"/>
      <c r="F459" s="81">
        <f>420000000+550000000</f>
        <v>970000000</v>
      </c>
      <c r="G459" s="7"/>
      <c r="H459" s="7">
        <v>32000000</v>
      </c>
      <c r="I459" s="7">
        <v>508877910</v>
      </c>
      <c r="J459" s="7">
        <f>956744250+550000000</f>
        <v>1506744250</v>
      </c>
      <c r="K459" s="7">
        <v>985446580</v>
      </c>
      <c r="L459" s="7">
        <v>592089150</v>
      </c>
      <c r="M459" s="6">
        <f t="shared" si="8"/>
        <v>3625157890</v>
      </c>
      <c r="N459" s="29">
        <v>43462</v>
      </c>
      <c r="O459" s="30">
        <v>44773</v>
      </c>
      <c r="P459" s="12" t="s">
        <v>2721</v>
      </c>
      <c r="Q459" s="13" t="s">
        <v>56</v>
      </c>
      <c r="R459" s="60" t="s">
        <v>2802</v>
      </c>
      <c r="S459" s="26" t="s">
        <v>2803</v>
      </c>
      <c r="T459" s="26" t="s">
        <v>2804</v>
      </c>
      <c r="U459" s="26" t="s">
        <v>2805</v>
      </c>
      <c r="V459" s="32" t="s">
        <v>2806</v>
      </c>
      <c r="W459" s="26" t="s">
        <v>28</v>
      </c>
    </row>
    <row r="460" spans="1:23" ht="84.95" customHeight="1" x14ac:dyDescent="0.2">
      <c r="A460" s="27" t="s">
        <v>2807</v>
      </c>
      <c r="B460" s="60" t="s">
        <v>2808</v>
      </c>
      <c r="C460" s="59" t="s">
        <v>2809</v>
      </c>
      <c r="D460" s="7">
        <v>350708924</v>
      </c>
      <c r="E460" s="28">
        <f>900000000+9620000000</f>
        <v>10520000000</v>
      </c>
      <c r="F460" s="28"/>
      <c r="G460" s="7"/>
      <c r="H460" s="7">
        <v>350708924</v>
      </c>
      <c r="I460" s="7">
        <v>44466057823</v>
      </c>
      <c r="J460" s="7">
        <f>25070039596+9620000000</f>
        <v>34690039596</v>
      </c>
      <c r="K460" s="7">
        <v>26722140970</v>
      </c>
      <c r="L460" s="7">
        <v>17643590218</v>
      </c>
      <c r="M460" s="6">
        <f t="shared" si="8"/>
        <v>123872537531</v>
      </c>
      <c r="N460" s="29">
        <v>43462</v>
      </c>
      <c r="O460" s="30">
        <v>44742</v>
      </c>
      <c r="P460" s="12" t="s">
        <v>3367</v>
      </c>
      <c r="Q460" s="11" t="s">
        <v>32</v>
      </c>
      <c r="R460" s="60" t="s">
        <v>2810</v>
      </c>
      <c r="S460" s="26" t="s">
        <v>2811</v>
      </c>
      <c r="T460" s="26" t="s">
        <v>2812</v>
      </c>
      <c r="U460" s="26" t="s">
        <v>2813</v>
      </c>
      <c r="V460" s="32" t="s">
        <v>2814</v>
      </c>
      <c r="W460" s="26" t="s">
        <v>28</v>
      </c>
    </row>
    <row r="461" spans="1:23" ht="119.25" hidden="1" customHeight="1" x14ac:dyDescent="0.2">
      <c r="A461" s="27" t="s">
        <v>2815</v>
      </c>
      <c r="B461" s="60" t="s">
        <v>2816</v>
      </c>
      <c r="C461" s="59" t="s">
        <v>2817</v>
      </c>
      <c r="D461" s="7">
        <v>15174760</v>
      </c>
      <c r="E461" s="28">
        <v>15000000</v>
      </c>
      <c r="F461" s="28"/>
      <c r="G461" s="7"/>
      <c r="H461" s="7">
        <v>15174760</v>
      </c>
      <c r="I461" s="7">
        <v>375120057</v>
      </c>
      <c r="J461" s="7">
        <v>386373659</v>
      </c>
      <c r="K461" s="93">
        <v>0</v>
      </c>
      <c r="L461" s="93">
        <v>0</v>
      </c>
      <c r="M461" s="6">
        <f t="shared" si="8"/>
        <v>776668476</v>
      </c>
      <c r="N461" s="29">
        <v>43462</v>
      </c>
      <c r="O461" s="30">
        <v>44196</v>
      </c>
      <c r="P461" s="12" t="s">
        <v>1112</v>
      </c>
      <c r="Q461" s="11" t="s">
        <v>32</v>
      </c>
      <c r="R461" s="60" t="s">
        <v>2818</v>
      </c>
      <c r="S461" s="26" t="s">
        <v>2819</v>
      </c>
      <c r="T461" s="26" t="s">
        <v>2820</v>
      </c>
      <c r="U461" s="26" t="s">
        <v>2821</v>
      </c>
      <c r="V461" s="32" t="s">
        <v>2822</v>
      </c>
      <c r="W461" s="26" t="s">
        <v>28</v>
      </c>
    </row>
    <row r="462" spans="1:23" ht="84.95" hidden="1" customHeight="1" x14ac:dyDescent="0.2">
      <c r="A462" s="27" t="s">
        <v>2823</v>
      </c>
      <c r="B462" s="60" t="s">
        <v>2824</v>
      </c>
      <c r="C462" s="59" t="s">
        <v>2825</v>
      </c>
      <c r="D462" s="7">
        <v>12155054</v>
      </c>
      <c r="E462" s="28">
        <v>30000000</v>
      </c>
      <c r="F462" s="28"/>
      <c r="G462" s="7"/>
      <c r="H462" s="7">
        <v>12155054</v>
      </c>
      <c r="I462" s="7">
        <v>352142351</v>
      </c>
      <c r="J462" s="93">
        <v>0</v>
      </c>
      <c r="K462" s="93">
        <v>0</v>
      </c>
      <c r="L462" s="93">
        <v>0</v>
      </c>
      <c r="M462" s="6">
        <f t="shared" si="8"/>
        <v>364297405</v>
      </c>
      <c r="N462" s="29">
        <v>43463</v>
      </c>
      <c r="O462" s="30">
        <v>43951</v>
      </c>
      <c r="P462" s="12" t="s">
        <v>171</v>
      </c>
      <c r="Q462" s="11" t="s">
        <v>32</v>
      </c>
      <c r="R462" s="60" t="s">
        <v>2826</v>
      </c>
      <c r="S462" s="26" t="s">
        <v>2827</v>
      </c>
      <c r="T462" s="26" t="s">
        <v>2828</v>
      </c>
      <c r="U462" s="26" t="s">
        <v>2829</v>
      </c>
      <c r="V462" s="32" t="s">
        <v>2830</v>
      </c>
      <c r="W462" s="26" t="s">
        <v>28</v>
      </c>
    </row>
    <row r="463" spans="1:23" ht="84.95" hidden="1" customHeight="1" x14ac:dyDescent="0.2">
      <c r="A463" s="27" t="s">
        <v>2831</v>
      </c>
      <c r="B463" s="60" t="s">
        <v>472</v>
      </c>
      <c r="C463" s="59" t="s">
        <v>2825</v>
      </c>
      <c r="D463" s="7">
        <v>3746759</v>
      </c>
      <c r="E463" s="28"/>
      <c r="F463" s="28"/>
      <c r="G463" s="7"/>
      <c r="H463" s="7">
        <v>3746759</v>
      </c>
      <c r="I463" s="7">
        <v>99299429</v>
      </c>
      <c r="J463" s="93">
        <v>0</v>
      </c>
      <c r="K463" s="93">
        <v>0</v>
      </c>
      <c r="L463" s="93">
        <v>0</v>
      </c>
      <c r="M463" s="6">
        <f t="shared" si="8"/>
        <v>103046188</v>
      </c>
      <c r="N463" s="29">
        <v>43465</v>
      </c>
      <c r="O463" s="30">
        <v>43951</v>
      </c>
      <c r="P463" s="12" t="s">
        <v>171</v>
      </c>
      <c r="Q463" s="11" t="s">
        <v>32</v>
      </c>
      <c r="R463" s="60" t="s">
        <v>474</v>
      </c>
      <c r="S463" s="26" t="s">
        <v>475</v>
      </c>
      <c r="T463" s="26" t="s">
        <v>2832</v>
      </c>
      <c r="U463" s="26" t="s">
        <v>2833</v>
      </c>
      <c r="V463" s="32" t="s">
        <v>478</v>
      </c>
      <c r="W463" s="26" t="s">
        <v>28</v>
      </c>
    </row>
    <row r="464" spans="1:23" ht="84.95" hidden="1" customHeight="1" x14ac:dyDescent="0.2">
      <c r="A464" s="27" t="s">
        <v>2834</v>
      </c>
      <c r="B464" s="60" t="s">
        <v>2507</v>
      </c>
      <c r="C464" s="59" t="s">
        <v>2835</v>
      </c>
      <c r="D464" s="7">
        <v>5000000</v>
      </c>
      <c r="E464" s="28"/>
      <c r="F464" s="28"/>
      <c r="G464" s="7"/>
      <c r="H464" s="7">
        <v>5000000</v>
      </c>
      <c r="I464" s="93">
        <v>0</v>
      </c>
      <c r="J464" s="93">
        <v>0</v>
      </c>
      <c r="K464" s="93">
        <v>0</v>
      </c>
      <c r="L464" s="93">
        <v>0</v>
      </c>
      <c r="M464" s="6">
        <f t="shared" si="8"/>
        <v>5000000</v>
      </c>
      <c r="N464" s="29">
        <v>43462</v>
      </c>
      <c r="O464" s="30">
        <v>43511</v>
      </c>
      <c r="P464" s="12" t="s">
        <v>1857</v>
      </c>
      <c r="Q464" s="11" t="s">
        <v>32</v>
      </c>
      <c r="R464" s="60" t="s">
        <v>2836</v>
      </c>
      <c r="S464" s="26" t="s">
        <v>2509</v>
      </c>
      <c r="T464" s="26" t="s">
        <v>2837</v>
      </c>
      <c r="U464" s="26" t="s">
        <v>2838</v>
      </c>
      <c r="V464" s="32" t="s">
        <v>2839</v>
      </c>
      <c r="W464" s="26" t="s">
        <v>28</v>
      </c>
    </row>
    <row r="465" spans="1:23" ht="129" customHeight="1" x14ac:dyDescent="0.2">
      <c r="A465" s="27" t="s">
        <v>3110</v>
      </c>
      <c r="B465" s="60" t="s">
        <v>3252</v>
      </c>
      <c r="C465" s="59" t="s">
        <v>3111</v>
      </c>
      <c r="D465" s="7">
        <v>3939671797</v>
      </c>
      <c r="E465" s="81"/>
      <c r="F465" s="81">
        <f>280000000+500000000</f>
        <v>780000000</v>
      </c>
      <c r="G465" s="7"/>
      <c r="H465" s="7">
        <v>40000000</v>
      </c>
      <c r="I465" s="7">
        <v>732512000</v>
      </c>
      <c r="J465" s="7">
        <f>1067896406-500000000</f>
        <v>567896406</v>
      </c>
      <c r="K465" s="7">
        <v>1126310340</v>
      </c>
      <c r="L465" s="7">
        <v>692953051</v>
      </c>
      <c r="M465" s="6">
        <f t="shared" si="8"/>
        <v>3159671797</v>
      </c>
      <c r="N465" s="29">
        <v>43462</v>
      </c>
      <c r="O465" s="30">
        <v>44773</v>
      </c>
      <c r="P465" s="62" t="s">
        <v>3386</v>
      </c>
      <c r="Q465" s="13" t="s">
        <v>56</v>
      </c>
      <c r="R465" s="60" t="s">
        <v>3112</v>
      </c>
      <c r="S465" s="26" t="s">
        <v>3113</v>
      </c>
      <c r="T465" s="26" t="s">
        <v>3114</v>
      </c>
      <c r="U465" s="26" t="s">
        <v>3115</v>
      </c>
      <c r="V465" s="64" t="s">
        <v>3116</v>
      </c>
      <c r="W465" s="26" t="s">
        <v>28</v>
      </c>
    </row>
    <row r="466" spans="1:23" ht="84.95" customHeight="1" x14ac:dyDescent="0.2">
      <c r="A466" s="27" t="s">
        <v>3109</v>
      </c>
      <c r="B466" s="60" t="s">
        <v>2118</v>
      </c>
      <c r="C466" s="59" t="s">
        <v>3103</v>
      </c>
      <c r="D466" s="7">
        <v>34276077</v>
      </c>
      <c r="E466" s="81"/>
      <c r="F466" s="81">
        <v>290000000</v>
      </c>
      <c r="G466" s="7"/>
      <c r="H466" s="7">
        <v>34276077</v>
      </c>
      <c r="I466" s="7">
        <v>590741885</v>
      </c>
      <c r="J466" s="7">
        <v>612918411</v>
      </c>
      <c r="K466" s="7">
        <v>631088393</v>
      </c>
      <c r="L466" s="7">
        <v>379178956</v>
      </c>
      <c r="M466" s="6">
        <f t="shared" si="8"/>
        <v>2248203722</v>
      </c>
      <c r="N466" s="29">
        <v>43462</v>
      </c>
      <c r="O466" s="30">
        <v>44773</v>
      </c>
      <c r="P466" s="12" t="s">
        <v>31</v>
      </c>
      <c r="Q466" s="11" t="s">
        <v>32</v>
      </c>
      <c r="R466" s="60" t="s">
        <v>3028</v>
      </c>
      <c r="S466" s="26" t="s">
        <v>2120</v>
      </c>
      <c r="T466" s="26" t="s">
        <v>2121</v>
      </c>
      <c r="U466" s="26" t="s">
        <v>2122</v>
      </c>
      <c r="V466" s="64" t="s">
        <v>2123</v>
      </c>
      <c r="W466" s="26" t="s">
        <v>28</v>
      </c>
    </row>
    <row r="467" spans="1:23" ht="84.95" customHeight="1" x14ac:dyDescent="0.2">
      <c r="A467" s="27" t="s">
        <v>3117</v>
      </c>
      <c r="B467" s="60" t="s">
        <v>1780</v>
      </c>
      <c r="C467" s="59" t="s">
        <v>3103</v>
      </c>
      <c r="D467" s="7">
        <v>34276077</v>
      </c>
      <c r="E467" s="81"/>
      <c r="F467" s="81">
        <v>276000000</v>
      </c>
      <c r="G467" s="7"/>
      <c r="H467" s="7">
        <v>34276077</v>
      </c>
      <c r="I467" s="7">
        <v>590741885</v>
      </c>
      <c r="J467" s="7">
        <f>612918411-276000000</f>
        <v>336918411</v>
      </c>
      <c r="K467" s="7">
        <v>631088393</v>
      </c>
      <c r="L467" s="7">
        <v>379178931</v>
      </c>
      <c r="M467" s="6">
        <f t="shared" si="8"/>
        <v>1972203697</v>
      </c>
      <c r="N467" s="29">
        <v>43462</v>
      </c>
      <c r="O467" s="30">
        <v>44773</v>
      </c>
      <c r="P467" s="12" t="s">
        <v>31</v>
      </c>
      <c r="Q467" s="11" t="s">
        <v>32</v>
      </c>
      <c r="R467" s="60" t="s">
        <v>1782</v>
      </c>
      <c r="S467" s="26" t="s">
        <v>1783</v>
      </c>
      <c r="T467" s="26" t="s">
        <v>1784</v>
      </c>
      <c r="U467" s="26" t="s">
        <v>3118</v>
      </c>
      <c r="V467" s="64" t="s">
        <v>1786</v>
      </c>
      <c r="W467" s="26" t="s">
        <v>1787</v>
      </c>
    </row>
    <row r="468" spans="1:23" ht="84.95" customHeight="1" x14ac:dyDescent="0.2">
      <c r="A468" s="27" t="s">
        <v>3102</v>
      </c>
      <c r="B468" s="60" t="s">
        <v>1103</v>
      </c>
      <c r="C468" s="59" t="s">
        <v>3103</v>
      </c>
      <c r="D468" s="7">
        <v>5712679</v>
      </c>
      <c r="E468" s="81"/>
      <c r="F468" s="81">
        <v>70000000</v>
      </c>
      <c r="G468" s="7"/>
      <c r="H468" s="7">
        <v>5712679</v>
      </c>
      <c r="I468" s="7">
        <v>98456980</v>
      </c>
      <c r="J468" s="7">
        <f>102153068-70000000</f>
        <v>32153068</v>
      </c>
      <c r="K468" s="93">
        <v>105181398</v>
      </c>
      <c r="L468" s="93">
        <v>0</v>
      </c>
      <c r="M468" s="6">
        <f t="shared" si="8"/>
        <v>241504125</v>
      </c>
      <c r="N468" s="29">
        <v>43462</v>
      </c>
      <c r="O468" s="30">
        <v>44773</v>
      </c>
      <c r="P468" s="12" t="s">
        <v>31</v>
      </c>
      <c r="Q468" s="11" t="s">
        <v>32</v>
      </c>
      <c r="R468" s="60" t="s">
        <v>1105</v>
      </c>
      <c r="S468" s="26" t="s">
        <v>1106</v>
      </c>
      <c r="T468" s="26" t="s">
        <v>1107</v>
      </c>
      <c r="U468" s="26" t="s">
        <v>3104</v>
      </c>
      <c r="V468" s="64" t="s">
        <v>1109</v>
      </c>
      <c r="W468" s="26" t="s">
        <v>28</v>
      </c>
    </row>
    <row r="469" spans="1:23" ht="84.95" customHeight="1" x14ac:dyDescent="0.2">
      <c r="A469" s="27" t="s">
        <v>3106</v>
      </c>
      <c r="B469" s="60" t="s">
        <v>846</v>
      </c>
      <c r="C469" s="59" t="s">
        <v>3103</v>
      </c>
      <c r="D469" s="7">
        <v>7997751</v>
      </c>
      <c r="E469" s="81"/>
      <c r="F469" s="81">
        <v>90242000</v>
      </c>
      <c r="G469" s="7"/>
      <c r="H469" s="7">
        <v>7997751</v>
      </c>
      <c r="I469" s="7">
        <v>137839773</v>
      </c>
      <c r="J469" s="7">
        <f>143014295-90242000</f>
        <v>52772295</v>
      </c>
      <c r="K469" s="93">
        <v>0</v>
      </c>
      <c r="L469" s="93">
        <v>0</v>
      </c>
      <c r="M469" s="6">
        <f t="shared" si="8"/>
        <v>198609819</v>
      </c>
      <c r="N469" s="29">
        <v>43462</v>
      </c>
      <c r="O469" s="30">
        <v>44773</v>
      </c>
      <c r="P469" s="12" t="s">
        <v>31</v>
      </c>
      <c r="Q469" s="11" t="s">
        <v>32</v>
      </c>
      <c r="R469" s="60" t="s">
        <v>847</v>
      </c>
      <c r="S469" s="26" t="s">
        <v>848</v>
      </c>
      <c r="T469" s="26" t="s">
        <v>3107</v>
      </c>
      <c r="U469" s="26" t="s">
        <v>850</v>
      </c>
      <c r="V469" s="64" t="s">
        <v>3108</v>
      </c>
      <c r="W469" s="26" t="s">
        <v>28</v>
      </c>
    </row>
    <row r="470" spans="1:23" ht="117" hidden="1" customHeight="1" x14ac:dyDescent="0.2">
      <c r="A470" s="27" t="s">
        <v>2840</v>
      </c>
      <c r="B470" s="60" t="s">
        <v>3361</v>
      </c>
      <c r="C470" s="59" t="s">
        <v>3237</v>
      </c>
      <c r="D470" s="7">
        <v>20545574</v>
      </c>
      <c r="E470" s="28">
        <f>100000000+180000000</f>
        <v>280000000</v>
      </c>
      <c r="F470" s="81">
        <v>170000000</v>
      </c>
      <c r="G470" s="7"/>
      <c r="H470" s="7">
        <v>20545574</v>
      </c>
      <c r="I470" s="7">
        <v>544164201</v>
      </c>
      <c r="J470" s="7">
        <f>560489127-170000000</f>
        <v>390489127</v>
      </c>
      <c r="K470" s="93">
        <f>100000000+180000000</f>
        <v>280000000</v>
      </c>
      <c r="L470" s="93">
        <v>0</v>
      </c>
      <c r="M470" s="6">
        <f t="shared" si="8"/>
        <v>1235198902</v>
      </c>
      <c r="N470" s="29">
        <v>43462</v>
      </c>
      <c r="O470" s="30">
        <v>44377</v>
      </c>
      <c r="P470" s="12" t="s">
        <v>3289</v>
      </c>
      <c r="Q470" s="13" t="s">
        <v>56</v>
      </c>
      <c r="R470" s="60" t="s">
        <v>2841</v>
      </c>
      <c r="S470" s="26" t="s">
        <v>2842</v>
      </c>
      <c r="T470" s="26" t="s">
        <v>2843</v>
      </c>
      <c r="U470" s="26" t="s">
        <v>2844</v>
      </c>
      <c r="V470" s="32" t="s">
        <v>2845</v>
      </c>
      <c r="W470" s="26" t="s">
        <v>28</v>
      </c>
    </row>
    <row r="471" spans="1:23" ht="114.75" hidden="1" customHeight="1" x14ac:dyDescent="0.2">
      <c r="A471" s="27" t="s">
        <v>2846</v>
      </c>
      <c r="B471" s="60" t="s">
        <v>3141</v>
      </c>
      <c r="C471" s="59" t="s">
        <v>2848</v>
      </c>
      <c r="D471" s="7">
        <v>370700000</v>
      </c>
      <c r="E471" s="28">
        <v>95284000</v>
      </c>
      <c r="F471" s="28"/>
      <c r="G471" s="7"/>
      <c r="H471" s="7">
        <v>370000000</v>
      </c>
      <c r="I471" s="93">
        <v>0</v>
      </c>
      <c r="J471" s="93">
        <v>0</v>
      </c>
      <c r="K471" s="93">
        <v>0</v>
      </c>
      <c r="L471" s="93">
        <v>0</v>
      </c>
      <c r="M471" s="6">
        <f t="shared" si="8"/>
        <v>370000000</v>
      </c>
      <c r="N471" s="29">
        <v>43462</v>
      </c>
      <c r="O471" s="30">
        <v>43830</v>
      </c>
      <c r="P471" s="12" t="s">
        <v>3291</v>
      </c>
      <c r="Q471" s="13" t="s">
        <v>73</v>
      </c>
      <c r="R471" s="60" t="s">
        <v>2849</v>
      </c>
      <c r="S471" s="26" t="s">
        <v>2850</v>
      </c>
      <c r="T471" s="26" t="s">
        <v>2851</v>
      </c>
      <c r="U471" s="26" t="s">
        <v>2852</v>
      </c>
      <c r="V471" s="32" t="s">
        <v>2853</v>
      </c>
      <c r="W471" s="26" t="s">
        <v>28</v>
      </c>
    </row>
    <row r="472" spans="1:23" ht="84.95" hidden="1" customHeight="1" x14ac:dyDescent="0.2">
      <c r="A472" s="27" t="s">
        <v>2854</v>
      </c>
      <c r="B472" s="60" t="s">
        <v>2847</v>
      </c>
      <c r="C472" s="59" t="s">
        <v>2855</v>
      </c>
      <c r="D472" s="7">
        <v>2494920384</v>
      </c>
      <c r="E472" s="28">
        <f>626000000+197488119</f>
        <v>823488119</v>
      </c>
      <c r="F472" s="28"/>
      <c r="G472" s="7"/>
      <c r="H472" s="7">
        <v>48746432</v>
      </c>
      <c r="I472" s="7">
        <v>1205011799</v>
      </c>
      <c r="J472" s="7">
        <f>1241162153+197488119</f>
        <v>1438650272</v>
      </c>
      <c r="K472" s="93">
        <v>0</v>
      </c>
      <c r="L472" s="93">
        <v>0</v>
      </c>
      <c r="M472" s="6">
        <f t="shared" si="8"/>
        <v>2692408503</v>
      </c>
      <c r="N472" s="29">
        <v>43462</v>
      </c>
      <c r="O472" s="30">
        <v>44196</v>
      </c>
      <c r="P472" s="12" t="s">
        <v>1112</v>
      </c>
      <c r="Q472" s="72" t="s">
        <v>32</v>
      </c>
      <c r="R472" s="60" t="s">
        <v>2856</v>
      </c>
      <c r="S472" s="26" t="s">
        <v>2784</v>
      </c>
      <c r="T472" s="26" t="s">
        <v>2857</v>
      </c>
      <c r="U472" s="26" t="s">
        <v>2858</v>
      </c>
      <c r="V472" s="32" t="s">
        <v>2859</v>
      </c>
      <c r="W472" s="26" t="s">
        <v>28</v>
      </c>
    </row>
    <row r="473" spans="1:23" ht="84.95" customHeight="1" x14ac:dyDescent="0.2">
      <c r="A473" s="27" t="s">
        <v>3253</v>
      </c>
      <c r="B473" s="60" t="s">
        <v>2808</v>
      </c>
      <c r="C473" s="59" t="s">
        <v>3254</v>
      </c>
      <c r="D473" s="7" t="s">
        <v>40</v>
      </c>
      <c r="E473" s="28"/>
      <c r="F473" s="28"/>
      <c r="G473" s="7"/>
      <c r="H473" s="7" t="s">
        <v>40</v>
      </c>
      <c r="I473" s="93">
        <v>0</v>
      </c>
      <c r="J473" s="93">
        <v>0</v>
      </c>
      <c r="K473" s="93">
        <v>0</v>
      </c>
      <c r="L473" s="93">
        <v>0</v>
      </c>
      <c r="M473" s="6">
        <f t="shared" si="8"/>
        <v>0</v>
      </c>
      <c r="N473" s="29"/>
      <c r="O473" s="30">
        <v>44742</v>
      </c>
      <c r="P473" s="12" t="s">
        <v>3377</v>
      </c>
      <c r="Q473" s="13" t="s">
        <v>73</v>
      </c>
      <c r="R473" s="60" t="s">
        <v>2810</v>
      </c>
      <c r="S473" s="26" t="s">
        <v>2811</v>
      </c>
      <c r="T473" s="26" t="s">
        <v>2812</v>
      </c>
      <c r="U473" s="26" t="s">
        <v>2813</v>
      </c>
      <c r="V473" s="32" t="s">
        <v>2814</v>
      </c>
      <c r="W473" s="26" t="s">
        <v>28</v>
      </c>
    </row>
    <row r="474" spans="1:23" ht="112.5" hidden="1" customHeight="1" x14ac:dyDescent="0.2">
      <c r="A474" s="27" t="s">
        <v>2860</v>
      </c>
      <c r="B474" s="60" t="s">
        <v>2861</v>
      </c>
      <c r="C474" s="59" t="s">
        <v>2855</v>
      </c>
      <c r="D474" s="7">
        <v>77157262</v>
      </c>
      <c r="E474" s="28">
        <v>238000000</v>
      </c>
      <c r="F474" s="81">
        <v>989280620</v>
      </c>
      <c r="G474" s="7"/>
      <c r="H474" s="7">
        <v>77157262</v>
      </c>
      <c r="I474" s="7">
        <v>1907327513</v>
      </c>
      <c r="J474" s="7">
        <f>1964547338-989280620</f>
        <v>975266718</v>
      </c>
      <c r="K474" s="93">
        <v>0</v>
      </c>
      <c r="L474" s="93">
        <v>0</v>
      </c>
      <c r="M474" s="6">
        <f t="shared" si="8"/>
        <v>2959751493</v>
      </c>
      <c r="N474" s="29">
        <v>43462</v>
      </c>
      <c r="O474" s="30">
        <v>44196</v>
      </c>
      <c r="P474" s="12" t="s">
        <v>1112</v>
      </c>
      <c r="Q474" s="11" t="s">
        <v>32</v>
      </c>
      <c r="R474" s="60" t="s">
        <v>2862</v>
      </c>
      <c r="S474" s="26" t="s">
        <v>2863</v>
      </c>
      <c r="T474" s="26" t="s">
        <v>2864</v>
      </c>
      <c r="U474" s="26" t="s">
        <v>2865</v>
      </c>
      <c r="V474" s="32" t="s">
        <v>2866</v>
      </c>
      <c r="W474" s="26" t="s">
        <v>28</v>
      </c>
    </row>
    <row r="475" spans="1:23" ht="142.5" hidden="1" customHeight="1" x14ac:dyDescent="0.2">
      <c r="A475" s="27" t="s">
        <v>2867</v>
      </c>
      <c r="B475" s="60" t="s">
        <v>2868</v>
      </c>
      <c r="C475" s="59" t="s">
        <v>2855</v>
      </c>
      <c r="D475" s="7">
        <v>26847403</v>
      </c>
      <c r="E475" s="80">
        <v>20000000</v>
      </c>
      <c r="F475" s="82">
        <v>566616590</v>
      </c>
      <c r="G475" s="7"/>
      <c r="H475" s="7">
        <v>26847403</v>
      </c>
      <c r="I475" s="7">
        <v>863667810</v>
      </c>
      <c r="J475" s="7">
        <f>683577845-566616590</f>
        <v>116961255</v>
      </c>
      <c r="K475" s="93">
        <v>0</v>
      </c>
      <c r="L475" s="93">
        <v>0</v>
      </c>
      <c r="M475" s="6">
        <f t="shared" si="8"/>
        <v>1007476468</v>
      </c>
      <c r="N475" s="29">
        <v>43462</v>
      </c>
      <c r="O475" s="30">
        <v>44196</v>
      </c>
      <c r="P475" s="12" t="s">
        <v>2694</v>
      </c>
      <c r="Q475" s="11" t="s">
        <v>32</v>
      </c>
      <c r="R475" s="60" t="s">
        <v>2869</v>
      </c>
      <c r="S475" s="26" t="s">
        <v>2870</v>
      </c>
      <c r="T475" s="26" t="s">
        <v>2871</v>
      </c>
      <c r="U475" s="26" t="s">
        <v>2872</v>
      </c>
      <c r="V475" s="32" t="s">
        <v>2873</v>
      </c>
      <c r="W475" s="26" t="s">
        <v>28</v>
      </c>
    </row>
    <row r="476" spans="1:23" ht="104.25" customHeight="1" x14ac:dyDescent="0.2">
      <c r="A476" s="54" t="s">
        <v>2874</v>
      </c>
      <c r="B476" s="60" t="s">
        <v>1780</v>
      </c>
      <c r="C476" s="59" t="s">
        <v>2875</v>
      </c>
      <c r="D476" s="7">
        <v>168925</v>
      </c>
      <c r="E476" s="28"/>
      <c r="F476" s="28"/>
      <c r="G476" s="7"/>
      <c r="H476" s="7">
        <v>168925</v>
      </c>
      <c r="I476" s="7">
        <v>6800000</v>
      </c>
      <c r="J476" s="7">
        <v>7000000</v>
      </c>
      <c r="K476" s="7">
        <v>7300000</v>
      </c>
      <c r="L476" s="7">
        <v>4000000</v>
      </c>
      <c r="M476" s="6">
        <f t="shared" si="8"/>
        <v>25268925</v>
      </c>
      <c r="N476" s="29">
        <v>43462</v>
      </c>
      <c r="O476" s="30">
        <v>44772</v>
      </c>
      <c r="P476" s="12" t="s">
        <v>1857</v>
      </c>
      <c r="Q476" s="11" t="s">
        <v>32</v>
      </c>
      <c r="R476" s="60" t="s">
        <v>1782</v>
      </c>
      <c r="S476" s="26" t="s">
        <v>2876</v>
      </c>
      <c r="T476" s="26" t="s">
        <v>1784</v>
      </c>
      <c r="U476" s="26" t="s">
        <v>1785</v>
      </c>
      <c r="V476" s="32" t="s">
        <v>1786</v>
      </c>
      <c r="W476" s="26" t="s">
        <v>28</v>
      </c>
    </row>
    <row r="477" spans="1:23" ht="111" customHeight="1" x14ac:dyDescent="0.2">
      <c r="A477" s="27" t="s">
        <v>2877</v>
      </c>
      <c r="B477" s="60" t="s">
        <v>2878</v>
      </c>
      <c r="C477" s="59" t="s">
        <v>2875</v>
      </c>
      <c r="D477" s="7">
        <v>8130302</v>
      </c>
      <c r="E477" s="28"/>
      <c r="F477" s="81">
        <v>70000000</v>
      </c>
      <c r="G477" s="7"/>
      <c r="H477" s="7">
        <v>8130302</v>
      </c>
      <c r="I477" s="7">
        <v>390000000</v>
      </c>
      <c r="J477" s="7">
        <f>400000000-70000000</f>
        <v>330000000</v>
      </c>
      <c r="K477" s="7">
        <v>413000000</v>
      </c>
      <c r="L477" s="7">
        <v>248000000</v>
      </c>
      <c r="M477" s="6">
        <f t="shared" si="8"/>
        <v>1389130302</v>
      </c>
      <c r="N477" s="29">
        <v>43462</v>
      </c>
      <c r="O477" s="30">
        <v>44772</v>
      </c>
      <c r="P477" s="12" t="s">
        <v>1857</v>
      </c>
      <c r="Q477" s="11" t="s">
        <v>32</v>
      </c>
      <c r="R477" s="60" t="s">
        <v>1809</v>
      </c>
      <c r="S477" s="26" t="s">
        <v>1810</v>
      </c>
      <c r="T477" s="26" t="s">
        <v>2879</v>
      </c>
      <c r="U477" s="26" t="s">
        <v>1812</v>
      </c>
      <c r="V477" s="32" t="s">
        <v>1813</v>
      </c>
      <c r="W477" s="26" t="s">
        <v>28</v>
      </c>
    </row>
    <row r="478" spans="1:23" ht="110.25" customHeight="1" x14ac:dyDescent="0.2">
      <c r="A478" s="27" t="s">
        <v>2880</v>
      </c>
      <c r="B478" s="60" t="s">
        <v>2881</v>
      </c>
      <c r="C478" s="59" t="s">
        <v>2875</v>
      </c>
      <c r="D478" s="7">
        <v>6728341</v>
      </c>
      <c r="E478" s="28"/>
      <c r="F478" s="28"/>
      <c r="G478" s="7"/>
      <c r="H478" s="7">
        <v>6728341</v>
      </c>
      <c r="I478" s="7">
        <v>322000000</v>
      </c>
      <c r="J478" s="7">
        <v>375800000</v>
      </c>
      <c r="K478" s="7">
        <v>341500000</v>
      </c>
      <c r="L478" s="7">
        <v>205300000</v>
      </c>
      <c r="M478" s="6">
        <f t="shared" si="8"/>
        <v>1251328341</v>
      </c>
      <c r="N478" s="29">
        <v>43462</v>
      </c>
      <c r="O478" s="30">
        <v>44772</v>
      </c>
      <c r="P478" s="12" t="s">
        <v>1857</v>
      </c>
      <c r="Q478" s="11" t="s">
        <v>32</v>
      </c>
      <c r="R478" s="60" t="s">
        <v>2882</v>
      </c>
      <c r="S478" s="26" t="s">
        <v>2883</v>
      </c>
      <c r="T478" s="26" t="s">
        <v>2884</v>
      </c>
      <c r="U478" s="26" t="s">
        <v>2885</v>
      </c>
      <c r="V478" s="32" t="s">
        <v>2886</v>
      </c>
      <c r="W478" s="26" t="s">
        <v>28</v>
      </c>
    </row>
    <row r="479" spans="1:23" ht="108" customHeight="1" x14ac:dyDescent="0.2">
      <c r="A479" s="27" t="s">
        <v>2887</v>
      </c>
      <c r="B479" s="60" t="s">
        <v>2888</v>
      </c>
      <c r="C479" s="59" t="s">
        <v>2875</v>
      </c>
      <c r="D479" s="7">
        <v>649837000</v>
      </c>
      <c r="E479" s="28"/>
      <c r="F479" s="28"/>
      <c r="G479" s="7"/>
      <c r="H479" s="7">
        <v>649837</v>
      </c>
      <c r="I479" s="7">
        <v>11000000</v>
      </c>
      <c r="J479" s="7">
        <v>11300000</v>
      </c>
      <c r="K479" s="7">
        <v>11600000</v>
      </c>
      <c r="L479" s="7">
        <v>7000000</v>
      </c>
      <c r="M479" s="6">
        <f t="shared" si="8"/>
        <v>41549837</v>
      </c>
      <c r="N479" s="29">
        <v>43462</v>
      </c>
      <c r="O479" s="30">
        <v>44772</v>
      </c>
      <c r="P479" s="12" t="s">
        <v>1857</v>
      </c>
      <c r="Q479" s="11" t="s">
        <v>32</v>
      </c>
      <c r="R479" s="60" t="s">
        <v>2889</v>
      </c>
      <c r="S479" s="26" t="s">
        <v>2890</v>
      </c>
      <c r="T479" s="26" t="s">
        <v>2891</v>
      </c>
      <c r="U479" s="26" t="s">
        <v>2892</v>
      </c>
      <c r="V479" s="32" t="s">
        <v>2893</v>
      </c>
      <c r="W479" s="26" t="s">
        <v>28</v>
      </c>
    </row>
    <row r="480" spans="1:23" ht="84.95" customHeight="1" x14ac:dyDescent="0.2">
      <c r="A480" s="27" t="s">
        <v>2894</v>
      </c>
      <c r="B480" s="60" t="s">
        <v>2624</v>
      </c>
      <c r="C480" s="59" t="s">
        <v>2895</v>
      </c>
      <c r="D480" s="7">
        <v>211000000</v>
      </c>
      <c r="E480" s="28">
        <v>500000000</v>
      </c>
      <c r="F480" s="28"/>
      <c r="G480" s="7"/>
      <c r="H480" s="7">
        <v>211000000</v>
      </c>
      <c r="I480" s="7">
        <v>2231000000</v>
      </c>
      <c r="J480" s="7">
        <f>2371000000+500000000</f>
        <v>2871000000</v>
      </c>
      <c r="K480" s="7">
        <v>2271000000</v>
      </c>
      <c r="L480" s="7">
        <v>1790000000</v>
      </c>
      <c r="M480" s="6">
        <f t="shared" si="8"/>
        <v>9374000000</v>
      </c>
      <c r="N480" s="29">
        <v>43462</v>
      </c>
      <c r="O480" s="30">
        <v>44773</v>
      </c>
      <c r="P480" s="12" t="s">
        <v>575</v>
      </c>
      <c r="Q480" s="13" t="s">
        <v>56</v>
      </c>
      <c r="R480" s="60" t="s">
        <v>2625</v>
      </c>
      <c r="S480" s="26" t="s">
        <v>2896</v>
      </c>
      <c r="T480" s="26" t="s">
        <v>2897</v>
      </c>
      <c r="U480" s="26" t="s">
        <v>2628</v>
      </c>
      <c r="V480" s="32" t="s">
        <v>2898</v>
      </c>
      <c r="W480" s="26" t="s">
        <v>28</v>
      </c>
    </row>
    <row r="481" spans="1:23" ht="84.95" customHeight="1" x14ac:dyDescent="0.2">
      <c r="A481" s="27" t="s">
        <v>2899</v>
      </c>
      <c r="B481" s="60" t="s">
        <v>2900</v>
      </c>
      <c r="C481" s="59" t="s">
        <v>2895</v>
      </c>
      <c r="D481" s="7">
        <v>263500000</v>
      </c>
      <c r="E481" s="28"/>
      <c r="F481" s="28"/>
      <c r="G481" s="7"/>
      <c r="H481" s="7">
        <v>263500000</v>
      </c>
      <c r="I481" s="7">
        <v>3261000000</v>
      </c>
      <c r="J481" s="7">
        <v>3271000000</v>
      </c>
      <c r="K481" s="7">
        <v>3401000000</v>
      </c>
      <c r="L481" s="7">
        <v>1991500000</v>
      </c>
      <c r="M481" s="6">
        <f t="shared" si="8"/>
        <v>12188000000</v>
      </c>
      <c r="N481" s="29">
        <v>43462</v>
      </c>
      <c r="O481" s="30">
        <v>44773</v>
      </c>
      <c r="P481" s="12" t="s">
        <v>513</v>
      </c>
      <c r="Q481" s="13" t="s">
        <v>56</v>
      </c>
      <c r="R481" s="60" t="s">
        <v>2901</v>
      </c>
      <c r="S481" s="26" t="s">
        <v>2902</v>
      </c>
      <c r="T481" s="26" t="s">
        <v>2903</v>
      </c>
      <c r="U481" s="26" t="s">
        <v>2904</v>
      </c>
      <c r="V481" s="32" t="s">
        <v>2905</v>
      </c>
      <c r="W481" s="26" t="s">
        <v>28</v>
      </c>
    </row>
    <row r="482" spans="1:23" ht="84.95" customHeight="1" x14ac:dyDescent="0.2">
      <c r="A482" s="27" t="s">
        <v>2906</v>
      </c>
      <c r="B482" s="60" t="s">
        <v>1745</v>
      </c>
      <c r="C482" s="59" t="s">
        <v>2895</v>
      </c>
      <c r="D482" s="7">
        <v>11000000</v>
      </c>
      <c r="E482" s="28">
        <f>65000000+65000000</f>
        <v>130000000</v>
      </c>
      <c r="F482" s="28"/>
      <c r="G482" s="7"/>
      <c r="H482" s="7">
        <v>11000000</v>
      </c>
      <c r="I482" s="7">
        <v>13000000</v>
      </c>
      <c r="J482" s="7">
        <f>130000000+65000000</f>
        <v>195000000</v>
      </c>
      <c r="K482" s="7">
        <f>130000000+65000000</f>
        <v>195000000</v>
      </c>
      <c r="L482" s="7">
        <v>76000000</v>
      </c>
      <c r="M482" s="6">
        <f t="shared" si="8"/>
        <v>490000000</v>
      </c>
      <c r="N482" s="29">
        <v>43462</v>
      </c>
      <c r="O482" s="30">
        <v>44773</v>
      </c>
      <c r="P482" s="12" t="s">
        <v>575</v>
      </c>
      <c r="Q482" s="13" t="s">
        <v>56</v>
      </c>
      <c r="R482" s="60" t="s">
        <v>2907</v>
      </c>
      <c r="S482" s="26" t="s">
        <v>1747</v>
      </c>
      <c r="T482" s="26" t="s">
        <v>2908</v>
      </c>
      <c r="U482" s="26" t="s">
        <v>2909</v>
      </c>
      <c r="V482" s="32" t="s">
        <v>1750</v>
      </c>
      <c r="W482" s="26" t="s">
        <v>28</v>
      </c>
    </row>
    <row r="483" spans="1:23" ht="84.95" customHeight="1" x14ac:dyDescent="0.2">
      <c r="A483" s="27" t="s">
        <v>2910</v>
      </c>
      <c r="B483" s="60" t="s">
        <v>230</v>
      </c>
      <c r="C483" s="59" t="s">
        <v>2895</v>
      </c>
      <c r="D483" s="7">
        <v>332800000</v>
      </c>
      <c r="E483" s="28">
        <v>300000000</v>
      </c>
      <c r="F483" s="28"/>
      <c r="G483" s="7"/>
      <c r="H483" s="7">
        <v>332800000</v>
      </c>
      <c r="I483" s="7">
        <v>4201000000</v>
      </c>
      <c r="J483" s="7">
        <v>3961000000</v>
      </c>
      <c r="K483" s="7">
        <v>4096000000</v>
      </c>
      <c r="L483" s="7">
        <v>2368200000</v>
      </c>
      <c r="M483" s="6">
        <f t="shared" si="8"/>
        <v>14959000000</v>
      </c>
      <c r="N483" s="29">
        <v>43462</v>
      </c>
      <c r="O483" s="30">
        <v>44773</v>
      </c>
      <c r="P483" s="12" t="s">
        <v>513</v>
      </c>
      <c r="Q483" s="13" t="s">
        <v>56</v>
      </c>
      <c r="R483" s="60" t="s">
        <v>1471</v>
      </c>
      <c r="S483" s="26" t="s">
        <v>515</v>
      </c>
      <c r="T483" s="26" t="s">
        <v>1472</v>
      </c>
      <c r="U483" s="26" t="s">
        <v>236</v>
      </c>
      <c r="V483" s="32" t="s">
        <v>2529</v>
      </c>
      <c r="W483" s="26" t="s">
        <v>28</v>
      </c>
    </row>
    <row r="484" spans="1:23" ht="84.95" customHeight="1" x14ac:dyDescent="0.2">
      <c r="A484" s="27" t="s">
        <v>2911</v>
      </c>
      <c r="B484" s="60" t="s">
        <v>2912</v>
      </c>
      <c r="C484" s="59" t="s">
        <v>2895</v>
      </c>
      <c r="D484" s="7">
        <v>6000000</v>
      </c>
      <c r="E484" s="28">
        <v>33500000</v>
      </c>
      <c r="F484" s="28"/>
      <c r="G484" s="7"/>
      <c r="H484" s="7">
        <v>6000000</v>
      </c>
      <c r="I484" s="7">
        <v>100500000</v>
      </c>
      <c r="J484" s="7">
        <v>67000000</v>
      </c>
      <c r="K484" s="7">
        <v>67000000</v>
      </c>
      <c r="L484" s="7">
        <v>40000000</v>
      </c>
      <c r="M484" s="6">
        <f t="shared" si="8"/>
        <v>280500000</v>
      </c>
      <c r="N484" s="29">
        <v>43462</v>
      </c>
      <c r="O484" s="30">
        <v>44773</v>
      </c>
      <c r="P484" s="12" t="s">
        <v>3355</v>
      </c>
      <c r="Q484" s="13" t="s">
        <v>56</v>
      </c>
      <c r="R484" s="60" t="s">
        <v>2913</v>
      </c>
      <c r="S484" s="26" t="s">
        <v>2914</v>
      </c>
      <c r="T484" s="26" t="s">
        <v>2915</v>
      </c>
      <c r="U484" s="26" t="s">
        <v>2916</v>
      </c>
      <c r="V484" s="32" t="s">
        <v>2917</v>
      </c>
      <c r="W484" s="26" t="s">
        <v>28</v>
      </c>
    </row>
    <row r="485" spans="1:23" ht="84.95" customHeight="1" x14ac:dyDescent="0.2">
      <c r="A485" s="27" t="s">
        <v>2918</v>
      </c>
      <c r="B485" s="60" t="s">
        <v>590</v>
      </c>
      <c r="C485" s="59" t="s">
        <v>2895</v>
      </c>
      <c r="D485" s="7">
        <v>7000000</v>
      </c>
      <c r="E485" s="81"/>
      <c r="F485" s="81">
        <f>50000000+14878261</f>
        <v>64878261</v>
      </c>
      <c r="G485" s="7"/>
      <c r="H485" s="7">
        <v>7000000</v>
      </c>
      <c r="I485" s="7">
        <v>40000000</v>
      </c>
      <c r="J485" s="7">
        <f>90000000-14878261</f>
        <v>75121739</v>
      </c>
      <c r="K485" s="7">
        <v>90000000</v>
      </c>
      <c r="L485" s="7">
        <v>53000000</v>
      </c>
      <c r="M485" s="6">
        <f t="shared" si="8"/>
        <v>265121739</v>
      </c>
      <c r="N485" s="29">
        <v>43462</v>
      </c>
      <c r="O485" s="30">
        <v>44773</v>
      </c>
      <c r="P485" s="12" t="s">
        <v>513</v>
      </c>
      <c r="Q485" s="13" t="s">
        <v>56</v>
      </c>
      <c r="R485" s="60" t="s">
        <v>591</v>
      </c>
      <c r="S485" s="26" t="s">
        <v>592</v>
      </c>
      <c r="T485" s="26" t="s">
        <v>593</v>
      </c>
      <c r="U485" s="26" t="s">
        <v>2919</v>
      </c>
      <c r="V485" s="32" t="s">
        <v>595</v>
      </c>
      <c r="W485" s="26" t="s">
        <v>28</v>
      </c>
    </row>
    <row r="486" spans="1:23" ht="84.95" customHeight="1" x14ac:dyDescent="0.2">
      <c r="A486" s="27" t="s">
        <v>2920</v>
      </c>
      <c r="B486" s="60" t="s">
        <v>691</v>
      </c>
      <c r="C486" s="59" t="s">
        <v>2895</v>
      </c>
      <c r="D486" s="7">
        <v>110900000</v>
      </c>
      <c r="E486" s="81"/>
      <c r="F486" s="81">
        <v>200000000</v>
      </c>
      <c r="G486" s="7"/>
      <c r="H486" s="7">
        <v>110900000</v>
      </c>
      <c r="I486" s="7">
        <v>1243000000</v>
      </c>
      <c r="J486" s="7">
        <v>1448000000</v>
      </c>
      <c r="K486" s="7">
        <v>1473000000</v>
      </c>
      <c r="L486" s="7">
        <v>863600000</v>
      </c>
      <c r="M486" s="6">
        <f t="shared" si="8"/>
        <v>5138500000</v>
      </c>
      <c r="N486" s="29">
        <v>43462</v>
      </c>
      <c r="O486" s="30">
        <v>44773</v>
      </c>
      <c r="P486" s="12" t="s">
        <v>575</v>
      </c>
      <c r="Q486" s="13" t="s">
        <v>56</v>
      </c>
      <c r="R486" s="60" t="s">
        <v>2424</v>
      </c>
      <c r="S486" s="26" t="s">
        <v>523</v>
      </c>
      <c r="T486" s="26" t="s">
        <v>524</v>
      </c>
      <c r="U486" s="26" t="s">
        <v>525</v>
      </c>
      <c r="V486" s="32" t="s">
        <v>526</v>
      </c>
      <c r="W486" s="26" t="s">
        <v>28</v>
      </c>
    </row>
    <row r="487" spans="1:23" ht="84.95" customHeight="1" x14ac:dyDescent="0.2">
      <c r="A487" s="54" t="s">
        <v>2921</v>
      </c>
      <c r="B487" s="60" t="s">
        <v>2922</v>
      </c>
      <c r="C487" s="59" t="s">
        <v>2895</v>
      </c>
      <c r="D487" s="7">
        <v>6000000</v>
      </c>
      <c r="E487" s="81"/>
      <c r="F487" s="81">
        <v>49631297</v>
      </c>
      <c r="G487" s="7"/>
      <c r="H487" s="7">
        <v>6000000</v>
      </c>
      <c r="I487" s="7">
        <v>30368703</v>
      </c>
      <c r="J487" s="7">
        <v>80000000</v>
      </c>
      <c r="K487" s="7">
        <v>80000000</v>
      </c>
      <c r="L487" s="7">
        <v>48000000</v>
      </c>
      <c r="M487" s="6">
        <f t="shared" si="8"/>
        <v>244368703</v>
      </c>
      <c r="N487" s="29">
        <v>43462</v>
      </c>
      <c r="O487" s="30">
        <v>44773</v>
      </c>
      <c r="P487" s="12" t="s">
        <v>3380</v>
      </c>
      <c r="Q487" s="13" t="s">
        <v>56</v>
      </c>
      <c r="R487" s="60" t="s">
        <v>2573</v>
      </c>
      <c r="S487" s="26" t="s">
        <v>2574</v>
      </c>
      <c r="T487" s="26" t="s">
        <v>2575</v>
      </c>
      <c r="U487" s="26" t="s">
        <v>2576</v>
      </c>
      <c r="V487" s="32" t="s">
        <v>2577</v>
      </c>
      <c r="W487" s="26" t="s">
        <v>28</v>
      </c>
    </row>
    <row r="488" spans="1:23" ht="84.95" customHeight="1" x14ac:dyDescent="0.2">
      <c r="A488" s="27" t="s">
        <v>2923</v>
      </c>
      <c r="B488" s="60" t="s">
        <v>1515</v>
      </c>
      <c r="C488" s="59" t="s">
        <v>2895</v>
      </c>
      <c r="D488" s="7">
        <v>48450000</v>
      </c>
      <c r="E488" s="28"/>
      <c r="F488" s="81">
        <v>81805355</v>
      </c>
      <c r="G488" s="7"/>
      <c r="H488" s="7">
        <v>48450000</v>
      </c>
      <c r="I488" s="7">
        <v>479000000</v>
      </c>
      <c r="J488" s="7">
        <f>489000000-81805355</f>
        <v>407194645</v>
      </c>
      <c r="K488" s="7">
        <v>479000000</v>
      </c>
      <c r="L488" s="7">
        <v>282150000</v>
      </c>
      <c r="M488" s="6">
        <f t="shared" si="8"/>
        <v>1695794645</v>
      </c>
      <c r="N488" s="29">
        <v>43462</v>
      </c>
      <c r="O488" s="30">
        <v>44773</v>
      </c>
      <c r="P488" s="12" t="s">
        <v>3192</v>
      </c>
      <c r="Q488" s="13" t="s">
        <v>56</v>
      </c>
      <c r="R488" s="60" t="s">
        <v>1401</v>
      </c>
      <c r="S488" s="26" t="s">
        <v>569</v>
      </c>
      <c r="T488" s="26" t="s">
        <v>1517</v>
      </c>
      <c r="U488" s="26" t="s">
        <v>571</v>
      </c>
      <c r="V488" s="32" t="s">
        <v>572</v>
      </c>
      <c r="W488" s="26" t="s">
        <v>28</v>
      </c>
    </row>
    <row r="489" spans="1:23" ht="84.95" customHeight="1" x14ac:dyDescent="0.2">
      <c r="A489" s="27" t="s">
        <v>2924</v>
      </c>
      <c r="B489" s="60" t="s">
        <v>2925</v>
      </c>
      <c r="C489" s="59" t="s">
        <v>2895</v>
      </c>
      <c r="D489" s="7">
        <v>22850000</v>
      </c>
      <c r="E489" s="28">
        <v>200000000</v>
      </c>
      <c r="F489" s="28"/>
      <c r="G489" s="7"/>
      <c r="H489" s="7">
        <v>22850000</v>
      </c>
      <c r="I489" s="7">
        <v>385000000</v>
      </c>
      <c r="J489" s="7">
        <f>285000000+100000000</f>
        <v>385000000</v>
      </c>
      <c r="K489" s="7">
        <v>285000000</v>
      </c>
      <c r="L489" s="7">
        <v>163450000</v>
      </c>
      <c r="M489" s="6">
        <f t="shared" si="8"/>
        <v>1241300000</v>
      </c>
      <c r="N489" s="29">
        <v>43462</v>
      </c>
      <c r="O489" s="30">
        <v>44773</v>
      </c>
      <c r="P489" s="12" t="s">
        <v>211</v>
      </c>
      <c r="Q489" s="13" t="s">
        <v>56</v>
      </c>
      <c r="R489" s="60" t="s">
        <v>2926</v>
      </c>
      <c r="S489" s="26" t="s">
        <v>2927</v>
      </c>
      <c r="T489" s="26" t="s">
        <v>2928</v>
      </c>
      <c r="U489" s="26" t="s">
        <v>2929</v>
      </c>
      <c r="V489" s="32" t="s">
        <v>2930</v>
      </c>
      <c r="W489" s="26" t="s">
        <v>28</v>
      </c>
    </row>
    <row r="490" spans="1:23" ht="84.95" customHeight="1" x14ac:dyDescent="0.2">
      <c r="A490" s="27" t="s">
        <v>2931</v>
      </c>
      <c r="B490" s="60" t="s">
        <v>1936</v>
      </c>
      <c r="C490" s="59" t="s">
        <v>2895</v>
      </c>
      <c r="D490" s="7">
        <v>4000000</v>
      </c>
      <c r="E490" s="28"/>
      <c r="F490" s="81">
        <v>23000000</v>
      </c>
      <c r="G490" s="7"/>
      <c r="H490" s="7">
        <v>4000000</v>
      </c>
      <c r="I490" s="7">
        <v>46000000</v>
      </c>
      <c r="J490" s="7">
        <f>41000000-23000000</f>
        <v>18000000</v>
      </c>
      <c r="K490" s="7">
        <v>46000000</v>
      </c>
      <c r="L490" s="7">
        <v>27000000</v>
      </c>
      <c r="M490" s="6">
        <f t="shared" si="8"/>
        <v>141000000</v>
      </c>
      <c r="N490" s="29">
        <v>43462</v>
      </c>
      <c r="O490" s="30">
        <v>44773</v>
      </c>
      <c r="P490" s="12" t="s">
        <v>211</v>
      </c>
      <c r="Q490" s="13" t="s">
        <v>56</v>
      </c>
      <c r="R490" s="60" t="s">
        <v>2932</v>
      </c>
      <c r="S490" s="26" t="s">
        <v>1939</v>
      </c>
      <c r="T490" s="26" t="s">
        <v>2933</v>
      </c>
      <c r="U490" s="26" t="s">
        <v>2934</v>
      </c>
      <c r="V490" s="32" t="s">
        <v>2935</v>
      </c>
      <c r="W490" s="26" t="s">
        <v>28</v>
      </c>
    </row>
    <row r="491" spans="1:23" ht="84.95" customHeight="1" x14ac:dyDescent="0.2">
      <c r="A491" s="27" t="s">
        <v>2936</v>
      </c>
      <c r="B491" s="60" t="s">
        <v>1388</v>
      </c>
      <c r="C491" s="59" t="s">
        <v>2895</v>
      </c>
      <c r="D491" s="7">
        <v>9000000</v>
      </c>
      <c r="E491" s="81"/>
      <c r="F491" s="81">
        <v>39711738</v>
      </c>
      <c r="G491" s="7"/>
      <c r="H491" s="7">
        <v>9000000</v>
      </c>
      <c r="I491" s="7">
        <v>60000000</v>
      </c>
      <c r="J491" s="7">
        <f>60000000-39711738</f>
        <v>20288262</v>
      </c>
      <c r="K491" s="7">
        <v>60000000</v>
      </c>
      <c r="L491" s="7">
        <v>35000000</v>
      </c>
      <c r="M491" s="6">
        <f t="shared" si="8"/>
        <v>184288262</v>
      </c>
      <c r="N491" s="29">
        <v>43462</v>
      </c>
      <c r="O491" s="30">
        <v>44773</v>
      </c>
      <c r="P491" s="12" t="s">
        <v>2075</v>
      </c>
      <c r="Q491" s="13" t="s">
        <v>56</v>
      </c>
      <c r="R491" s="60" t="s">
        <v>1389</v>
      </c>
      <c r="S491" s="26" t="s">
        <v>1390</v>
      </c>
      <c r="T491" s="26" t="s">
        <v>1391</v>
      </c>
      <c r="U491" s="26" t="s">
        <v>1398</v>
      </c>
      <c r="V491" s="32" t="s">
        <v>2552</v>
      </c>
      <c r="W491" s="26" t="s">
        <v>28</v>
      </c>
    </row>
    <row r="492" spans="1:23" ht="154.5" customHeight="1" x14ac:dyDescent="0.2">
      <c r="A492" s="27" t="s">
        <v>2937</v>
      </c>
      <c r="B492" s="60" t="s">
        <v>2938</v>
      </c>
      <c r="C492" s="59" t="s">
        <v>2895</v>
      </c>
      <c r="D492" s="7">
        <v>40000000</v>
      </c>
      <c r="E492" s="81"/>
      <c r="F492" s="81">
        <f>384582508+133203774</f>
        <v>517786282</v>
      </c>
      <c r="G492" s="7"/>
      <c r="H492" s="7">
        <v>40000000</v>
      </c>
      <c r="I492" s="7">
        <v>135417492</v>
      </c>
      <c r="J492" s="7">
        <f>520000000-133203774</f>
        <v>386796226</v>
      </c>
      <c r="K492" s="7">
        <v>520000000</v>
      </c>
      <c r="L492" s="7">
        <v>306000000</v>
      </c>
      <c r="M492" s="6">
        <f t="shared" si="8"/>
        <v>1388213718</v>
      </c>
      <c r="N492" s="29">
        <v>43462</v>
      </c>
      <c r="O492" s="30">
        <v>44773</v>
      </c>
      <c r="P492" s="62" t="s">
        <v>3378</v>
      </c>
      <c r="Q492" s="13" t="s">
        <v>56</v>
      </c>
      <c r="R492" s="60" t="s">
        <v>2939</v>
      </c>
      <c r="S492" s="26" t="s">
        <v>2940</v>
      </c>
      <c r="T492" s="26" t="s">
        <v>2941</v>
      </c>
      <c r="U492" s="26" t="s">
        <v>2942</v>
      </c>
      <c r="V492" s="32" t="s">
        <v>2943</v>
      </c>
      <c r="W492" s="26" t="s">
        <v>28</v>
      </c>
    </row>
    <row r="493" spans="1:23" ht="84.95" customHeight="1" x14ac:dyDescent="0.2">
      <c r="A493" s="27" t="s">
        <v>2944</v>
      </c>
      <c r="B493" s="60" t="s">
        <v>1965</v>
      </c>
      <c r="C493" s="59" t="s">
        <v>2895</v>
      </c>
      <c r="D493" s="7">
        <v>22000000</v>
      </c>
      <c r="E493" s="81"/>
      <c r="F493" s="81">
        <v>100000000</v>
      </c>
      <c r="G493" s="7"/>
      <c r="H493" s="7">
        <v>22000000</v>
      </c>
      <c r="I493" s="7">
        <v>270000000</v>
      </c>
      <c r="J493" s="7">
        <f>270000000-100000000</f>
        <v>170000000</v>
      </c>
      <c r="K493" s="7">
        <v>270000000</v>
      </c>
      <c r="L493" s="7">
        <v>158000000</v>
      </c>
      <c r="M493" s="6">
        <f t="shared" si="8"/>
        <v>890000000</v>
      </c>
      <c r="N493" s="29">
        <v>43462</v>
      </c>
      <c r="O493" s="30">
        <v>44773</v>
      </c>
      <c r="P493" s="62" t="s">
        <v>3378</v>
      </c>
      <c r="Q493" s="13" t="s">
        <v>56</v>
      </c>
      <c r="R493" s="60" t="s">
        <v>2945</v>
      </c>
      <c r="S493" s="26" t="s">
        <v>1968</v>
      </c>
      <c r="T493" s="26" t="s">
        <v>2946</v>
      </c>
      <c r="U493" s="26" t="s">
        <v>2947</v>
      </c>
      <c r="V493" s="32" t="s">
        <v>2948</v>
      </c>
      <c r="W493" s="26" t="s">
        <v>28</v>
      </c>
    </row>
    <row r="494" spans="1:23" ht="84.95" customHeight="1" x14ac:dyDescent="0.2">
      <c r="A494" s="27" t="s">
        <v>2949</v>
      </c>
      <c r="B494" s="60" t="s">
        <v>433</v>
      </c>
      <c r="C494" s="59" t="s">
        <v>2895</v>
      </c>
      <c r="D494" s="7">
        <v>33400000</v>
      </c>
      <c r="E494" s="81"/>
      <c r="F494" s="81">
        <v>90000000</v>
      </c>
      <c r="G494" s="7"/>
      <c r="H494" s="7">
        <v>33400000</v>
      </c>
      <c r="I494" s="7">
        <v>400500000</v>
      </c>
      <c r="J494" s="7">
        <f>400500000-90000000</f>
        <v>310500000</v>
      </c>
      <c r="K494" s="7">
        <v>400500000</v>
      </c>
      <c r="L494" s="7">
        <v>234600000</v>
      </c>
      <c r="M494" s="6">
        <f t="shared" si="8"/>
        <v>1379500000</v>
      </c>
      <c r="N494" s="29">
        <v>43462</v>
      </c>
      <c r="O494" s="30">
        <v>44773</v>
      </c>
      <c r="P494" s="12" t="s">
        <v>3392</v>
      </c>
      <c r="Q494" s="13" t="s">
        <v>56</v>
      </c>
      <c r="R494" s="60" t="s">
        <v>434</v>
      </c>
      <c r="S494" s="26" t="s">
        <v>435</v>
      </c>
      <c r="T494" s="26" t="s">
        <v>2950</v>
      </c>
      <c r="U494" s="26" t="s">
        <v>437</v>
      </c>
      <c r="V494" s="32" t="s">
        <v>438</v>
      </c>
      <c r="W494" s="26" t="s">
        <v>28</v>
      </c>
    </row>
    <row r="495" spans="1:23" ht="84.95" customHeight="1" x14ac:dyDescent="0.2">
      <c r="A495" s="27" t="s">
        <v>2951</v>
      </c>
      <c r="B495" s="60" t="s">
        <v>2952</v>
      </c>
      <c r="C495" s="59" t="s">
        <v>2895</v>
      </c>
      <c r="D495" s="7">
        <v>5000000</v>
      </c>
      <c r="E495" s="28"/>
      <c r="F495" s="28"/>
      <c r="G495" s="7"/>
      <c r="H495" s="7">
        <v>5000000</v>
      </c>
      <c r="I495" s="7">
        <v>60000000</v>
      </c>
      <c r="J495" s="7">
        <v>60000000</v>
      </c>
      <c r="K495" s="7">
        <v>60000000</v>
      </c>
      <c r="L495" s="7">
        <v>35000000</v>
      </c>
      <c r="M495" s="6">
        <f t="shared" si="8"/>
        <v>220000000</v>
      </c>
      <c r="N495" s="29">
        <v>43462</v>
      </c>
      <c r="O495" s="30">
        <v>44773</v>
      </c>
      <c r="P495" s="12" t="s">
        <v>3379</v>
      </c>
      <c r="Q495" s="13" t="s">
        <v>56</v>
      </c>
      <c r="R495" s="60" t="s">
        <v>584</v>
      </c>
      <c r="S495" s="26" t="s">
        <v>585</v>
      </c>
      <c r="T495" s="26" t="s">
        <v>586</v>
      </c>
      <c r="U495" s="26" t="s">
        <v>587</v>
      </c>
      <c r="V495" s="32" t="s">
        <v>588</v>
      </c>
      <c r="W495" s="26" t="s">
        <v>28</v>
      </c>
    </row>
    <row r="496" spans="1:23" ht="131.25" customHeight="1" x14ac:dyDescent="0.2">
      <c r="A496" s="27" t="s">
        <v>2953</v>
      </c>
      <c r="B496" s="60" t="s">
        <v>546</v>
      </c>
      <c r="C496" s="59" t="s">
        <v>2895</v>
      </c>
      <c r="D496" s="7">
        <v>6000000</v>
      </c>
      <c r="E496" s="81"/>
      <c r="F496" s="81">
        <f>30000000+2850366</f>
        <v>32850366</v>
      </c>
      <c r="G496" s="7"/>
      <c r="H496" s="7">
        <v>6000000</v>
      </c>
      <c r="I496" s="7">
        <v>70000000</v>
      </c>
      <c r="J496" s="7">
        <f>70000000-2850366</f>
        <v>67149634</v>
      </c>
      <c r="K496" s="7">
        <v>70000000</v>
      </c>
      <c r="L496" s="7">
        <v>40000000</v>
      </c>
      <c r="M496" s="6">
        <f t="shared" si="8"/>
        <v>253149634</v>
      </c>
      <c r="N496" s="29">
        <v>43462</v>
      </c>
      <c r="O496" s="30">
        <v>44773</v>
      </c>
      <c r="P496" s="62" t="s">
        <v>3378</v>
      </c>
      <c r="Q496" s="13" t="s">
        <v>56</v>
      </c>
      <c r="R496" s="60" t="s">
        <v>548</v>
      </c>
      <c r="S496" s="26" t="s">
        <v>549</v>
      </c>
      <c r="T496" s="26" t="s">
        <v>550</v>
      </c>
      <c r="U496" s="26" t="s">
        <v>551</v>
      </c>
      <c r="V496" s="32" t="s">
        <v>552</v>
      </c>
      <c r="W496" s="26" t="s">
        <v>28</v>
      </c>
    </row>
    <row r="497" spans="1:23" ht="84.95" customHeight="1" x14ac:dyDescent="0.2">
      <c r="A497" s="27" t="s">
        <v>2954</v>
      </c>
      <c r="B497" s="60" t="s">
        <v>2728</v>
      </c>
      <c r="C497" s="59" t="s">
        <v>2895</v>
      </c>
      <c r="D497" s="7">
        <v>2000000</v>
      </c>
      <c r="E497" s="28">
        <v>15000000</v>
      </c>
      <c r="F497" s="28"/>
      <c r="G497" s="7"/>
      <c r="H497" s="7">
        <v>2000000</v>
      </c>
      <c r="I497" s="7">
        <v>30000000</v>
      </c>
      <c r="J497" s="7">
        <f>30000000+15000000</f>
        <v>45000000</v>
      </c>
      <c r="K497" s="7">
        <v>30000000</v>
      </c>
      <c r="L497" s="7">
        <v>18000000</v>
      </c>
      <c r="M497" s="6">
        <f t="shared" si="8"/>
        <v>125000000</v>
      </c>
      <c r="N497" s="29">
        <v>43462</v>
      </c>
      <c r="O497" s="30">
        <v>44773</v>
      </c>
      <c r="P497" s="62" t="s">
        <v>3378</v>
      </c>
      <c r="Q497" s="13" t="s">
        <v>56</v>
      </c>
      <c r="R497" s="60" t="s">
        <v>2955</v>
      </c>
      <c r="S497" s="26" t="s">
        <v>556</v>
      </c>
      <c r="T497" s="26" t="s">
        <v>2956</v>
      </c>
      <c r="U497" s="26" t="s">
        <v>558</v>
      </c>
      <c r="V497" s="32" t="s">
        <v>559</v>
      </c>
      <c r="W497" s="26" t="s">
        <v>2957</v>
      </c>
    </row>
    <row r="498" spans="1:23" ht="84.95" customHeight="1" x14ac:dyDescent="0.2">
      <c r="A498" s="54" t="s">
        <v>2958</v>
      </c>
      <c r="B498" s="60" t="s">
        <v>1054</v>
      </c>
      <c r="C498" s="59" t="s">
        <v>2895</v>
      </c>
      <c r="D498" s="7">
        <v>5400000</v>
      </c>
      <c r="E498" s="81"/>
      <c r="F498" s="81">
        <v>30000000</v>
      </c>
      <c r="G498" s="7"/>
      <c r="H498" s="7">
        <v>5400000</v>
      </c>
      <c r="I498" s="7">
        <v>94000000</v>
      </c>
      <c r="J498" s="7">
        <v>114000000</v>
      </c>
      <c r="K498" s="7">
        <v>124000000</v>
      </c>
      <c r="L498" s="7">
        <v>72600000</v>
      </c>
      <c r="M498" s="6">
        <f t="shared" si="8"/>
        <v>410000000</v>
      </c>
      <c r="N498" s="29">
        <v>43462</v>
      </c>
      <c r="O498" s="30">
        <v>44773</v>
      </c>
      <c r="P498" s="12" t="s">
        <v>3381</v>
      </c>
      <c r="Q498" s="13" t="s">
        <v>56</v>
      </c>
      <c r="R498" s="60" t="s">
        <v>403</v>
      </c>
      <c r="S498" s="26" t="s">
        <v>404</v>
      </c>
      <c r="T498" s="26" t="s">
        <v>405</v>
      </c>
      <c r="U498" s="26" t="s">
        <v>406</v>
      </c>
      <c r="V498" s="32" t="s">
        <v>407</v>
      </c>
      <c r="W498" s="26" t="s">
        <v>28</v>
      </c>
    </row>
    <row r="499" spans="1:23" ht="128.25" customHeight="1" x14ac:dyDescent="0.2">
      <c r="A499" s="27" t="s">
        <v>2959</v>
      </c>
      <c r="B499" s="60" t="s">
        <v>2960</v>
      </c>
      <c r="C499" s="59" t="s">
        <v>2895</v>
      </c>
      <c r="D499" s="7">
        <v>1500000000</v>
      </c>
      <c r="E499" s="81"/>
      <c r="F499" s="81">
        <f>5897338+3000000</f>
        <v>8897338</v>
      </c>
      <c r="G499" s="7"/>
      <c r="H499" s="7">
        <v>1500000000</v>
      </c>
      <c r="I499" s="7">
        <v>9102662</v>
      </c>
      <c r="J499" s="7">
        <f>13000000-3000000</f>
        <v>10000000</v>
      </c>
      <c r="K499" s="7">
        <v>15000000</v>
      </c>
      <c r="L499" s="7">
        <v>9000000</v>
      </c>
      <c r="M499" s="6">
        <f t="shared" si="8"/>
        <v>1543102662</v>
      </c>
      <c r="N499" s="29">
        <v>43462</v>
      </c>
      <c r="O499" s="30">
        <v>44773</v>
      </c>
      <c r="P499" s="62" t="s">
        <v>3378</v>
      </c>
      <c r="Q499" s="13" t="s">
        <v>56</v>
      </c>
      <c r="R499" s="60" t="s">
        <v>2961</v>
      </c>
      <c r="S499" s="26" t="s">
        <v>2962</v>
      </c>
      <c r="T499" s="26" t="s">
        <v>2963</v>
      </c>
      <c r="U499" s="26" t="s">
        <v>2964</v>
      </c>
      <c r="V499" s="32" t="s">
        <v>2965</v>
      </c>
      <c r="W499" s="26" t="s">
        <v>28</v>
      </c>
    </row>
    <row r="500" spans="1:23" ht="84.95" customHeight="1" x14ac:dyDescent="0.2">
      <c r="A500" s="27" t="s">
        <v>2966</v>
      </c>
      <c r="B500" s="60" t="s">
        <v>561</v>
      </c>
      <c r="C500" s="59" t="s">
        <v>2895</v>
      </c>
      <c r="D500" s="7">
        <v>192200000</v>
      </c>
      <c r="E500" s="82"/>
      <c r="F500" s="82">
        <f>200000000+300000000</f>
        <v>500000000</v>
      </c>
      <c r="G500" s="7"/>
      <c r="H500" s="7">
        <v>192200000</v>
      </c>
      <c r="I500" s="7">
        <v>675263130</v>
      </c>
      <c r="J500" s="7">
        <f>1307000000-300000000</f>
        <v>1007000000</v>
      </c>
      <c r="K500" s="7">
        <v>1307000000</v>
      </c>
      <c r="L500" s="7">
        <v>765800000</v>
      </c>
      <c r="M500" s="6">
        <f t="shared" si="8"/>
        <v>3947263130</v>
      </c>
      <c r="N500" s="29">
        <v>43462</v>
      </c>
      <c r="O500" s="30">
        <v>44773</v>
      </c>
      <c r="P500" s="12" t="s">
        <v>513</v>
      </c>
      <c r="Q500" s="13" t="s">
        <v>56</v>
      </c>
      <c r="R500" s="60" t="s">
        <v>562</v>
      </c>
      <c r="S500" s="26" t="s">
        <v>563</v>
      </c>
      <c r="T500" s="26" t="s">
        <v>564</v>
      </c>
      <c r="U500" s="26" t="s">
        <v>565</v>
      </c>
      <c r="V500" s="32" t="s">
        <v>2967</v>
      </c>
      <c r="W500" s="26" t="s">
        <v>28</v>
      </c>
    </row>
    <row r="501" spans="1:23" ht="84.95" customHeight="1" x14ac:dyDescent="0.2">
      <c r="A501" s="54" t="s">
        <v>2968</v>
      </c>
      <c r="B501" s="60" t="s">
        <v>1058</v>
      </c>
      <c r="C501" s="59" t="s">
        <v>2895</v>
      </c>
      <c r="D501" s="7">
        <v>22800000</v>
      </c>
      <c r="E501" s="81"/>
      <c r="F501" s="81">
        <v>33779058</v>
      </c>
      <c r="G501" s="7"/>
      <c r="H501" s="7">
        <v>22800000</v>
      </c>
      <c r="I501" s="7">
        <v>278000000</v>
      </c>
      <c r="J501" s="7">
        <f>268000000-33779058</f>
        <v>234220942</v>
      </c>
      <c r="K501" s="7">
        <v>278000000</v>
      </c>
      <c r="L501" s="7">
        <v>164200000</v>
      </c>
      <c r="M501" s="6">
        <f t="shared" si="8"/>
        <v>977220942</v>
      </c>
      <c r="N501" s="29">
        <v>43462</v>
      </c>
      <c r="O501" s="30">
        <v>44773</v>
      </c>
      <c r="P501" s="12" t="s">
        <v>1120</v>
      </c>
      <c r="Q501" s="13" t="s">
        <v>56</v>
      </c>
      <c r="R501" s="60" t="s">
        <v>576</v>
      </c>
      <c r="S501" s="26" t="s">
        <v>577</v>
      </c>
      <c r="T501" s="26" t="s">
        <v>1061</v>
      </c>
      <c r="U501" s="26" t="s">
        <v>2969</v>
      </c>
      <c r="V501" s="32" t="s">
        <v>580</v>
      </c>
      <c r="W501" s="26" t="s">
        <v>28</v>
      </c>
    </row>
    <row r="502" spans="1:23" ht="84.95" customHeight="1" x14ac:dyDescent="0.2">
      <c r="A502" s="27" t="s">
        <v>2970</v>
      </c>
      <c r="B502" s="60" t="s">
        <v>2971</v>
      </c>
      <c r="C502" s="59" t="s">
        <v>2895</v>
      </c>
      <c r="D502" s="7">
        <v>67667000</v>
      </c>
      <c r="E502" s="28"/>
      <c r="F502" s="28"/>
      <c r="G502" s="7"/>
      <c r="H502" s="7">
        <v>67667000</v>
      </c>
      <c r="I502" s="7">
        <v>934000000</v>
      </c>
      <c r="J502" s="7">
        <v>874000000</v>
      </c>
      <c r="K502" s="7">
        <v>934000000</v>
      </c>
      <c r="L502" s="7">
        <v>545733000</v>
      </c>
      <c r="M502" s="6">
        <f t="shared" si="8"/>
        <v>3355400000</v>
      </c>
      <c r="N502" s="29">
        <v>43462</v>
      </c>
      <c r="O502" s="30">
        <v>44773</v>
      </c>
      <c r="P502" s="12" t="s">
        <v>575</v>
      </c>
      <c r="Q502" s="13" t="s">
        <v>56</v>
      </c>
      <c r="R502" s="60" t="s">
        <v>2972</v>
      </c>
      <c r="S502" s="26" t="s">
        <v>1405</v>
      </c>
      <c r="T502" s="26" t="s">
        <v>1406</v>
      </c>
      <c r="U502" s="26" t="s">
        <v>1407</v>
      </c>
      <c r="V502" s="32" t="s">
        <v>1408</v>
      </c>
      <c r="W502" s="26" t="s">
        <v>28</v>
      </c>
    </row>
    <row r="503" spans="1:23" ht="112.5" customHeight="1" x14ac:dyDescent="0.2">
      <c r="A503" s="54" t="s">
        <v>2973</v>
      </c>
      <c r="B503" s="60" t="s">
        <v>472</v>
      </c>
      <c r="C503" s="59" t="s">
        <v>2895</v>
      </c>
      <c r="D503" s="7">
        <v>79500000</v>
      </c>
      <c r="E503" s="81"/>
      <c r="F503" s="81">
        <f>273309818+263470894</f>
        <v>536780712</v>
      </c>
      <c r="G503" s="7"/>
      <c r="H503" s="7">
        <v>79500000</v>
      </c>
      <c r="I503" s="7">
        <v>648690182</v>
      </c>
      <c r="J503" s="7">
        <f>920000000-263470894</f>
        <v>656529106</v>
      </c>
      <c r="K503" s="7">
        <v>945000000</v>
      </c>
      <c r="L503" s="7">
        <v>552000000</v>
      </c>
      <c r="M503" s="6">
        <f t="shared" si="8"/>
        <v>2881719288</v>
      </c>
      <c r="N503" s="29">
        <v>43462</v>
      </c>
      <c r="O503" s="30">
        <v>44773</v>
      </c>
      <c r="P503" s="12" t="s">
        <v>3382</v>
      </c>
      <c r="Q503" s="13" t="s">
        <v>56</v>
      </c>
      <c r="R503" s="60" t="s">
        <v>474</v>
      </c>
      <c r="S503" s="26" t="s">
        <v>475</v>
      </c>
      <c r="T503" s="26" t="s">
        <v>2832</v>
      </c>
      <c r="U503" s="26" t="s">
        <v>2833</v>
      </c>
      <c r="V503" s="32" t="s">
        <v>478</v>
      </c>
      <c r="W503" s="26" t="s">
        <v>28</v>
      </c>
    </row>
    <row r="504" spans="1:23" ht="84.95" customHeight="1" x14ac:dyDescent="0.2">
      <c r="A504" s="27" t="s">
        <v>2974</v>
      </c>
      <c r="B504" s="60" t="s">
        <v>2975</v>
      </c>
      <c r="C504" s="59" t="s">
        <v>2895</v>
      </c>
      <c r="D504" s="7">
        <v>500000</v>
      </c>
      <c r="E504" s="28"/>
      <c r="F504" s="28"/>
      <c r="G504" s="7"/>
      <c r="H504" s="7">
        <v>500000</v>
      </c>
      <c r="I504" s="7">
        <v>8000000</v>
      </c>
      <c r="J504" s="7">
        <v>8000000</v>
      </c>
      <c r="K504" s="7">
        <v>8000000</v>
      </c>
      <c r="L504" s="7">
        <v>5000000</v>
      </c>
      <c r="M504" s="6">
        <f t="shared" si="8"/>
        <v>29500000</v>
      </c>
      <c r="N504" s="29">
        <v>43462</v>
      </c>
      <c r="O504" s="30">
        <v>44773</v>
      </c>
      <c r="P504" s="12" t="s">
        <v>1890</v>
      </c>
      <c r="Q504" s="13" t="s">
        <v>56</v>
      </c>
      <c r="R504" s="60" t="s">
        <v>2976</v>
      </c>
      <c r="S504" s="26" t="s">
        <v>2977</v>
      </c>
      <c r="T504" s="26" t="s">
        <v>2978</v>
      </c>
      <c r="U504" s="26" t="s">
        <v>2979</v>
      </c>
      <c r="V504" s="32" t="s">
        <v>2980</v>
      </c>
      <c r="W504" s="26" t="s">
        <v>28</v>
      </c>
    </row>
    <row r="505" spans="1:23" ht="84.95" customHeight="1" x14ac:dyDescent="0.2">
      <c r="A505" s="27" t="s">
        <v>2981</v>
      </c>
      <c r="B505" s="60" t="s">
        <v>2982</v>
      </c>
      <c r="C505" s="59" t="s">
        <v>2895</v>
      </c>
      <c r="D505" s="7">
        <v>9000000</v>
      </c>
      <c r="E505" s="28"/>
      <c r="F505" s="28"/>
      <c r="G505" s="7"/>
      <c r="H505" s="7">
        <v>9000000</v>
      </c>
      <c r="I505" s="7">
        <v>110000000</v>
      </c>
      <c r="J505" s="7">
        <v>110000000</v>
      </c>
      <c r="K505" s="7">
        <v>110000000</v>
      </c>
      <c r="L505" s="7">
        <v>65000000</v>
      </c>
      <c r="M505" s="6">
        <f t="shared" si="8"/>
        <v>404000000</v>
      </c>
      <c r="N505" s="29">
        <v>43462</v>
      </c>
      <c r="O505" s="30">
        <v>44773</v>
      </c>
      <c r="P505" s="12" t="s">
        <v>3138</v>
      </c>
      <c r="Q505" s="13" t="s">
        <v>56</v>
      </c>
      <c r="R505" s="60" t="s">
        <v>2983</v>
      </c>
      <c r="S505" s="26" t="s">
        <v>2984</v>
      </c>
      <c r="T505" s="26" t="s">
        <v>2985</v>
      </c>
      <c r="U505" s="26" t="s">
        <v>2986</v>
      </c>
      <c r="V505" s="32" t="s">
        <v>2987</v>
      </c>
      <c r="W505" s="26" t="s">
        <v>28</v>
      </c>
    </row>
    <row r="506" spans="1:23" ht="84.95" customHeight="1" x14ac:dyDescent="0.2">
      <c r="A506" s="54" t="s">
        <v>2988</v>
      </c>
      <c r="B506" s="60" t="s">
        <v>797</v>
      </c>
      <c r="C506" s="59" t="s">
        <v>2895</v>
      </c>
      <c r="D506" s="7">
        <v>13700000</v>
      </c>
      <c r="E506" s="28">
        <v>4000000</v>
      </c>
      <c r="F506" s="28"/>
      <c r="G506" s="7"/>
      <c r="H506" s="7">
        <v>13700000</v>
      </c>
      <c r="I506" s="7">
        <v>158000000</v>
      </c>
      <c r="J506" s="7">
        <v>158000000</v>
      </c>
      <c r="K506" s="7">
        <v>158000000</v>
      </c>
      <c r="L506" s="7">
        <v>91300000</v>
      </c>
      <c r="M506" s="6">
        <f t="shared" si="8"/>
        <v>579000000</v>
      </c>
      <c r="N506" s="29">
        <v>43462</v>
      </c>
      <c r="O506" s="30">
        <v>44773</v>
      </c>
      <c r="P506" s="12" t="s">
        <v>3391</v>
      </c>
      <c r="Q506" s="13" t="s">
        <v>56</v>
      </c>
      <c r="R506" s="60" t="s">
        <v>798</v>
      </c>
      <c r="S506" s="26" t="s">
        <v>799</v>
      </c>
      <c r="T506" s="26" t="s">
        <v>800</v>
      </c>
      <c r="U506" s="26" t="s">
        <v>801</v>
      </c>
      <c r="V506" s="32" t="s">
        <v>802</v>
      </c>
      <c r="W506" s="26" t="s">
        <v>28</v>
      </c>
    </row>
    <row r="507" spans="1:23" ht="84.95" customHeight="1" x14ac:dyDescent="0.2">
      <c r="A507" s="27" t="s">
        <v>2989</v>
      </c>
      <c r="B507" s="60" t="s">
        <v>2990</v>
      </c>
      <c r="C507" s="59" t="s">
        <v>2895</v>
      </c>
      <c r="D507" s="7">
        <v>17000000</v>
      </c>
      <c r="E507" s="28"/>
      <c r="F507" s="81">
        <v>44952971</v>
      </c>
      <c r="G507" s="7"/>
      <c r="H507" s="7">
        <v>17000000</v>
      </c>
      <c r="I507" s="7">
        <v>200000000</v>
      </c>
      <c r="J507" s="7">
        <f>200000000-44952971</f>
        <v>155047029</v>
      </c>
      <c r="K507" s="7">
        <v>200000000</v>
      </c>
      <c r="L507" s="7">
        <v>117000000</v>
      </c>
      <c r="M507" s="6">
        <f t="shared" si="8"/>
        <v>689047029</v>
      </c>
      <c r="N507" s="29">
        <v>43462</v>
      </c>
      <c r="O507" s="30">
        <v>44773</v>
      </c>
      <c r="P507" s="12" t="s">
        <v>873</v>
      </c>
      <c r="Q507" s="13" t="s">
        <v>56</v>
      </c>
      <c r="R507" s="60" t="s">
        <v>2991</v>
      </c>
      <c r="S507" s="26" t="s">
        <v>2992</v>
      </c>
      <c r="T507" s="26" t="s">
        <v>2993</v>
      </c>
      <c r="U507" s="26" t="s">
        <v>2994</v>
      </c>
      <c r="V507" s="32" t="s">
        <v>2995</v>
      </c>
      <c r="W507" s="26" t="s">
        <v>28</v>
      </c>
    </row>
    <row r="508" spans="1:23" ht="84.95" customHeight="1" x14ac:dyDescent="0.2">
      <c r="A508" s="27" t="s">
        <v>2996</v>
      </c>
      <c r="B508" s="60" t="s">
        <v>2997</v>
      </c>
      <c r="C508" s="59" t="s">
        <v>2895</v>
      </c>
      <c r="D508" s="7">
        <v>24000000</v>
      </c>
      <c r="E508" s="28"/>
      <c r="F508" s="28"/>
      <c r="G508" s="7"/>
      <c r="H508" s="7">
        <v>24000000</v>
      </c>
      <c r="I508" s="7">
        <v>275000000</v>
      </c>
      <c r="J508" s="7">
        <v>275000000</v>
      </c>
      <c r="K508" s="7">
        <v>275000000</v>
      </c>
      <c r="L508" s="7">
        <v>173000000</v>
      </c>
      <c r="M508" s="6">
        <f t="shared" si="8"/>
        <v>1022000000</v>
      </c>
      <c r="N508" s="29">
        <v>43462</v>
      </c>
      <c r="O508" s="30">
        <v>44773</v>
      </c>
      <c r="P508" s="12" t="s">
        <v>513</v>
      </c>
      <c r="Q508" s="13" t="s">
        <v>56</v>
      </c>
      <c r="R508" s="60" t="s">
        <v>1308</v>
      </c>
      <c r="S508" s="26" t="s">
        <v>2998</v>
      </c>
      <c r="T508" s="26" t="s">
        <v>2027</v>
      </c>
      <c r="U508" s="26" t="s">
        <v>1311</v>
      </c>
      <c r="V508" s="32" t="s">
        <v>1312</v>
      </c>
      <c r="W508" s="26" t="s">
        <v>28</v>
      </c>
    </row>
    <row r="509" spans="1:23" ht="84.95" customHeight="1" x14ac:dyDescent="0.2">
      <c r="A509" s="27" t="s">
        <v>2999</v>
      </c>
      <c r="B509" s="60" t="s">
        <v>1981</v>
      </c>
      <c r="C509" s="59" t="s">
        <v>2895</v>
      </c>
      <c r="D509" s="7">
        <v>50000000</v>
      </c>
      <c r="E509" s="28">
        <v>110000000</v>
      </c>
      <c r="F509" s="28"/>
      <c r="G509" s="7"/>
      <c r="H509" s="7">
        <v>50000000</v>
      </c>
      <c r="I509" s="7">
        <v>600000000</v>
      </c>
      <c r="J509" s="7">
        <f>560000000+110000000</f>
        <v>670000000</v>
      </c>
      <c r="K509" s="7">
        <v>600000000</v>
      </c>
      <c r="L509" s="7">
        <v>450000000</v>
      </c>
      <c r="M509" s="6">
        <f t="shared" si="8"/>
        <v>2370000000</v>
      </c>
      <c r="N509" s="29">
        <v>43462</v>
      </c>
      <c r="O509" s="30">
        <v>44773</v>
      </c>
      <c r="P509" s="12" t="s">
        <v>513</v>
      </c>
      <c r="Q509" s="13" t="s">
        <v>56</v>
      </c>
      <c r="R509" s="60" t="s">
        <v>2643</v>
      </c>
      <c r="S509" s="26" t="s">
        <v>1984</v>
      </c>
      <c r="T509" s="26" t="s">
        <v>2644</v>
      </c>
      <c r="U509" s="26" t="s">
        <v>1986</v>
      </c>
      <c r="V509" s="32" t="s">
        <v>3000</v>
      </c>
      <c r="W509" s="26" t="s">
        <v>28</v>
      </c>
    </row>
    <row r="510" spans="1:23" ht="156" customHeight="1" x14ac:dyDescent="0.2">
      <c r="A510" s="27" t="s">
        <v>3001</v>
      </c>
      <c r="B510" s="60" t="s">
        <v>2632</v>
      </c>
      <c r="C510" s="59" t="s">
        <v>2895</v>
      </c>
      <c r="D510" s="7">
        <v>100000000</v>
      </c>
      <c r="E510" s="81"/>
      <c r="F510" s="81">
        <f>200000000+400000000</f>
        <v>600000000</v>
      </c>
      <c r="G510" s="7"/>
      <c r="H510" s="7">
        <v>100000000</v>
      </c>
      <c r="I510" s="7">
        <f>504207496+95792504</f>
        <v>600000000</v>
      </c>
      <c r="J510" s="7">
        <f>1200000000-400000000</f>
        <v>800000000</v>
      </c>
      <c r="K510" s="7">
        <v>1200000000</v>
      </c>
      <c r="L510" s="7">
        <v>700000000</v>
      </c>
      <c r="M510" s="6">
        <f t="shared" si="8"/>
        <v>3400000000</v>
      </c>
      <c r="N510" s="29">
        <v>43462</v>
      </c>
      <c r="O510" s="30">
        <v>44773</v>
      </c>
      <c r="P510" s="12" t="s">
        <v>513</v>
      </c>
      <c r="Q510" s="13" t="s">
        <v>56</v>
      </c>
      <c r="R510" s="60" t="s">
        <v>2031</v>
      </c>
      <c r="S510" s="26" t="s">
        <v>2032</v>
      </c>
      <c r="T510" s="26" t="s">
        <v>3002</v>
      </c>
      <c r="U510" s="26" t="s">
        <v>2034</v>
      </c>
      <c r="V510" s="32" t="s">
        <v>2035</v>
      </c>
      <c r="W510" s="26" t="s">
        <v>264</v>
      </c>
    </row>
    <row r="511" spans="1:23" ht="84.95" customHeight="1" x14ac:dyDescent="0.2">
      <c r="A511" s="54" t="s">
        <v>3139</v>
      </c>
      <c r="B511" s="60" t="s">
        <v>1944</v>
      </c>
      <c r="C511" s="59" t="s">
        <v>2895</v>
      </c>
      <c r="D511" s="7">
        <v>2000000</v>
      </c>
      <c r="E511" s="28"/>
      <c r="F511" s="28"/>
      <c r="G511" s="7"/>
      <c r="H511" s="7">
        <v>2000000</v>
      </c>
      <c r="I511" s="7">
        <v>25000000</v>
      </c>
      <c r="J511" s="7">
        <v>25000000</v>
      </c>
      <c r="K511" s="7">
        <v>30000000</v>
      </c>
      <c r="L511" s="7">
        <v>28000000</v>
      </c>
      <c r="M511" s="6">
        <f t="shared" si="8"/>
        <v>110000000</v>
      </c>
      <c r="N511" s="29">
        <v>43462</v>
      </c>
      <c r="O511" s="30">
        <v>44773</v>
      </c>
      <c r="P511" s="12" t="s">
        <v>3383</v>
      </c>
      <c r="Q511" s="13" t="s">
        <v>56</v>
      </c>
      <c r="R511" s="60" t="s">
        <v>3003</v>
      </c>
      <c r="S511" s="26" t="s">
        <v>3004</v>
      </c>
      <c r="T511" s="26" t="s">
        <v>3005</v>
      </c>
      <c r="U511" s="26" t="s">
        <v>3006</v>
      </c>
      <c r="V511" s="32" t="s">
        <v>1950</v>
      </c>
      <c r="W511" s="26" t="s">
        <v>28</v>
      </c>
    </row>
    <row r="512" spans="1:23" ht="84.95" hidden="1" customHeight="1" x14ac:dyDescent="0.2">
      <c r="A512" s="27" t="s">
        <v>3007</v>
      </c>
      <c r="B512" s="60" t="s">
        <v>1581</v>
      </c>
      <c r="C512" s="59" t="s">
        <v>3008</v>
      </c>
      <c r="D512" s="7">
        <v>29118000</v>
      </c>
      <c r="E512" s="28"/>
      <c r="F512" s="28"/>
      <c r="G512" s="7"/>
      <c r="H512" s="7">
        <v>29118000</v>
      </c>
      <c r="I512" s="93">
        <v>0</v>
      </c>
      <c r="J512" s="93">
        <v>0</v>
      </c>
      <c r="K512" s="93">
        <v>0</v>
      </c>
      <c r="L512" s="93">
        <v>0</v>
      </c>
      <c r="M512" s="6">
        <f t="shared" si="8"/>
        <v>29118000</v>
      </c>
      <c r="N512" s="29">
        <v>43462</v>
      </c>
      <c r="O512" s="30">
        <v>43496</v>
      </c>
      <c r="P512" s="12" t="s">
        <v>983</v>
      </c>
      <c r="Q512" s="13" t="s">
        <v>56</v>
      </c>
      <c r="R512" s="60" t="s">
        <v>1584</v>
      </c>
      <c r="S512" s="26" t="s">
        <v>3009</v>
      </c>
      <c r="T512" s="26" t="s">
        <v>1586</v>
      </c>
      <c r="U512" s="26" t="s">
        <v>1587</v>
      </c>
      <c r="V512" s="32" t="s">
        <v>1588</v>
      </c>
      <c r="W512" s="26" t="s">
        <v>28</v>
      </c>
    </row>
    <row r="513" spans="1:23" ht="123" hidden="1" customHeight="1" x14ac:dyDescent="0.2">
      <c r="A513" s="27" t="s">
        <v>3010</v>
      </c>
      <c r="B513" s="60" t="s">
        <v>3011</v>
      </c>
      <c r="C513" s="59" t="s">
        <v>3012</v>
      </c>
      <c r="D513" s="7">
        <v>129699506</v>
      </c>
      <c r="E513" s="80">
        <v>2037000000</v>
      </c>
      <c r="F513" s="82">
        <f>1567467384+12695054</f>
        <v>1580162438</v>
      </c>
      <c r="G513" s="7"/>
      <c r="H513" s="7">
        <v>129699506</v>
      </c>
      <c r="I513" s="7">
        <v>3206171792</v>
      </c>
      <c r="J513" s="7">
        <f>3302356946-1567467384-126955054</f>
        <v>1607934508</v>
      </c>
      <c r="K513" s="93">
        <v>0</v>
      </c>
      <c r="L513" s="93">
        <v>0</v>
      </c>
      <c r="M513" s="6">
        <f t="shared" si="8"/>
        <v>4943805806</v>
      </c>
      <c r="N513" s="29">
        <v>43462</v>
      </c>
      <c r="O513" s="30">
        <v>44196</v>
      </c>
      <c r="P513" s="12" t="s">
        <v>1112</v>
      </c>
      <c r="Q513" s="11" t="s">
        <v>32</v>
      </c>
      <c r="R513" s="60" t="s">
        <v>3013</v>
      </c>
      <c r="S513" s="26" t="s">
        <v>3014</v>
      </c>
      <c r="T513" s="26" t="s">
        <v>1510</v>
      </c>
      <c r="U513" s="26" t="s">
        <v>3015</v>
      </c>
      <c r="W513" s="26" t="s">
        <v>28</v>
      </c>
    </row>
    <row r="514" spans="1:23" ht="84.95" hidden="1" customHeight="1" x14ac:dyDescent="0.2">
      <c r="A514" s="27" t="s">
        <v>3016</v>
      </c>
      <c r="B514" s="60" t="s">
        <v>178</v>
      </c>
      <c r="C514" s="59" t="s">
        <v>3017</v>
      </c>
      <c r="D514" s="7">
        <v>1000000</v>
      </c>
      <c r="E514" s="28">
        <v>75000000</v>
      </c>
      <c r="F514" s="28"/>
      <c r="G514" s="7"/>
      <c r="H514" s="7">
        <v>1000000</v>
      </c>
      <c r="I514" s="7">
        <v>150000000</v>
      </c>
      <c r="J514" s="7">
        <v>75000000</v>
      </c>
      <c r="K514" s="93">
        <v>0</v>
      </c>
      <c r="L514" s="93">
        <v>0</v>
      </c>
      <c r="M514" s="6">
        <f t="shared" si="8"/>
        <v>226000000</v>
      </c>
      <c r="N514" s="29">
        <v>43463</v>
      </c>
      <c r="O514" s="30">
        <v>44196</v>
      </c>
      <c r="P514" s="12" t="s">
        <v>1716</v>
      </c>
      <c r="Q514" s="11" t="s">
        <v>32</v>
      </c>
      <c r="R514" s="60" t="s">
        <v>181</v>
      </c>
      <c r="S514" s="26" t="s">
        <v>182</v>
      </c>
      <c r="T514" s="26" t="s">
        <v>183</v>
      </c>
      <c r="U514" s="26" t="s">
        <v>184</v>
      </c>
      <c r="V514" s="32" t="s">
        <v>185</v>
      </c>
      <c r="W514" s="26" t="s">
        <v>28</v>
      </c>
    </row>
    <row r="515" spans="1:23" ht="84.95" hidden="1" customHeight="1" x14ac:dyDescent="0.2">
      <c r="A515" s="27" t="s">
        <v>3018</v>
      </c>
      <c r="B515" s="60" t="s">
        <v>1714</v>
      </c>
      <c r="C515" s="59" t="s">
        <v>3017</v>
      </c>
      <c r="D515" s="7">
        <v>26333335</v>
      </c>
      <c r="E515" s="28">
        <v>101400000</v>
      </c>
      <c r="F515" s="28"/>
      <c r="G515" s="7"/>
      <c r="H515" s="7">
        <v>26333335</v>
      </c>
      <c r="I515" s="7">
        <v>279400000</v>
      </c>
      <c r="J515" s="93">
        <v>0</v>
      </c>
      <c r="K515" s="93">
        <v>0</v>
      </c>
      <c r="L515" s="93">
        <v>0</v>
      </c>
      <c r="M515" s="6">
        <f t="shared" si="8"/>
        <v>305733335</v>
      </c>
      <c r="N515" s="29">
        <v>43463</v>
      </c>
      <c r="O515" s="30">
        <v>43738</v>
      </c>
      <c r="P515" s="12" t="s">
        <v>1716</v>
      </c>
      <c r="Q515" s="11" t="s">
        <v>32</v>
      </c>
      <c r="R515" s="60" t="s">
        <v>1717</v>
      </c>
      <c r="S515" s="26" t="s">
        <v>1718</v>
      </c>
      <c r="T515" s="26" t="s">
        <v>1719</v>
      </c>
      <c r="U515" s="26" t="s">
        <v>1720</v>
      </c>
      <c r="V515" s="32" t="s">
        <v>1721</v>
      </c>
      <c r="W515" s="26" t="s">
        <v>28</v>
      </c>
    </row>
    <row r="516" spans="1:23" ht="84.95" hidden="1" customHeight="1" x14ac:dyDescent="0.2">
      <c r="A516" s="27" t="s">
        <v>3019</v>
      </c>
      <c r="B516" s="60" t="s">
        <v>3020</v>
      </c>
      <c r="C516" s="59" t="s">
        <v>3021</v>
      </c>
      <c r="D516" s="7">
        <v>54404674</v>
      </c>
      <c r="E516" s="28">
        <f>163000000+900000000+282000000</f>
        <v>1345000000</v>
      </c>
      <c r="F516" s="28"/>
      <c r="G516" s="7"/>
      <c r="H516" s="7">
        <v>54404674</v>
      </c>
      <c r="I516" s="7">
        <f>1334883535+163000000</f>
        <v>1497883535</v>
      </c>
      <c r="J516" s="7">
        <f>1385230041+900000000+282000000</f>
        <v>2567230041</v>
      </c>
      <c r="K516" s="93">
        <v>0</v>
      </c>
      <c r="L516" s="93">
        <v>0</v>
      </c>
      <c r="M516" s="6">
        <f t="shared" ref="M516:M527" si="9">SUM(H516:L516)</f>
        <v>4119518250</v>
      </c>
      <c r="N516" s="29">
        <v>43465</v>
      </c>
      <c r="O516" s="30">
        <v>44196</v>
      </c>
      <c r="P516" s="12" t="s">
        <v>1112</v>
      </c>
      <c r="Q516" s="11" t="s">
        <v>32</v>
      </c>
      <c r="R516" s="60" t="s">
        <v>3022</v>
      </c>
      <c r="S516" s="26" t="s">
        <v>3023</v>
      </c>
      <c r="T516" s="26" t="s">
        <v>3024</v>
      </c>
      <c r="U516" s="26" t="s">
        <v>3025</v>
      </c>
      <c r="V516" s="32" t="s">
        <v>3026</v>
      </c>
      <c r="W516" s="26" t="s">
        <v>28</v>
      </c>
    </row>
    <row r="517" spans="1:23" ht="120" hidden="1" customHeight="1" x14ac:dyDescent="0.2">
      <c r="A517" s="27" t="s">
        <v>3027</v>
      </c>
      <c r="B517" s="60" t="s">
        <v>2118</v>
      </c>
      <c r="C517" s="59" t="s">
        <v>2745</v>
      </c>
      <c r="D517" s="7">
        <v>179470110</v>
      </c>
      <c r="E517" s="28">
        <f>3580000000+1360348570</f>
        <v>4940348570</v>
      </c>
      <c r="F517" s="28"/>
      <c r="G517" s="7"/>
      <c r="H517" s="7">
        <v>179470110</v>
      </c>
      <c r="I517" s="7">
        <v>5796501114</v>
      </c>
      <c r="J517" s="7">
        <f>4569596147+1360348570</f>
        <v>5929944717</v>
      </c>
      <c r="K517" s="93">
        <v>0</v>
      </c>
      <c r="L517" s="93">
        <v>0</v>
      </c>
      <c r="M517" s="6">
        <f t="shared" si="9"/>
        <v>11905915941</v>
      </c>
      <c r="N517" s="29">
        <v>43462</v>
      </c>
      <c r="O517" s="30">
        <v>44196</v>
      </c>
      <c r="P517" s="12" t="s">
        <v>1112</v>
      </c>
      <c r="Q517" s="72" t="s">
        <v>32</v>
      </c>
      <c r="R517" s="60" t="s">
        <v>3028</v>
      </c>
      <c r="S517" s="26" t="s">
        <v>2120</v>
      </c>
      <c r="T517" s="26" t="s">
        <v>2121</v>
      </c>
      <c r="U517" s="26" t="s">
        <v>3029</v>
      </c>
      <c r="V517" s="32" t="s">
        <v>2123</v>
      </c>
      <c r="W517" s="26" t="s">
        <v>28</v>
      </c>
    </row>
    <row r="518" spans="1:23" ht="84.95" customHeight="1" x14ac:dyDescent="0.2">
      <c r="A518" s="27" t="s">
        <v>3030</v>
      </c>
      <c r="B518" s="60" t="s">
        <v>1874</v>
      </c>
      <c r="C518" s="59" t="s">
        <v>3031</v>
      </c>
      <c r="D518" s="7">
        <v>55000000</v>
      </c>
      <c r="E518" s="28">
        <v>250000000</v>
      </c>
      <c r="F518" s="28"/>
      <c r="G518" s="7"/>
      <c r="H518" s="7">
        <v>55000000</v>
      </c>
      <c r="I518" s="7">
        <v>574500000</v>
      </c>
      <c r="J518" s="7">
        <f>660000000+250000000</f>
        <v>910000000</v>
      </c>
      <c r="K518" s="7">
        <v>725000000</v>
      </c>
      <c r="L518" s="7">
        <v>375000000</v>
      </c>
      <c r="M518" s="6">
        <f t="shared" si="9"/>
        <v>2639500000</v>
      </c>
      <c r="N518" s="29">
        <v>43462</v>
      </c>
      <c r="O518" s="30">
        <v>44773</v>
      </c>
      <c r="P518" s="12" t="s">
        <v>3297</v>
      </c>
      <c r="Q518" s="11" t="s">
        <v>32</v>
      </c>
      <c r="R518" s="60" t="s">
        <v>1876</v>
      </c>
      <c r="S518" s="26" t="s">
        <v>3032</v>
      </c>
      <c r="T518" s="26" t="s">
        <v>1878</v>
      </c>
      <c r="U518" s="26" t="s">
        <v>2495</v>
      </c>
      <c r="V518" s="32" t="s">
        <v>1880</v>
      </c>
      <c r="W518" s="26" t="s">
        <v>28</v>
      </c>
    </row>
    <row r="519" spans="1:23" ht="84.95" customHeight="1" x14ac:dyDescent="0.2">
      <c r="A519" s="27" t="s">
        <v>3099</v>
      </c>
      <c r="B519" s="60" t="s">
        <v>2888</v>
      </c>
      <c r="C519" s="59" t="s">
        <v>3031</v>
      </c>
      <c r="D519" s="7">
        <v>12000000</v>
      </c>
      <c r="E519" s="28"/>
      <c r="F519" s="28"/>
      <c r="G519" s="7"/>
      <c r="H519" s="7">
        <v>12000000</v>
      </c>
      <c r="I519" s="7">
        <v>67000000</v>
      </c>
      <c r="J519" s="7">
        <v>69000000</v>
      </c>
      <c r="K519" s="7">
        <v>70000000</v>
      </c>
      <c r="L519" s="7">
        <v>61000000</v>
      </c>
      <c r="M519" s="6">
        <f t="shared" si="9"/>
        <v>279000000</v>
      </c>
      <c r="N519" s="29">
        <v>43462</v>
      </c>
      <c r="O519" s="30">
        <v>44773</v>
      </c>
      <c r="P519" s="12" t="s">
        <v>3140</v>
      </c>
      <c r="Q519" s="72" t="s">
        <v>32</v>
      </c>
      <c r="R519" s="60" t="s">
        <v>2889</v>
      </c>
      <c r="S519" s="26" t="s">
        <v>3105</v>
      </c>
      <c r="T519" s="26" t="s">
        <v>3100</v>
      </c>
      <c r="U519" s="26" t="s">
        <v>3101</v>
      </c>
      <c r="V519" s="64" t="s">
        <v>2893</v>
      </c>
      <c r="W519" s="26" t="s">
        <v>28</v>
      </c>
    </row>
    <row r="520" spans="1:23" ht="84.95" customHeight="1" x14ac:dyDescent="0.2">
      <c r="A520" s="27" t="s">
        <v>3033</v>
      </c>
      <c r="B520" s="60" t="s">
        <v>1377</v>
      </c>
      <c r="C520" s="59" t="s">
        <v>3031</v>
      </c>
      <c r="D520" s="7">
        <v>102700000</v>
      </c>
      <c r="E520" s="81"/>
      <c r="F520" s="81">
        <v>400000000</v>
      </c>
      <c r="G520" s="7"/>
      <c r="H520" s="7">
        <v>102700000</v>
      </c>
      <c r="I520" s="7">
        <v>995500000</v>
      </c>
      <c r="J520" s="7">
        <f>1150000000-400000000</f>
        <v>750000000</v>
      </c>
      <c r="K520" s="7">
        <v>1180000000</v>
      </c>
      <c r="L520" s="7">
        <v>608000000</v>
      </c>
      <c r="M520" s="6">
        <f t="shared" si="9"/>
        <v>3636200000</v>
      </c>
      <c r="N520" s="29">
        <v>43462</v>
      </c>
      <c r="O520" s="30">
        <v>44773</v>
      </c>
      <c r="P520" s="12" t="s">
        <v>3282</v>
      </c>
      <c r="Q520" s="72" t="s">
        <v>32</v>
      </c>
      <c r="R520" s="60" t="s">
        <v>1537</v>
      </c>
      <c r="S520" s="26" t="s">
        <v>1379</v>
      </c>
      <c r="T520" s="26" t="s">
        <v>808</v>
      </c>
      <c r="U520" s="26" t="s">
        <v>1380</v>
      </c>
      <c r="V520" s="32" t="s">
        <v>1381</v>
      </c>
      <c r="W520" s="26" t="s">
        <v>28</v>
      </c>
    </row>
    <row r="521" spans="1:23" ht="84.95" customHeight="1" x14ac:dyDescent="0.2">
      <c r="A521" s="54" t="s">
        <v>3034</v>
      </c>
      <c r="B521" s="60" t="s">
        <v>2878</v>
      </c>
      <c r="C521" s="59" t="s">
        <v>3031</v>
      </c>
      <c r="D521" s="7">
        <v>22000000</v>
      </c>
      <c r="E521" s="28"/>
      <c r="F521" s="81">
        <v>70000000</v>
      </c>
      <c r="G521" s="7"/>
      <c r="H521" s="7">
        <v>22000000</v>
      </c>
      <c r="I521" s="7">
        <v>200000000</v>
      </c>
      <c r="J521" s="7">
        <f>240000000-70000000</f>
        <v>170000000</v>
      </c>
      <c r="K521" s="7">
        <v>250000000</v>
      </c>
      <c r="L521" s="7">
        <v>100000000</v>
      </c>
      <c r="M521" s="6">
        <f t="shared" si="9"/>
        <v>742000000</v>
      </c>
      <c r="N521" s="29">
        <v>43462</v>
      </c>
      <c r="O521" s="30">
        <v>44773</v>
      </c>
      <c r="P521" s="12" t="s">
        <v>3281</v>
      </c>
      <c r="Q521" s="72" t="s">
        <v>32</v>
      </c>
      <c r="R521" s="60" t="s">
        <v>1809</v>
      </c>
      <c r="S521" s="26" t="s">
        <v>1810</v>
      </c>
      <c r="T521" s="26" t="s">
        <v>1811</v>
      </c>
      <c r="U521" s="26" t="s">
        <v>1812</v>
      </c>
      <c r="V521" s="32" t="s">
        <v>1813</v>
      </c>
      <c r="W521" s="26" t="s">
        <v>28</v>
      </c>
    </row>
    <row r="522" spans="1:23" ht="84.95" customHeight="1" x14ac:dyDescent="0.2">
      <c r="A522" s="27" t="s">
        <v>3035</v>
      </c>
      <c r="B522" s="60" t="s">
        <v>2655</v>
      </c>
      <c r="C522" s="59" t="s">
        <v>3031</v>
      </c>
      <c r="D522" s="7">
        <v>2000000</v>
      </c>
      <c r="E522" s="28">
        <v>10000000</v>
      </c>
      <c r="F522" s="28"/>
      <c r="G522" s="7"/>
      <c r="H522" s="7">
        <v>2000000</v>
      </c>
      <c r="I522" s="7">
        <v>10000000</v>
      </c>
      <c r="J522" s="7">
        <f>10000000+10000000</f>
        <v>20000000</v>
      </c>
      <c r="K522" s="7">
        <v>10000000</v>
      </c>
      <c r="L522" s="7">
        <v>9000000</v>
      </c>
      <c r="M522" s="6">
        <f t="shared" si="9"/>
        <v>51000000</v>
      </c>
      <c r="N522" s="29">
        <v>43462</v>
      </c>
      <c r="O522" s="30">
        <v>44773</v>
      </c>
      <c r="P522" s="12" t="s">
        <v>3283</v>
      </c>
      <c r="Q522" s="72" t="s">
        <v>32</v>
      </c>
      <c r="R522" s="60" t="s">
        <v>2656</v>
      </c>
      <c r="S522" s="26" t="s">
        <v>2657</v>
      </c>
      <c r="T522" s="60" t="s">
        <v>3036</v>
      </c>
      <c r="U522" s="26" t="s">
        <v>3037</v>
      </c>
      <c r="V522" s="32" t="s">
        <v>3038</v>
      </c>
      <c r="W522" s="26" t="s">
        <v>28</v>
      </c>
    </row>
    <row r="523" spans="1:23" ht="84.95" customHeight="1" x14ac:dyDescent="0.2">
      <c r="A523" s="54" t="s">
        <v>3039</v>
      </c>
      <c r="B523" s="60" t="s">
        <v>1780</v>
      </c>
      <c r="C523" s="59" t="s">
        <v>3031</v>
      </c>
      <c r="D523" s="7">
        <v>24000000</v>
      </c>
      <c r="E523" s="28"/>
      <c r="F523" s="28"/>
      <c r="G523" s="7"/>
      <c r="H523" s="7">
        <v>24000000</v>
      </c>
      <c r="I523" s="7">
        <v>240000000</v>
      </c>
      <c r="J523" s="7">
        <v>260000000</v>
      </c>
      <c r="K523" s="7">
        <v>260000000</v>
      </c>
      <c r="L523" s="7">
        <v>120000000</v>
      </c>
      <c r="M523" s="6">
        <f t="shared" si="9"/>
        <v>904000000</v>
      </c>
      <c r="N523" s="29">
        <v>43463</v>
      </c>
      <c r="O523" s="30">
        <v>44773</v>
      </c>
      <c r="P523" s="12" t="s">
        <v>2505</v>
      </c>
      <c r="Q523" s="72" t="s">
        <v>32</v>
      </c>
      <c r="R523" s="60" t="s">
        <v>1782</v>
      </c>
      <c r="S523" s="26" t="s">
        <v>1783</v>
      </c>
      <c r="T523" s="26" t="s">
        <v>1784</v>
      </c>
      <c r="U523" s="26" t="s">
        <v>3040</v>
      </c>
      <c r="V523" s="32" t="s">
        <v>1786</v>
      </c>
      <c r="W523" s="26" t="s">
        <v>28</v>
      </c>
    </row>
    <row r="524" spans="1:23" ht="84.95" customHeight="1" x14ac:dyDescent="0.2">
      <c r="A524" s="27" t="s">
        <v>3041</v>
      </c>
      <c r="B524" s="60" t="s">
        <v>3042</v>
      </c>
      <c r="C524" s="59" t="s">
        <v>3043</v>
      </c>
      <c r="D524" s="7">
        <v>20000000</v>
      </c>
      <c r="E524" s="28">
        <v>2640000000</v>
      </c>
      <c r="F524" s="28"/>
      <c r="G524" s="7"/>
      <c r="H524" s="7">
        <v>20000000</v>
      </c>
      <c r="I524" s="7">
        <v>9355031642</v>
      </c>
      <c r="J524" s="7">
        <v>6916482590</v>
      </c>
      <c r="K524" s="7">
        <v>7123977068</v>
      </c>
      <c r="L524" s="7">
        <v>4280322888</v>
      </c>
      <c r="M524" s="6">
        <f t="shared" si="9"/>
        <v>27695814188</v>
      </c>
      <c r="N524" s="29">
        <v>43465</v>
      </c>
      <c r="O524" s="30">
        <v>44773</v>
      </c>
      <c r="P524" s="12" t="s">
        <v>3298</v>
      </c>
      <c r="Q524" s="72" t="s">
        <v>32</v>
      </c>
      <c r="R524" s="60" t="s">
        <v>3044</v>
      </c>
      <c r="S524" s="26" t="s">
        <v>3045</v>
      </c>
      <c r="T524" s="26" t="s">
        <v>3046</v>
      </c>
      <c r="U524" s="26" t="s">
        <v>3047</v>
      </c>
      <c r="V524" s="32" t="s">
        <v>3048</v>
      </c>
      <c r="W524" s="26" t="s">
        <v>28</v>
      </c>
    </row>
    <row r="525" spans="1:23" ht="84.95" customHeight="1" x14ac:dyDescent="0.2">
      <c r="A525" s="27" t="s">
        <v>3049</v>
      </c>
      <c r="B525" s="60" t="s">
        <v>3050</v>
      </c>
      <c r="C525" s="59" t="s">
        <v>3043</v>
      </c>
      <c r="D525" s="7">
        <v>5000000</v>
      </c>
      <c r="E525" s="28">
        <f>160000000+50000000+50000000</f>
        <v>260000000</v>
      </c>
      <c r="F525" s="28"/>
      <c r="G525" s="7"/>
      <c r="H525" s="7">
        <v>5000000</v>
      </c>
      <c r="I525" s="7">
        <v>353422718</v>
      </c>
      <c r="J525" s="7">
        <f>364025400+50000000</f>
        <v>414025400</v>
      </c>
      <c r="K525" s="7">
        <f>374946162+50000000</f>
        <v>424946162</v>
      </c>
      <c r="L525" s="7">
        <v>225280152</v>
      </c>
      <c r="M525" s="6">
        <f t="shared" si="9"/>
        <v>1422674432</v>
      </c>
      <c r="N525" s="29">
        <v>43465</v>
      </c>
      <c r="O525" s="30">
        <v>44773</v>
      </c>
      <c r="P525" s="12" t="s">
        <v>3298</v>
      </c>
      <c r="Q525" s="13" t="s">
        <v>56</v>
      </c>
      <c r="R525" s="60" t="s">
        <v>3051</v>
      </c>
      <c r="S525" s="26" t="s">
        <v>3052</v>
      </c>
      <c r="T525" s="26" t="s">
        <v>3053</v>
      </c>
      <c r="U525" s="26" t="s">
        <v>3054</v>
      </c>
      <c r="V525" s="32" t="s">
        <v>3055</v>
      </c>
      <c r="W525" s="26" t="s">
        <v>28</v>
      </c>
    </row>
    <row r="526" spans="1:23" ht="84.95" hidden="1" customHeight="1" x14ac:dyDescent="0.2">
      <c r="A526" s="27" t="s">
        <v>3097</v>
      </c>
      <c r="B526" s="60" t="s">
        <v>1306</v>
      </c>
      <c r="C526" s="59" t="s">
        <v>3366</v>
      </c>
      <c r="D526" s="7">
        <v>3414320</v>
      </c>
      <c r="E526" s="28"/>
      <c r="F526" s="28"/>
      <c r="G526" s="7"/>
      <c r="H526" s="7">
        <v>3414320</v>
      </c>
      <c r="I526" s="7">
        <v>171336040</v>
      </c>
      <c r="J526" s="7">
        <f>86934050-744280</f>
        <v>86189770</v>
      </c>
      <c r="K526" s="93">
        <v>0</v>
      </c>
      <c r="L526" s="93">
        <v>0</v>
      </c>
      <c r="M526" s="6">
        <f t="shared" si="9"/>
        <v>260940130</v>
      </c>
      <c r="N526" s="29">
        <v>43462</v>
      </c>
      <c r="O526" s="30">
        <v>44196</v>
      </c>
      <c r="P526" s="12" t="s">
        <v>2694</v>
      </c>
      <c r="Q526" s="11" t="s">
        <v>32</v>
      </c>
      <c r="R526" s="60" t="s">
        <v>1308</v>
      </c>
      <c r="S526" s="26" t="s">
        <v>3098</v>
      </c>
      <c r="T526" s="26" t="s">
        <v>1310</v>
      </c>
      <c r="U526" s="26" t="s">
        <v>1311</v>
      </c>
      <c r="V526" s="64" t="s">
        <v>1312</v>
      </c>
      <c r="W526" s="26" t="s">
        <v>28</v>
      </c>
    </row>
    <row r="527" spans="1:23" ht="84.95" customHeight="1" x14ac:dyDescent="0.2">
      <c r="A527" s="27" t="s">
        <v>3056</v>
      </c>
      <c r="B527" s="60" t="s">
        <v>3057</v>
      </c>
      <c r="C527" s="59" t="s">
        <v>3058</v>
      </c>
      <c r="D527" s="7">
        <v>34000000</v>
      </c>
      <c r="E527" s="28"/>
      <c r="F527" s="28"/>
      <c r="G527" s="7"/>
      <c r="H527" s="7">
        <v>34000000</v>
      </c>
      <c r="I527" s="7">
        <v>734112000</v>
      </c>
      <c r="J527" s="7">
        <v>756135360</v>
      </c>
      <c r="K527" s="7">
        <v>778819420</v>
      </c>
      <c r="L527" s="7">
        <v>467940669</v>
      </c>
      <c r="M527" s="6">
        <f t="shared" si="9"/>
        <v>2771007449</v>
      </c>
      <c r="N527" s="29">
        <v>43463</v>
      </c>
      <c r="O527" s="30">
        <v>44773</v>
      </c>
      <c r="P527" s="12" t="s">
        <v>3362</v>
      </c>
      <c r="Q527" s="11" t="s">
        <v>32</v>
      </c>
      <c r="R527" s="60" t="s">
        <v>3059</v>
      </c>
      <c r="S527" s="26" t="s">
        <v>3060</v>
      </c>
      <c r="T527" s="26" t="s">
        <v>3061</v>
      </c>
      <c r="U527" s="26" t="s">
        <v>3062</v>
      </c>
      <c r="V527" s="32" t="s">
        <v>3063</v>
      </c>
      <c r="W527" s="26" t="s">
        <v>28</v>
      </c>
    </row>
  </sheetData>
  <autoFilter ref="A2:W527">
    <filterColumn colId="14">
      <filters>
        <dateGroupItem year="2022" dateTimeGrouping="year"/>
        <dateGroupItem year="2021" month="7" dateTimeGrouping="month"/>
        <dateGroupItem year="2021" month="12" dateTimeGrouping="month"/>
      </filters>
    </filterColumn>
  </autoFilter>
  <mergeCells count="9">
    <mergeCell ref="R1:W1"/>
    <mergeCell ref="P1:P2"/>
    <mergeCell ref="Q1:Q2"/>
    <mergeCell ref="N1:O1"/>
    <mergeCell ref="A1:A2"/>
    <mergeCell ref="B1:B2"/>
    <mergeCell ref="C1:C2"/>
    <mergeCell ref="D1:G1"/>
    <mergeCell ref="H1:L1"/>
  </mergeCells>
  <hyperlinks>
    <hyperlink ref="V12" r:id="rId1"/>
    <hyperlink ref="V10" r:id="rId2"/>
    <hyperlink ref="V3" r:id="rId3"/>
    <hyperlink ref="V5" r:id="rId4"/>
    <hyperlink ref="V4" r:id="rId5"/>
    <hyperlink ref="V13" r:id="rId6"/>
    <hyperlink ref="V11" r:id="rId7"/>
    <hyperlink ref="V9" r:id="rId8"/>
    <hyperlink ref="V6" r:id="rId9"/>
    <hyperlink ref="V20" r:id="rId10"/>
    <hyperlink ref="V24" r:id="rId11"/>
    <hyperlink ref="V83" r:id="rId12"/>
    <hyperlink ref="V196" r:id="rId13"/>
    <hyperlink ref="V201" r:id="rId14"/>
    <hyperlink ref="V202" r:id="rId15"/>
    <hyperlink ref="V208" r:id="rId16"/>
    <hyperlink ref="V213" r:id="rId17"/>
    <hyperlink ref="V212" r:id="rId18"/>
    <hyperlink ref="V211" r:id="rId19"/>
    <hyperlink ref="V210" r:id="rId20"/>
    <hyperlink ref="V177" r:id="rId21"/>
    <hyperlink ref="V179" r:id="rId22"/>
    <hyperlink ref="V180" r:id="rId23"/>
    <hyperlink ref="V181" r:id="rId24"/>
    <hyperlink ref="V182" r:id="rId25"/>
    <hyperlink ref="V183" r:id="rId26"/>
    <hyperlink ref="V184" r:id="rId27"/>
    <hyperlink ref="V185" r:id="rId28"/>
    <hyperlink ref="V186" r:id="rId29"/>
    <hyperlink ref="V187" r:id="rId30"/>
    <hyperlink ref="V188" r:id="rId31"/>
    <hyperlink ref="V189" r:id="rId32"/>
    <hyperlink ref="V190" r:id="rId33"/>
    <hyperlink ref="V191" r:id="rId34"/>
    <hyperlink ref="V192" r:id="rId35"/>
    <hyperlink ref="V205" r:id="rId36"/>
    <hyperlink ref="V178" r:id="rId37"/>
    <hyperlink ref="V217" r:id="rId38"/>
    <hyperlink ref="V218" r:id="rId39"/>
    <hyperlink ref="V219" r:id="rId40"/>
    <hyperlink ref="V220" r:id="rId41"/>
    <hyperlink ref="V221" r:id="rId42"/>
    <hyperlink ref="V216" r:id="rId43"/>
    <hyperlink ref="V197" r:id="rId44"/>
    <hyperlink ref="V206" r:id="rId45"/>
    <hyperlink ref="V214" r:id="rId46"/>
    <hyperlink ref="V209" r:id="rId47"/>
    <hyperlink ref="V222" r:id="rId48"/>
    <hyperlink ref="V223" r:id="rId49"/>
    <hyperlink ref="V226" r:id="rId50"/>
    <hyperlink ref="V198" r:id="rId51"/>
    <hyperlink ref="V7" r:id="rId52"/>
    <hyperlink ref="V8" r:id="rId53"/>
    <hyperlink ref="V14" r:id="rId54"/>
    <hyperlink ref="V15" r:id="rId55"/>
    <hyperlink ref="V16" r:id="rId56"/>
    <hyperlink ref="V17" r:id="rId57"/>
    <hyperlink ref="V18" r:id="rId58"/>
    <hyperlink ref="V19" r:id="rId59"/>
    <hyperlink ref="V21" r:id="rId60"/>
    <hyperlink ref="V22" r:id="rId61"/>
    <hyperlink ref="V23" r:id="rId62"/>
    <hyperlink ref="V25" r:id="rId63"/>
    <hyperlink ref="V26" r:id="rId64"/>
    <hyperlink ref="V27" r:id="rId65"/>
    <hyperlink ref="V28" r:id="rId66"/>
    <hyperlink ref="V29" r:id="rId67"/>
    <hyperlink ref="V30" r:id="rId68"/>
    <hyperlink ref="V31" r:id="rId69"/>
    <hyperlink ref="V32" r:id="rId70"/>
    <hyperlink ref="V33" r:id="rId71"/>
    <hyperlink ref="V34" r:id="rId72"/>
    <hyperlink ref="V35" r:id="rId73"/>
    <hyperlink ref="V36" r:id="rId74"/>
    <hyperlink ref="V37" r:id="rId75"/>
    <hyperlink ref="V38" r:id="rId76"/>
    <hyperlink ref="V39" r:id="rId77"/>
    <hyperlink ref="V40" r:id="rId78"/>
    <hyperlink ref="V41" r:id="rId79"/>
    <hyperlink ref="V42" r:id="rId80"/>
    <hyperlink ref="V43" r:id="rId81"/>
    <hyperlink ref="V224" r:id="rId82"/>
    <hyperlink ref="V225" r:id="rId83"/>
    <hyperlink ref="V234" r:id="rId84"/>
    <hyperlink ref="V228" r:id="rId85"/>
    <hyperlink ref="V227" r:id="rId86"/>
    <hyperlink ref="V229" r:id="rId87"/>
    <hyperlink ref="V233" r:id="rId88"/>
    <hyperlink ref="V231" r:id="rId89"/>
    <hyperlink ref="V236" r:id="rId90"/>
    <hyperlink ref="V238" r:id="rId91"/>
    <hyperlink ref="V207" r:id="rId92"/>
    <hyperlink ref="V232" r:id="rId93"/>
    <hyperlink ref="V230" r:id="rId94"/>
    <hyperlink ref="V215" r:id="rId95"/>
    <hyperlink ref="V200" r:id="rId96"/>
    <hyperlink ref="V239" r:id="rId97"/>
    <hyperlink ref="V240" r:id="rId98"/>
    <hyperlink ref="V241" r:id="rId99"/>
    <hyperlink ref="V193" r:id="rId100"/>
    <hyperlink ref="V194" r:id="rId101"/>
    <hyperlink ref="V195" r:id="rId102"/>
    <hyperlink ref="V244" r:id="rId103"/>
    <hyperlink ref="V245" r:id="rId104"/>
    <hyperlink ref="V246" r:id="rId105"/>
    <hyperlink ref="V247" r:id="rId106"/>
    <hyperlink ref="V203" r:id="rId107"/>
    <hyperlink ref="V44" r:id="rId108"/>
    <hyperlink ref="V45" r:id="rId109"/>
    <hyperlink ref="V46" r:id="rId110"/>
    <hyperlink ref="V47" r:id="rId111"/>
    <hyperlink ref="V48" r:id="rId112"/>
    <hyperlink ref="V49" r:id="rId113"/>
    <hyperlink ref="V50" r:id="rId114"/>
    <hyperlink ref="V51" r:id="rId115"/>
    <hyperlink ref="V52" r:id="rId116"/>
    <hyperlink ref="V53" r:id="rId117"/>
    <hyperlink ref="V54" r:id="rId118"/>
    <hyperlink ref="V55" r:id="rId119"/>
    <hyperlink ref="V56" r:id="rId120"/>
    <hyperlink ref="V57" r:id="rId121"/>
    <hyperlink ref="V58" r:id="rId122"/>
    <hyperlink ref="V59" r:id="rId123"/>
    <hyperlink ref="V60" r:id="rId124"/>
    <hyperlink ref="V61" r:id="rId125"/>
    <hyperlink ref="V62" r:id="rId126"/>
    <hyperlink ref="V63" r:id="rId127"/>
    <hyperlink ref="V64" r:id="rId128"/>
    <hyperlink ref="V65" r:id="rId129"/>
    <hyperlink ref="V66" r:id="rId130"/>
    <hyperlink ref="V67" r:id="rId131"/>
    <hyperlink ref="V68" r:id="rId132"/>
    <hyperlink ref="V69" r:id="rId133"/>
    <hyperlink ref="V70" r:id="rId134"/>
    <hyperlink ref="V71" r:id="rId135"/>
    <hyperlink ref="V72" r:id="rId136"/>
    <hyperlink ref="V73" r:id="rId137"/>
    <hyperlink ref="V74" r:id="rId138"/>
    <hyperlink ref="V75" r:id="rId139"/>
    <hyperlink ref="V76" r:id="rId140"/>
    <hyperlink ref="V77" r:id="rId141"/>
    <hyperlink ref="V78" r:id="rId142"/>
    <hyperlink ref="V79" r:id="rId143"/>
    <hyperlink ref="V80" r:id="rId144"/>
    <hyperlink ref="V81" r:id="rId145"/>
    <hyperlink ref="V82" r:id="rId146"/>
    <hyperlink ref="V84" r:id="rId147"/>
    <hyperlink ref="V85" r:id="rId148"/>
    <hyperlink ref="V86" r:id="rId149"/>
    <hyperlink ref="V87" r:id="rId150"/>
    <hyperlink ref="V88" r:id="rId151"/>
    <hyperlink ref="V89" r:id="rId152"/>
    <hyperlink ref="V90" r:id="rId153"/>
    <hyperlink ref="V91" r:id="rId154"/>
    <hyperlink ref="V92" r:id="rId155"/>
    <hyperlink ref="V93" r:id="rId156"/>
    <hyperlink ref="V94" r:id="rId157"/>
    <hyperlink ref="V95" r:id="rId158"/>
    <hyperlink ref="V96" r:id="rId159"/>
    <hyperlink ref="V97" r:id="rId160"/>
    <hyperlink ref="V98" r:id="rId161"/>
    <hyperlink ref="V99" r:id="rId162"/>
    <hyperlink ref="V100" r:id="rId163"/>
    <hyperlink ref="V101" r:id="rId164"/>
    <hyperlink ref="V102" r:id="rId165"/>
    <hyperlink ref="V103" r:id="rId166"/>
    <hyperlink ref="V104" r:id="rId167"/>
    <hyperlink ref="V105" r:id="rId168"/>
    <hyperlink ref="V176" r:id="rId169"/>
    <hyperlink ref="V175" r:id="rId170"/>
    <hyperlink ref="V174" r:id="rId171"/>
    <hyperlink ref="V173" r:id="rId172"/>
    <hyperlink ref="V172" r:id="rId173"/>
    <hyperlink ref="V171" r:id="rId174"/>
    <hyperlink ref="V170" r:id="rId175"/>
    <hyperlink ref="V169" r:id="rId176"/>
    <hyperlink ref="V168" r:id="rId177"/>
    <hyperlink ref="V167" r:id="rId178"/>
    <hyperlink ref="V166" r:id="rId179"/>
    <hyperlink ref="V164" r:id="rId180"/>
    <hyperlink ref="V162" r:id="rId181"/>
    <hyperlink ref="V161" r:id="rId182"/>
    <hyperlink ref="V106" r:id="rId183"/>
    <hyperlink ref="V107" r:id="rId184"/>
    <hyperlink ref="V108" r:id="rId185"/>
    <hyperlink ref="V109" r:id="rId186"/>
    <hyperlink ref="V110" r:id="rId187"/>
    <hyperlink ref="V111" r:id="rId188"/>
    <hyperlink ref="V112" r:id="rId189"/>
    <hyperlink ref="V113" r:id="rId190"/>
    <hyperlink ref="V114" r:id="rId191"/>
    <hyperlink ref="V115" r:id="rId192"/>
    <hyperlink ref="V116" r:id="rId193"/>
    <hyperlink ref="V117" r:id="rId194"/>
    <hyperlink ref="V118" r:id="rId195"/>
    <hyperlink ref="V119" r:id="rId196"/>
    <hyperlink ref="V120" r:id="rId197"/>
    <hyperlink ref="V121" r:id="rId198"/>
    <hyperlink ref="V122" r:id="rId199"/>
    <hyperlink ref="V123" r:id="rId200"/>
    <hyperlink ref="V124" r:id="rId201"/>
    <hyperlink ref="V125" r:id="rId202"/>
    <hyperlink ref="V126" r:id="rId203"/>
    <hyperlink ref="V127" r:id="rId204"/>
    <hyperlink ref="V128" r:id="rId205"/>
    <hyperlink ref="V130" r:id="rId206"/>
    <hyperlink ref="V131" r:id="rId207"/>
    <hyperlink ref="V132" r:id="rId208"/>
    <hyperlink ref="V133" r:id="rId209"/>
    <hyperlink ref="V134" r:id="rId210"/>
    <hyperlink ref="V135" r:id="rId211"/>
    <hyperlink ref="V136" r:id="rId212"/>
    <hyperlink ref="V137" r:id="rId213"/>
    <hyperlink ref="V138" r:id="rId214"/>
    <hyperlink ref="V139" r:id="rId215"/>
    <hyperlink ref="V140" r:id="rId216"/>
    <hyperlink ref="V141" r:id="rId217"/>
    <hyperlink ref="V142" r:id="rId218"/>
    <hyperlink ref="V143" r:id="rId219"/>
    <hyperlink ref="V144" r:id="rId220"/>
    <hyperlink ref="V145" r:id="rId221"/>
    <hyperlink ref="V146" r:id="rId222"/>
    <hyperlink ref="V251" r:id="rId223"/>
    <hyperlink ref="V252" r:id="rId224"/>
    <hyperlink ref="V253" r:id="rId225"/>
    <hyperlink ref="V254" r:id="rId226"/>
    <hyperlink ref="V250" r:id="rId227"/>
    <hyperlink ref="V255" r:id="rId228"/>
    <hyperlink ref="V259" r:id="rId229"/>
    <hyperlink ref="V257" r:id="rId230"/>
    <hyperlink ref="V256" r:id="rId231"/>
    <hyperlink ref="V260" r:id="rId232"/>
    <hyperlink ref="V261" r:id="rId233"/>
    <hyperlink ref="V242" r:id="rId234"/>
    <hyperlink ref="V248" r:id="rId235"/>
    <hyperlink ref="V270" r:id="rId236"/>
    <hyperlink ref="V235" r:id="rId237"/>
    <hyperlink ref="V237" r:id="rId238"/>
    <hyperlink ref="V243" r:id="rId239"/>
    <hyperlink ref="V266" r:id="rId240"/>
    <hyperlink ref="V264" r:id="rId241"/>
    <hyperlink ref="V263" r:id="rId242"/>
    <hyperlink ref="V262" r:id="rId243"/>
    <hyperlink ref="V265" r:id="rId244"/>
    <hyperlink ref="V249" r:id="rId245"/>
    <hyperlink ref="V272" r:id="rId246"/>
    <hyperlink ref="V267" r:id="rId247"/>
    <hyperlink ref="V279" r:id="rId248"/>
    <hyperlink ref="V275" r:id="rId249"/>
    <hyperlink ref="V278" r:id="rId250"/>
    <hyperlink ref="V269" r:id="rId251"/>
    <hyperlink ref="V268" r:id="rId252"/>
    <hyperlink ref="V271" r:id="rId253"/>
    <hyperlink ref="V274" r:id="rId254"/>
    <hyperlink ref="V276" r:id="rId255"/>
    <hyperlink ref="V277" r:id="rId256"/>
    <hyperlink ref="V289" r:id="rId257"/>
    <hyperlink ref="V291" r:id="rId258"/>
    <hyperlink ref="V292" r:id="rId259"/>
    <hyperlink ref="V293" r:id="rId260"/>
    <hyperlink ref="V294" r:id="rId261"/>
    <hyperlink ref="V281" r:id="rId262"/>
    <hyperlink ref="V282" r:id="rId263"/>
    <hyperlink ref="V283" r:id="rId264"/>
    <hyperlink ref="V296" r:id="rId265"/>
    <hyperlink ref="V290" r:id="rId266"/>
    <hyperlink ref="V286" r:id="rId267"/>
    <hyperlink ref="V284" r:id="rId268"/>
    <hyperlink ref="V280" r:id="rId269"/>
    <hyperlink ref="V295" r:id="rId270"/>
    <hyperlink ref="V300" r:id="rId271"/>
    <hyperlink ref="V301" r:id="rId272"/>
    <hyperlink ref="V304" r:id="rId273"/>
    <hyperlink ref="V297" r:id="rId274"/>
    <hyperlink ref="V298" r:id="rId275"/>
    <hyperlink ref="V299" r:id="rId276"/>
    <hyperlink ref="V285" r:id="rId277"/>
    <hyperlink ref="V302" r:id="rId278"/>
    <hyperlink ref="V305" r:id="rId279"/>
    <hyperlink ref="V307" r:id="rId280"/>
    <hyperlink ref="V310" r:id="rId281"/>
    <hyperlink ref="V147" r:id="rId282"/>
    <hyperlink ref="V148" r:id="rId283"/>
    <hyperlink ref="V149" r:id="rId284"/>
    <hyperlink ref="V150" r:id="rId285"/>
    <hyperlink ref="V151" r:id="rId286"/>
    <hyperlink ref="V152" r:id="rId287"/>
    <hyperlink ref="V153" r:id="rId288"/>
    <hyperlink ref="V154" r:id="rId289"/>
    <hyperlink ref="V155" r:id="rId290"/>
    <hyperlink ref="V156" r:id="rId291"/>
    <hyperlink ref="V157" r:id="rId292"/>
    <hyperlink ref="V158" r:id="rId293"/>
    <hyperlink ref="V159" r:id="rId294"/>
    <hyperlink ref="V160" r:id="rId295"/>
    <hyperlink ref="V163" r:id="rId296"/>
    <hyperlink ref="V165" r:id="rId297"/>
    <hyperlink ref="V320" r:id="rId298"/>
    <hyperlink ref="V319" r:id="rId299"/>
    <hyperlink ref="V318" r:id="rId300"/>
    <hyperlink ref="V324" r:id="rId301"/>
    <hyperlink ref="V372" r:id="rId302"/>
    <hyperlink ref="V323" r:id="rId303"/>
    <hyperlink ref="V316" r:id="rId304"/>
    <hyperlink ref="V384" r:id="rId305"/>
    <hyperlink ref="V376" r:id="rId306"/>
    <hyperlink ref="V380" r:id="rId307"/>
    <hyperlink ref="V395" r:id="rId308"/>
    <hyperlink ref="V383" r:id="rId309"/>
    <hyperlink ref="V387" r:id="rId310"/>
    <hyperlink ref="V391" r:id="rId311"/>
    <hyperlink ref="V381" r:id="rId312"/>
    <hyperlink ref="V375" r:id="rId313"/>
    <hyperlink ref="V454" r:id="rId314"/>
    <hyperlink ref="V453" r:id="rId315"/>
    <hyperlink ref="V411" r:id="rId316"/>
    <hyperlink ref="V406" r:id="rId317"/>
    <hyperlink ref="V416" r:id="rId318"/>
    <hyperlink ref="V417" r:id="rId319"/>
    <hyperlink ref="V418" r:id="rId320"/>
    <hyperlink ref="V426" r:id="rId321"/>
    <hyperlink ref="V427" r:id="rId322"/>
    <hyperlink ref="V428" r:id="rId323"/>
    <hyperlink ref="V370" r:id="rId324"/>
    <hyperlink ref="V410" r:id="rId325"/>
    <hyperlink ref="V450" r:id="rId326"/>
    <hyperlink ref="V437" r:id="rId327"/>
    <hyperlink ref="V407" r:id="rId328"/>
    <hyperlink ref="V377" r:id="rId329"/>
    <hyperlink ref="V332" r:id="rId330"/>
    <hyperlink ref="V327" r:id="rId331"/>
    <hyperlink ref="V333" r:id="rId332"/>
    <hyperlink ref="V331" r:id="rId333"/>
    <hyperlink ref="V330" r:id="rId334"/>
    <hyperlink ref="V328" r:id="rId335"/>
    <hyperlink ref="V326" r:id="rId336"/>
    <hyperlink ref="V334" r:id="rId337" display="mna051@hotmail.com"/>
    <hyperlink ref="V336" r:id="rId338"/>
    <hyperlink ref="V337" r:id="rId339"/>
    <hyperlink ref="V338" r:id="rId340"/>
    <hyperlink ref="V339" r:id="rId341"/>
    <hyperlink ref="V340" r:id="rId342"/>
    <hyperlink ref="V341" r:id="rId343"/>
    <hyperlink ref="V343" r:id="rId344"/>
    <hyperlink ref="V344" r:id="rId345"/>
    <hyperlink ref="V346" r:id="rId346"/>
    <hyperlink ref="V347" r:id="rId347"/>
    <hyperlink ref="V348" r:id="rId348"/>
    <hyperlink ref="V349" r:id="rId349"/>
    <hyperlink ref="V350" r:id="rId350"/>
    <hyperlink ref="V351" r:id="rId351"/>
    <hyperlink ref="V352" r:id="rId352"/>
    <hyperlink ref="V353" r:id="rId353"/>
    <hyperlink ref="V356" r:id="rId354"/>
    <hyperlink ref="V322" r:id="rId355"/>
    <hyperlink ref="V357" r:id="rId356"/>
    <hyperlink ref="V360" r:id="rId357"/>
    <hyperlink ref="V363" r:id="rId358"/>
    <hyperlink ref="V414" r:id="rId359"/>
    <hyperlink ref="V458" r:id="rId360"/>
    <hyperlink ref="V457" r:id="rId361"/>
    <hyperlink ref="V436" r:id="rId362"/>
    <hyperlink ref="V447" r:id="rId363"/>
    <hyperlink ref="V439" r:id="rId364"/>
    <hyperlink ref="V365" r:id="rId365"/>
    <hyperlink ref="V366" r:id="rId366"/>
    <hyperlink ref="V367" r:id="rId367"/>
    <hyperlink ref="V373" r:id="rId368"/>
    <hyperlink ref="V385" r:id="rId369"/>
    <hyperlink ref="V386" r:id="rId370"/>
    <hyperlink ref="V398" r:id="rId371"/>
    <hyperlink ref="V399" r:id="rId372"/>
    <hyperlink ref="V400" r:id="rId373"/>
    <hyperlink ref="V401" r:id="rId374"/>
    <hyperlink ref="V402" r:id="rId375"/>
    <hyperlink ref="V404" r:id="rId376"/>
    <hyperlink ref="V405" r:id="rId377"/>
    <hyperlink ref="V409" r:id="rId378"/>
    <hyperlink ref="V435" r:id="rId379"/>
    <hyperlink ref="V440" r:id="rId380"/>
    <hyperlink ref="V441" r:id="rId381"/>
    <hyperlink ref="V443" r:id="rId382"/>
    <hyperlink ref="V444" r:id="rId383"/>
    <hyperlink ref="V445" r:id="rId384"/>
    <hyperlink ref="V446" r:id="rId385"/>
    <hyperlink ref="V448" r:id="rId386"/>
    <hyperlink ref="V452" r:id="rId387"/>
    <hyperlink ref="V455" r:id="rId388"/>
    <hyperlink ref="V456" r:id="rId389"/>
    <hyperlink ref="V459" r:id="rId390"/>
    <hyperlink ref="V460" r:id="rId391"/>
    <hyperlink ref="V461" r:id="rId392"/>
    <hyperlink ref="V462" r:id="rId393"/>
    <hyperlink ref="V463" r:id="rId394"/>
    <hyperlink ref="V464" r:id="rId395"/>
    <hyperlink ref="V470" r:id="rId396"/>
    <hyperlink ref="V471" r:id="rId397"/>
    <hyperlink ref="V472" r:id="rId398"/>
    <hyperlink ref="V474" r:id="rId399"/>
    <hyperlink ref="V475" r:id="rId400"/>
    <hyperlink ref="V476" r:id="rId401"/>
    <hyperlink ref="V477" r:id="rId402"/>
    <hyperlink ref="V478" r:id="rId403"/>
    <hyperlink ref="V479" r:id="rId404"/>
    <hyperlink ref="V480" r:id="rId405"/>
    <hyperlink ref="V481" r:id="rId406"/>
    <hyperlink ref="V482" r:id="rId407"/>
    <hyperlink ref="V483" r:id="rId408"/>
    <hyperlink ref="V484" r:id="rId409"/>
    <hyperlink ref="V485" r:id="rId410"/>
    <hyperlink ref="V486" r:id="rId411"/>
    <hyperlink ref="V487" r:id="rId412"/>
    <hyperlink ref="V488" r:id="rId413"/>
    <hyperlink ref="V489" r:id="rId414"/>
    <hyperlink ref="V490" r:id="rId415"/>
    <hyperlink ref="V491" r:id="rId416"/>
    <hyperlink ref="V492" r:id="rId417"/>
    <hyperlink ref="V493" r:id="rId418"/>
    <hyperlink ref="V494" r:id="rId419"/>
    <hyperlink ref="V495" r:id="rId420"/>
    <hyperlink ref="V496" r:id="rId421"/>
    <hyperlink ref="V497" r:id="rId422"/>
    <hyperlink ref="V498" r:id="rId423"/>
    <hyperlink ref="V499" r:id="rId424"/>
    <hyperlink ref="V500" r:id="rId425"/>
    <hyperlink ref="V501" r:id="rId426"/>
    <hyperlink ref="V502" r:id="rId427"/>
    <hyperlink ref="V503" r:id="rId428"/>
    <hyperlink ref="V504" r:id="rId429"/>
    <hyperlink ref="V505" r:id="rId430"/>
    <hyperlink ref="V506" r:id="rId431"/>
    <hyperlink ref="V507" r:id="rId432"/>
    <hyperlink ref="V508" r:id="rId433"/>
    <hyperlink ref="V509" r:id="rId434"/>
    <hyperlink ref="V510" r:id="rId435"/>
    <hyperlink ref="V511" r:id="rId436"/>
    <hyperlink ref="V512" r:id="rId437"/>
    <hyperlink ref="V514" r:id="rId438"/>
    <hyperlink ref="V515" r:id="rId439"/>
    <hyperlink ref="V516" r:id="rId440"/>
    <hyperlink ref="V517" r:id="rId441"/>
    <hyperlink ref="V518" r:id="rId442"/>
    <hyperlink ref="V520" r:id="rId443"/>
    <hyperlink ref="V521" r:id="rId444"/>
    <hyperlink ref="V522" r:id="rId445"/>
    <hyperlink ref="V523" r:id="rId446"/>
    <hyperlink ref="V524" r:id="rId447"/>
    <hyperlink ref="V525" r:id="rId448"/>
    <hyperlink ref="V527" r:id="rId449"/>
    <hyperlink ref="V442" r:id="rId450"/>
    <hyperlink ref="V361" r:id="rId451"/>
    <hyperlink ref="V315" r:id="rId452"/>
    <hyperlink ref="V287" r:id="rId453"/>
    <hyperlink ref="V394" r:id="rId454"/>
    <hyperlink ref="V526" r:id="rId455"/>
    <hyperlink ref="V519" r:id="rId456"/>
    <hyperlink ref="V468" r:id="rId457"/>
    <hyperlink ref="V469" r:id="rId458"/>
    <hyperlink ref="V466" r:id="rId459"/>
    <hyperlink ref="V465" r:id="rId460"/>
    <hyperlink ref="V467" r:id="rId461"/>
    <hyperlink ref="V397" r:id="rId462"/>
    <hyperlink ref="V317" r:id="rId463"/>
    <hyperlink ref="V396" r:id="rId464"/>
    <hyperlink ref="V413" r:id="rId465"/>
    <hyperlink ref="V362" r:id="rId466"/>
    <hyperlink ref="V408" r:id="rId467"/>
    <hyperlink ref="V199" r:id="rId468"/>
    <hyperlink ref="V258" r:id="rId469"/>
    <hyperlink ref="V309" r:id="rId470"/>
    <hyperlink ref="V311" r:id="rId471"/>
    <hyperlink ref="V312" r:id="rId472"/>
    <hyperlink ref="V313" r:id="rId473"/>
    <hyperlink ref="V314" r:id="rId474"/>
    <hyperlink ref="V325" r:id="rId475"/>
    <hyperlink ref="V329" r:id="rId476"/>
    <hyperlink ref="V335" r:id="rId477"/>
    <hyperlink ref="V342" r:id="rId478"/>
    <hyperlink ref="V345" r:id="rId479"/>
    <hyperlink ref="V354" r:id="rId480"/>
    <hyperlink ref="V355" r:id="rId481"/>
    <hyperlink ref="V358" r:id="rId482"/>
    <hyperlink ref="V359" r:id="rId483"/>
    <hyperlink ref="V364" r:id="rId484"/>
    <hyperlink ref="V368" r:id="rId485"/>
    <hyperlink ref="V369" r:id="rId486"/>
    <hyperlink ref="V371" r:id="rId487"/>
    <hyperlink ref="V374" r:id="rId488"/>
    <hyperlink ref="V378" r:id="rId489"/>
    <hyperlink ref="V379" r:id="rId490"/>
    <hyperlink ref="V388" r:id="rId491"/>
    <hyperlink ref="V389" r:id="rId492"/>
    <hyperlink ref="V390" r:id="rId493"/>
    <hyperlink ref="V403" r:id="rId494"/>
    <hyperlink ref="V415" r:id="rId495"/>
    <hyperlink ref="V419" r:id="rId496"/>
    <hyperlink ref="V420" r:id="rId497"/>
    <hyperlink ref="V421" r:id="rId498"/>
    <hyperlink ref="V422" r:id="rId499"/>
    <hyperlink ref="V423" r:id="rId500"/>
    <hyperlink ref="V424" r:id="rId501"/>
    <hyperlink ref="V425" r:id="rId502"/>
    <hyperlink ref="V429" r:id="rId503"/>
    <hyperlink ref="V430" r:id="rId504"/>
    <hyperlink ref="V431" r:id="rId505"/>
    <hyperlink ref="V432" r:id="rId506"/>
    <hyperlink ref="V433" r:id="rId507"/>
    <hyperlink ref="V434" r:id="rId508"/>
    <hyperlink ref="V438" r:id="rId509"/>
    <hyperlink ref="V451" r:id="rId510"/>
    <hyperlink ref="V273" r:id="rId511"/>
    <hyperlink ref="V306" r:id="rId512"/>
    <hyperlink ref="V473" r:id="rId513"/>
    <hyperlink ref="V308" r:id="rId514"/>
    <hyperlink ref="V382" r:id="rId515"/>
  </hyperlinks>
  <pageMargins left="0.70866141732283472" right="0.70866141732283472" top="0.74803149606299213" bottom="0.74803149606299213" header="0.31496062992125984" footer="0.31496062992125984"/>
  <pageSetup scale="50" orientation="landscape" verticalDpi="1200" r:id="rId51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2019-06-20T18:34:06Z</cp:lastPrinted>
  <dcterms:created xsi:type="dcterms:W3CDTF">2019-01-18T16:11:10Z</dcterms:created>
  <dcterms:modified xsi:type="dcterms:W3CDTF">2021-07-08T12:59:03Z</dcterms:modified>
</cp:coreProperties>
</file>