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G:\Mi unidad\HOMIL -NCR\ADMINISTRACIÓN DE RIESGOS\2025\Mapa de Riesgos 2025\"/>
    </mc:Choice>
  </mc:AlternateContent>
  <workbookProtection workbookAlgorithmName="SHA-512" workbookHashValue="Yo8Up2EGaUxSaucqiZhSUgvHohduPzfgatu2DzX0rUeM7fviz+1He0zSUIUSlVbjijHi3rl4h4mc+be2OIZaQQ==" workbookSaltValue="rJFBcJZguvqNEoCIgaVOmw==" workbookSpinCount="100000" lockStructure="1"/>
  <bookViews>
    <workbookView xWindow="0" yWindow="0" windowWidth="28800" windowHeight="12315"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xlnm._FilterDatabase" localSheetId="1" hidden="1">'Mapa final'!$A$12:$BX$248</definedName>
    <definedName name="_xlnm.Print_Area" localSheetId="1">'Mapa final'!$A$1:$AR$248</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7" r:id="rId27"/>
  </pivotCaches>
</workbook>
</file>

<file path=xl/calcChain.xml><?xml version="1.0" encoding="utf-8"?>
<calcChain xmlns="http://schemas.openxmlformats.org/spreadsheetml/2006/main">
  <c r="AB105" i="1" l="1"/>
  <c r="Y105" i="1"/>
  <c r="P105" i="1"/>
  <c r="Q105" i="1" s="1"/>
  <c r="AF105" i="1" l="1"/>
  <c r="AG105" i="1" s="1"/>
  <c r="AB42" i="1"/>
  <c r="Y42" i="1"/>
  <c r="P42" i="1"/>
  <c r="Q42" i="1" s="1"/>
  <c r="AH105" i="1" l="1"/>
  <c r="AF42" i="1"/>
  <c r="AH42" i="1" s="1"/>
  <c r="AG42" i="1" l="1"/>
  <c r="P80" i="1" l="1"/>
  <c r="Q80" i="1" s="1"/>
  <c r="Y100" i="1" l="1"/>
  <c r="AB100" i="1"/>
  <c r="B12" i="22" l="1"/>
  <c r="C39" i="25" l="1"/>
  <c r="B39" i="25"/>
  <c r="C36" i="25"/>
  <c r="B36" i="25"/>
  <c r="C33" i="25"/>
  <c r="B33" i="25"/>
  <c r="C30" i="25"/>
  <c r="B30" i="25"/>
  <c r="C27" i="25"/>
  <c r="B27" i="25"/>
  <c r="C24" i="25"/>
  <c r="B24" i="25"/>
  <c r="C21" i="25"/>
  <c r="B21" i="25"/>
  <c r="C18" i="25"/>
  <c r="B18" i="25"/>
  <c r="C15" i="25"/>
  <c r="B15" i="25"/>
  <c r="C12" i="25"/>
  <c r="B12" i="25"/>
  <c r="C39" i="24"/>
  <c r="B39" i="24"/>
  <c r="C36" i="24"/>
  <c r="B36" i="24"/>
  <c r="C33" i="24"/>
  <c r="B33" i="24"/>
  <c r="C30" i="24"/>
  <c r="B30" i="24"/>
  <c r="C27" i="24"/>
  <c r="B27" i="24"/>
  <c r="C24" i="24"/>
  <c r="B24" i="24"/>
  <c r="C21" i="24"/>
  <c r="B21" i="24"/>
  <c r="C18" i="24"/>
  <c r="B18" i="24"/>
  <c r="C15" i="24"/>
  <c r="B15" i="24"/>
  <c r="C12" i="24"/>
  <c r="B12" i="24"/>
  <c r="C39" i="23"/>
  <c r="B39" i="23"/>
  <c r="C36" i="23"/>
  <c r="B36" i="23"/>
  <c r="C33" i="23"/>
  <c r="B33" i="23"/>
  <c r="C30" i="23"/>
  <c r="B30" i="23"/>
  <c r="C27" i="23"/>
  <c r="B27" i="23"/>
  <c r="C24" i="23"/>
  <c r="B24" i="23"/>
  <c r="C21" i="23"/>
  <c r="B21" i="23"/>
  <c r="C18" i="23"/>
  <c r="B18" i="23"/>
  <c r="C15" i="23"/>
  <c r="B15" i="23"/>
  <c r="C12" i="23"/>
  <c r="B12" i="23"/>
  <c r="C39" i="22"/>
  <c r="C36" i="22"/>
  <c r="C33" i="22"/>
  <c r="C30" i="22"/>
  <c r="C27" i="22"/>
  <c r="C24" i="22"/>
  <c r="C21" i="22"/>
  <c r="C18" i="22"/>
  <c r="C15" i="22"/>
  <c r="B39" i="22"/>
  <c r="B36" i="22"/>
  <c r="B33" i="22"/>
  <c r="B30" i="22"/>
  <c r="B27" i="22"/>
  <c r="B24" i="22"/>
  <c r="B15" i="22"/>
  <c r="B18" i="22"/>
  <c r="B21" i="22"/>
  <c r="C12" i="22"/>
  <c r="AB132" i="1" l="1"/>
  <c r="AB131" i="1"/>
  <c r="Y131" i="1"/>
  <c r="Y132" i="1"/>
  <c r="AB80" i="1"/>
  <c r="P131" i="1" l="1"/>
  <c r="Q131" i="1" s="1"/>
  <c r="AF131" i="1" s="1"/>
  <c r="AH131" i="1" s="1"/>
  <c r="AF132" i="1" s="1"/>
  <c r="AH132" i="1" s="1"/>
  <c r="S132" i="1"/>
  <c r="AG131" i="1" l="1"/>
  <c r="AG132" i="1"/>
  <c r="AB241" i="1"/>
  <c r="Y241" i="1"/>
  <c r="AB240" i="1"/>
  <c r="Y240" i="1"/>
  <c r="AB239" i="1"/>
  <c r="Y239" i="1"/>
  <c r="P239" i="1"/>
  <c r="Q239" i="1" s="1"/>
  <c r="AB238" i="1"/>
  <c r="Y238" i="1"/>
  <c r="AB237" i="1"/>
  <c r="Y237" i="1"/>
  <c r="AB236" i="1"/>
  <c r="Y236" i="1"/>
  <c r="P236" i="1"/>
  <c r="Q236" i="1" s="1"/>
  <c r="P235" i="1"/>
  <c r="Q235" i="1" s="1"/>
  <c r="Y235" i="1"/>
  <c r="AB235" i="1"/>
  <c r="S237" i="1"/>
  <c r="S241" i="1"/>
  <c r="S238" i="1"/>
  <c r="S240" i="1"/>
  <c r="AF239" i="1" l="1"/>
  <c r="AF236" i="1"/>
  <c r="AF235" i="1"/>
  <c r="AH239" i="1" l="1"/>
  <c r="AF240" i="1" s="1"/>
  <c r="AG239" i="1"/>
  <c r="AH236" i="1"/>
  <c r="AF237" i="1" s="1"/>
  <c r="AG236" i="1"/>
  <c r="AG235" i="1"/>
  <c r="AH235" i="1"/>
  <c r="AH240" i="1" l="1"/>
  <c r="AF241" i="1" s="1"/>
  <c r="AG240" i="1"/>
  <c r="AH237" i="1"/>
  <c r="AF238" i="1" s="1"/>
  <c r="AG237" i="1"/>
  <c r="AH241" i="1" l="1"/>
  <c r="AG241" i="1"/>
  <c r="AH238" i="1"/>
  <c r="AG238" i="1"/>
  <c r="Y190" i="1" l="1"/>
  <c r="Y191" i="1"/>
  <c r="Y192" i="1"/>
  <c r="Y193" i="1"/>
  <c r="Y194" i="1"/>
  <c r="Y195" i="1"/>
  <c r="AB140" i="1" l="1"/>
  <c r="AB34" i="1" l="1"/>
  <c r="AB35" i="1"/>
  <c r="AB36" i="1"/>
  <c r="AB37" i="1"/>
  <c r="Y34" i="1"/>
  <c r="AB14" i="1"/>
  <c r="AB15" i="1"/>
  <c r="AB16" i="1"/>
  <c r="AB17" i="1"/>
  <c r="AB18" i="1"/>
  <c r="AB19" i="1"/>
  <c r="AB20" i="1"/>
  <c r="AB21" i="1"/>
  <c r="AB22" i="1"/>
  <c r="AB23" i="1"/>
  <c r="AB24" i="1"/>
  <c r="AB25" i="1"/>
  <c r="AB26" i="1"/>
  <c r="AB27" i="1"/>
  <c r="AB28" i="1"/>
  <c r="AB29" i="1"/>
  <c r="AB30" i="1"/>
  <c r="AB31" i="1"/>
  <c r="AB32" i="1"/>
  <c r="AB33" i="1"/>
  <c r="AB38" i="1"/>
  <c r="AB39" i="1"/>
  <c r="AB40" i="1"/>
  <c r="AB41" i="1"/>
  <c r="AB43" i="1"/>
  <c r="AB44" i="1"/>
  <c r="AB45" i="1"/>
  <c r="AB46" i="1"/>
  <c r="AB47" i="1"/>
  <c r="AB48" i="1"/>
  <c r="AB49" i="1"/>
  <c r="AB50" i="1"/>
  <c r="AB51" i="1"/>
  <c r="AB52" i="1"/>
  <c r="AB53" i="1"/>
  <c r="AB54" i="1"/>
  <c r="AB55" i="1"/>
  <c r="AB56" i="1"/>
  <c r="AB57" i="1"/>
  <c r="AB58" i="1"/>
  <c r="AB59" i="1"/>
  <c r="AB60" i="1"/>
  <c r="AB61" i="1"/>
  <c r="AB62" i="1"/>
  <c r="AB63" i="1"/>
  <c r="AB64" i="1"/>
  <c r="AB65" i="1"/>
  <c r="AB66" i="1"/>
  <c r="AB67" i="1"/>
  <c r="AB68" i="1"/>
  <c r="AB69" i="1"/>
  <c r="AB70" i="1"/>
  <c r="AB71" i="1"/>
  <c r="AB72" i="1"/>
  <c r="AB73" i="1"/>
  <c r="AB74" i="1"/>
  <c r="AB75" i="1"/>
  <c r="AB76" i="1"/>
  <c r="AB77" i="1"/>
  <c r="AB78" i="1"/>
  <c r="AB79" i="1"/>
  <c r="AB81" i="1"/>
  <c r="AB82" i="1"/>
  <c r="AB83" i="1"/>
  <c r="AB84" i="1"/>
  <c r="AB85" i="1"/>
  <c r="AB86" i="1"/>
  <c r="AB87" i="1"/>
  <c r="AB88" i="1"/>
  <c r="AB89" i="1"/>
  <c r="AB90" i="1"/>
  <c r="AB91" i="1"/>
  <c r="AB92" i="1"/>
  <c r="AB93" i="1"/>
  <c r="AB94" i="1"/>
  <c r="AB95" i="1"/>
  <c r="AB96" i="1"/>
  <c r="AB97" i="1"/>
  <c r="AB98" i="1"/>
  <c r="AB99" i="1"/>
  <c r="AB101" i="1"/>
  <c r="AB102" i="1"/>
  <c r="AB103" i="1"/>
  <c r="AB104" i="1"/>
  <c r="AB106" i="1"/>
  <c r="AB107" i="1"/>
  <c r="AB108" i="1"/>
  <c r="AB109" i="1"/>
  <c r="AB110" i="1"/>
  <c r="AB111" i="1"/>
  <c r="AB112" i="1"/>
  <c r="AB113" i="1"/>
  <c r="AB114" i="1"/>
  <c r="AB115" i="1"/>
  <c r="AB116" i="1"/>
  <c r="AB117" i="1"/>
  <c r="AB118" i="1"/>
  <c r="AB119" i="1"/>
  <c r="AB120" i="1"/>
  <c r="AB121" i="1"/>
  <c r="AB122" i="1"/>
  <c r="AB123" i="1"/>
  <c r="AB124" i="1"/>
  <c r="AB125" i="1"/>
  <c r="AB126" i="1"/>
  <c r="AB127" i="1"/>
  <c r="AB128" i="1"/>
  <c r="AB129" i="1"/>
  <c r="AB130" i="1"/>
  <c r="AB133" i="1"/>
  <c r="AB134" i="1"/>
  <c r="AB135" i="1"/>
  <c r="AB136" i="1"/>
  <c r="AB137" i="1"/>
  <c r="AB138" i="1"/>
  <c r="AB139" i="1"/>
  <c r="AB141" i="1"/>
  <c r="AB142" i="1"/>
  <c r="AB143" i="1"/>
  <c r="AB144" i="1"/>
  <c r="AB145" i="1"/>
  <c r="AB146" i="1"/>
  <c r="AB147" i="1"/>
  <c r="AB148" i="1"/>
  <c r="AB149" i="1"/>
  <c r="AB150" i="1"/>
  <c r="AB151" i="1"/>
  <c r="AB152" i="1"/>
  <c r="AB153" i="1"/>
  <c r="AB154" i="1"/>
  <c r="AB155" i="1"/>
  <c r="AB156" i="1"/>
  <c r="AB157" i="1"/>
  <c r="AB158" i="1"/>
  <c r="AB159" i="1"/>
  <c r="AB160" i="1"/>
  <c r="AB161" i="1"/>
  <c r="AB162" i="1"/>
  <c r="AB163" i="1"/>
  <c r="AB164" i="1"/>
  <c r="AB165" i="1"/>
  <c r="AB166" i="1"/>
  <c r="AB167" i="1"/>
  <c r="AB168" i="1"/>
  <c r="AB169" i="1"/>
  <c r="AB170" i="1"/>
  <c r="AB171" i="1"/>
  <c r="AB172" i="1"/>
  <c r="AB173" i="1"/>
  <c r="AB174" i="1"/>
  <c r="AB175" i="1"/>
  <c r="AB176" i="1"/>
  <c r="AB177" i="1"/>
  <c r="AB178" i="1"/>
  <c r="AB179" i="1"/>
  <c r="AB180" i="1"/>
  <c r="AB181" i="1"/>
  <c r="AB182" i="1"/>
  <c r="AB183" i="1"/>
  <c r="AB184" i="1"/>
  <c r="AB185" i="1"/>
  <c r="AB186" i="1"/>
  <c r="AB187" i="1"/>
  <c r="AB188" i="1"/>
  <c r="AB189" i="1"/>
  <c r="AB190" i="1"/>
  <c r="AB191" i="1"/>
  <c r="AB192" i="1"/>
  <c r="AB193" i="1"/>
  <c r="AB194" i="1"/>
  <c r="AB195" i="1"/>
  <c r="AB196" i="1"/>
  <c r="AB197" i="1"/>
  <c r="AB198" i="1"/>
  <c r="AB199" i="1"/>
  <c r="AB200" i="1"/>
  <c r="AB201" i="1"/>
  <c r="AB202" i="1"/>
  <c r="AB203" i="1"/>
  <c r="AB204" i="1"/>
  <c r="AB205" i="1"/>
  <c r="AB206" i="1"/>
  <c r="AB207" i="1"/>
  <c r="AB208" i="1"/>
  <c r="AB209" i="1"/>
  <c r="AB210" i="1"/>
  <c r="AB211" i="1"/>
  <c r="AB212" i="1"/>
  <c r="AB213" i="1"/>
  <c r="AB214" i="1"/>
  <c r="AB215" i="1"/>
  <c r="AB216" i="1"/>
  <c r="AB217" i="1"/>
  <c r="AB218" i="1"/>
  <c r="AB219" i="1"/>
  <c r="AB220" i="1"/>
  <c r="AB221" i="1"/>
  <c r="AB222" i="1"/>
  <c r="AB223" i="1"/>
  <c r="AB224" i="1"/>
  <c r="AB225" i="1"/>
  <c r="AB226" i="1"/>
  <c r="AB227" i="1"/>
  <c r="AB228" i="1"/>
  <c r="AB229" i="1"/>
  <c r="AB230" i="1"/>
  <c r="AB231" i="1"/>
  <c r="AB232" i="1"/>
  <c r="AB233" i="1"/>
  <c r="AB234" i="1"/>
  <c r="AB242" i="1"/>
  <c r="AB243" i="1"/>
  <c r="AB244" i="1"/>
  <c r="AB245" i="1"/>
  <c r="AB246" i="1"/>
  <c r="AB247" i="1"/>
  <c r="P193" i="1" l="1"/>
  <c r="Q193" i="1" s="1"/>
  <c r="AF193" i="1" s="1"/>
  <c r="AH193" i="1" s="1"/>
  <c r="AF194" i="1" s="1"/>
  <c r="AH194" i="1" s="1"/>
  <c r="AF195" i="1" s="1"/>
  <c r="AH195" i="1" s="1"/>
  <c r="P190" i="1"/>
  <c r="Q190" i="1" s="1"/>
  <c r="AF190" i="1" s="1"/>
  <c r="AH190" i="1" s="1"/>
  <c r="AF191" i="1" s="1"/>
  <c r="AH191" i="1" s="1"/>
  <c r="AF192" i="1" s="1"/>
  <c r="AH192" i="1" s="1"/>
  <c r="S194" i="1"/>
  <c r="S195" i="1"/>
  <c r="S191" i="1"/>
  <c r="S192" i="1"/>
  <c r="AG193" i="1" l="1"/>
  <c r="AG195" i="1"/>
  <c r="AG191" i="1"/>
  <c r="AG192" i="1"/>
  <c r="AG190" i="1"/>
  <c r="AG194" i="1"/>
  <c r="P128" i="1" l="1"/>
  <c r="Q128" i="1" s="1"/>
  <c r="P127" i="1"/>
  <c r="Y130" i="1"/>
  <c r="Y129" i="1"/>
  <c r="Y128" i="1"/>
  <c r="Y127" i="1"/>
  <c r="S130" i="1"/>
  <c r="S129" i="1"/>
  <c r="Q127" i="1" l="1"/>
  <c r="AF127" i="1" s="1"/>
  <c r="AH127" i="1" s="1"/>
  <c r="AF128" i="1"/>
  <c r="Y246" i="1"/>
  <c r="Y247" i="1"/>
  <c r="Y245" i="1"/>
  <c r="P246" i="1"/>
  <c r="Q246" i="1" s="1"/>
  <c r="P245" i="1"/>
  <c r="Q245" i="1" s="1"/>
  <c r="S247" i="1"/>
  <c r="AG127" i="1" l="1"/>
  <c r="AH128" i="1"/>
  <c r="AF129" i="1" s="1"/>
  <c r="AG128" i="1"/>
  <c r="AF246" i="1"/>
  <c r="AG246" i="1" s="1"/>
  <c r="AF245" i="1"/>
  <c r="AG245" i="1" s="1"/>
  <c r="AH129" i="1" l="1"/>
  <c r="AF130" i="1" s="1"/>
  <c r="AG129" i="1"/>
  <c r="AH246" i="1"/>
  <c r="AF247" i="1" s="1"/>
  <c r="AH245" i="1"/>
  <c r="AH130" i="1" l="1"/>
  <c r="AG130" i="1"/>
  <c r="AG247" i="1"/>
  <c r="AH247" i="1"/>
  <c r="Y168" i="1" l="1"/>
  <c r="Y169" i="1"/>
  <c r="Y170" i="1"/>
  <c r="Y156" i="1" l="1"/>
  <c r="Y157" i="1"/>
  <c r="Y84" i="1" l="1"/>
  <c r="Y52" i="1" l="1"/>
  <c r="Y53" i="1"/>
  <c r="Y54" i="1"/>
  <c r="AJ52" i="1" l="1"/>
  <c r="AI52" i="1" s="1"/>
  <c r="AJ53" i="1" l="1"/>
  <c r="AI53" i="1" l="1"/>
  <c r="AJ54" i="1"/>
  <c r="AI54" i="1" l="1"/>
  <c r="AB13" i="1" l="1"/>
  <c r="P13" i="1"/>
  <c r="Q13" i="1" s="1"/>
  <c r="Y13" i="1"/>
  <c r="S14" i="1"/>
  <c r="AF13" i="1" l="1"/>
  <c r="Y14" i="1"/>
  <c r="AG13" i="1" l="1"/>
  <c r="AH13" i="1"/>
  <c r="AF14" i="1" s="1"/>
  <c r="AG14" i="1" l="1"/>
  <c r="AH14" i="1"/>
  <c r="M12" i="22" l="1"/>
  <c r="L12" i="24"/>
  <c r="I12" i="22" l="1"/>
  <c r="F12" i="22" l="1"/>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P116" i="1" l="1"/>
  <c r="Q116" i="1" s="1"/>
  <c r="Y116" i="1"/>
  <c r="Y117" i="1"/>
  <c r="Y118" i="1"/>
  <c r="Y119" i="1"/>
  <c r="P120" i="1"/>
  <c r="Y120" i="1"/>
  <c r="Y121" i="1"/>
  <c r="Y122" i="1"/>
  <c r="Y123" i="1"/>
  <c r="P124" i="1"/>
  <c r="Q124" i="1" s="1"/>
  <c r="Y124" i="1"/>
  <c r="Y125" i="1"/>
  <c r="Y126" i="1"/>
  <c r="P133" i="1"/>
  <c r="Q133" i="1" s="1"/>
  <c r="Y133" i="1"/>
  <c r="Y134" i="1"/>
  <c r="P135" i="1"/>
  <c r="Q135" i="1" s="1"/>
  <c r="Y135" i="1"/>
  <c r="P136" i="1"/>
  <c r="Q136" i="1" s="1"/>
  <c r="Y136" i="1"/>
  <c r="Y137" i="1"/>
  <c r="P138" i="1"/>
  <c r="Q138" i="1" s="1"/>
  <c r="Y138" i="1"/>
  <c r="Y139" i="1"/>
  <c r="P140" i="1"/>
  <c r="Y140" i="1"/>
  <c r="P141" i="1"/>
  <c r="Q141" i="1" s="1"/>
  <c r="Y141" i="1"/>
  <c r="Y142" i="1"/>
  <c r="P143" i="1"/>
  <c r="Q143" i="1" s="1"/>
  <c r="Y143" i="1"/>
  <c r="Y144" i="1"/>
  <c r="P145" i="1"/>
  <c r="Q145" i="1" s="1"/>
  <c r="Y145" i="1"/>
  <c r="Y146" i="1"/>
  <c r="P147" i="1"/>
  <c r="Q147" i="1" s="1"/>
  <c r="Y147" i="1"/>
  <c r="Y148" i="1"/>
  <c r="P149" i="1"/>
  <c r="Q149" i="1" s="1"/>
  <c r="Y149" i="1"/>
  <c r="Y150" i="1"/>
  <c r="Y151" i="1"/>
  <c r="P152" i="1"/>
  <c r="Y152" i="1"/>
  <c r="Y153" i="1"/>
  <c r="P154" i="1"/>
  <c r="Q154" i="1" s="1"/>
  <c r="Y154" i="1"/>
  <c r="Y155" i="1"/>
  <c r="P156" i="1"/>
  <c r="Q156" i="1" s="1"/>
  <c r="P158" i="1"/>
  <c r="Q158" i="1" s="1"/>
  <c r="Y158" i="1"/>
  <c r="P159" i="1"/>
  <c r="Q159" i="1" s="1"/>
  <c r="Y159" i="1"/>
  <c r="Y160" i="1"/>
  <c r="P161" i="1"/>
  <c r="Q161" i="1" s="1"/>
  <c r="Y161" i="1"/>
  <c r="Y162" i="1"/>
  <c r="Y163" i="1"/>
  <c r="Y164" i="1"/>
  <c r="P165" i="1"/>
  <c r="Q165" i="1" s="1"/>
  <c r="Y165" i="1"/>
  <c r="Y166" i="1"/>
  <c r="P167" i="1"/>
  <c r="Q167" i="1" s="1"/>
  <c r="Y167" i="1"/>
  <c r="P171" i="1"/>
  <c r="Y171" i="1"/>
  <c r="Y172" i="1"/>
  <c r="Y173" i="1"/>
  <c r="Y174" i="1"/>
  <c r="Y175" i="1"/>
  <c r="Y176" i="1"/>
  <c r="P177" i="1"/>
  <c r="Q177" i="1" s="1"/>
  <c r="Y177" i="1"/>
  <c r="Y178" i="1"/>
  <c r="Y179" i="1"/>
  <c r="P180" i="1"/>
  <c r="Q180" i="1" s="1"/>
  <c r="Y180" i="1"/>
  <c r="Y181" i="1"/>
  <c r="Y182" i="1"/>
  <c r="Y183" i="1"/>
  <c r="P184" i="1"/>
  <c r="Q184" i="1" s="1"/>
  <c r="Y184" i="1"/>
  <c r="Y185" i="1"/>
  <c r="Y186" i="1"/>
  <c r="Y187" i="1"/>
  <c r="P188" i="1"/>
  <c r="Y188" i="1"/>
  <c r="Y189" i="1"/>
  <c r="P196" i="1"/>
  <c r="Q196" i="1" s="1"/>
  <c r="Y196" i="1"/>
  <c r="Y197" i="1"/>
  <c r="Y198" i="1"/>
  <c r="P199" i="1"/>
  <c r="Q199" i="1" s="1"/>
  <c r="Y199" i="1"/>
  <c r="Y200" i="1"/>
  <c r="Y201" i="1"/>
  <c r="Y202" i="1"/>
  <c r="P203" i="1"/>
  <c r="Q203" i="1" s="1"/>
  <c r="Y203" i="1"/>
  <c r="Y204" i="1"/>
  <c r="Y205" i="1"/>
  <c r="Y206" i="1"/>
  <c r="P207" i="1"/>
  <c r="Q207" i="1" s="1"/>
  <c r="Y207" i="1"/>
  <c r="Y208" i="1"/>
  <c r="Y209" i="1"/>
  <c r="Y210" i="1"/>
  <c r="Y211" i="1"/>
  <c r="P212" i="1"/>
  <c r="Q212" i="1" s="1"/>
  <c r="Y212" i="1"/>
  <c r="Y213" i="1"/>
  <c r="P214" i="1"/>
  <c r="Q214" i="1" s="1"/>
  <c r="Y214" i="1"/>
  <c r="Y215" i="1"/>
  <c r="Y216" i="1"/>
  <c r="P217" i="1"/>
  <c r="Y217" i="1"/>
  <c r="Y218" i="1"/>
  <c r="Y219" i="1"/>
  <c r="Y220" i="1"/>
  <c r="Y221" i="1"/>
  <c r="P222" i="1"/>
  <c r="Q222" i="1" s="1"/>
  <c r="Y222" i="1"/>
  <c r="Y223" i="1"/>
  <c r="Y224" i="1"/>
  <c r="Y225" i="1"/>
  <c r="P226" i="1"/>
  <c r="Q226" i="1" s="1"/>
  <c r="Y226" i="1"/>
  <c r="P227" i="1"/>
  <c r="Q227" i="1" s="1"/>
  <c r="Y227" i="1"/>
  <c r="Y228" i="1"/>
  <c r="P229" i="1"/>
  <c r="Q229" i="1" s="1"/>
  <c r="Y229" i="1"/>
  <c r="Y230" i="1"/>
  <c r="P231" i="1"/>
  <c r="Q231" i="1" s="1"/>
  <c r="Y231" i="1"/>
  <c r="Y232" i="1"/>
  <c r="P233" i="1"/>
  <c r="Q233" i="1" s="1"/>
  <c r="Y233" i="1"/>
  <c r="Y234" i="1"/>
  <c r="P242" i="1"/>
  <c r="Q242" i="1" s="1"/>
  <c r="Y242" i="1"/>
  <c r="P243" i="1"/>
  <c r="Q243" i="1" s="1"/>
  <c r="Y243" i="1"/>
  <c r="Y244" i="1"/>
  <c r="P98" i="1"/>
  <c r="Q98" i="1" s="1"/>
  <c r="Y98" i="1"/>
  <c r="Y99" i="1"/>
  <c r="P101" i="1"/>
  <c r="Q101" i="1" s="1"/>
  <c r="Y101" i="1"/>
  <c r="Y102" i="1"/>
  <c r="P103" i="1"/>
  <c r="Q103" i="1" s="1"/>
  <c r="Y103" i="1"/>
  <c r="Y104" i="1"/>
  <c r="P106" i="1"/>
  <c r="Q106" i="1" s="1"/>
  <c r="Y106" i="1"/>
  <c r="Y107" i="1"/>
  <c r="Y108" i="1"/>
  <c r="Y109" i="1"/>
  <c r="P110" i="1"/>
  <c r="Q110" i="1" s="1"/>
  <c r="Y110" i="1"/>
  <c r="P111" i="1"/>
  <c r="Q111" i="1" s="1"/>
  <c r="Y111" i="1"/>
  <c r="P112" i="1"/>
  <c r="Q112" i="1" s="1"/>
  <c r="Y112" i="1"/>
  <c r="P113" i="1"/>
  <c r="Q113" i="1" s="1"/>
  <c r="Y113" i="1"/>
  <c r="Y114" i="1"/>
  <c r="Y115" i="1"/>
  <c r="P86" i="1"/>
  <c r="Q86" i="1" s="1"/>
  <c r="Y86" i="1"/>
  <c r="P87" i="1"/>
  <c r="Q87" i="1" s="1"/>
  <c r="Y87" i="1"/>
  <c r="Y80" i="1"/>
  <c r="P88" i="1"/>
  <c r="Q88" i="1" s="1"/>
  <c r="Y88" i="1"/>
  <c r="P89" i="1"/>
  <c r="Q89" i="1" s="1"/>
  <c r="Y89" i="1"/>
  <c r="P90" i="1"/>
  <c r="Q90" i="1" s="1"/>
  <c r="Y90" i="1"/>
  <c r="P91" i="1"/>
  <c r="Q91" i="1" s="1"/>
  <c r="Y91" i="1"/>
  <c r="Y92" i="1"/>
  <c r="P93" i="1"/>
  <c r="Q93" i="1" s="1"/>
  <c r="Y93" i="1"/>
  <c r="Y94" i="1"/>
  <c r="P95" i="1"/>
  <c r="Q95" i="1" s="1"/>
  <c r="Y95" i="1"/>
  <c r="P96" i="1"/>
  <c r="Q96" i="1" s="1"/>
  <c r="Y96" i="1"/>
  <c r="Y97" i="1"/>
  <c r="P78" i="1"/>
  <c r="Q78" i="1" s="1"/>
  <c r="Y78" i="1"/>
  <c r="Y79" i="1"/>
  <c r="P81" i="1"/>
  <c r="Q81" i="1" s="1"/>
  <c r="Y81" i="1"/>
  <c r="Y82" i="1"/>
  <c r="P83" i="1"/>
  <c r="Q83" i="1" s="1"/>
  <c r="Y83" i="1"/>
  <c r="P85" i="1"/>
  <c r="Q85" i="1" s="1"/>
  <c r="Y85" i="1"/>
  <c r="P61" i="1"/>
  <c r="Q61" i="1" s="1"/>
  <c r="Y61" i="1"/>
  <c r="Y62" i="1"/>
  <c r="P63" i="1"/>
  <c r="Q63" i="1" s="1"/>
  <c r="Y63" i="1"/>
  <c r="Y64" i="1"/>
  <c r="Y65" i="1"/>
  <c r="Y66" i="1"/>
  <c r="Y67" i="1"/>
  <c r="P68" i="1"/>
  <c r="Q68" i="1" s="1"/>
  <c r="Y68" i="1"/>
  <c r="Y69" i="1"/>
  <c r="P70" i="1"/>
  <c r="Q70" i="1" s="1"/>
  <c r="Y70" i="1"/>
  <c r="Y71" i="1"/>
  <c r="P72" i="1"/>
  <c r="Q72" i="1" s="1"/>
  <c r="Y72" i="1"/>
  <c r="Y73" i="1"/>
  <c r="Y74" i="1"/>
  <c r="P75" i="1"/>
  <c r="Q75" i="1" s="1"/>
  <c r="Y75" i="1"/>
  <c r="P76" i="1"/>
  <c r="Q76" i="1" s="1"/>
  <c r="Y76" i="1"/>
  <c r="Y77" i="1"/>
  <c r="P45" i="1"/>
  <c r="Q45" i="1" s="1"/>
  <c r="Y45" i="1"/>
  <c r="P46" i="1"/>
  <c r="Q46" i="1" s="1"/>
  <c r="Y46" i="1"/>
  <c r="Y47" i="1"/>
  <c r="Y48" i="1"/>
  <c r="Y49" i="1"/>
  <c r="Y50" i="1"/>
  <c r="Y51" i="1"/>
  <c r="P55" i="1"/>
  <c r="Q55" i="1" s="1"/>
  <c r="Y55" i="1"/>
  <c r="Y56" i="1"/>
  <c r="Y57" i="1"/>
  <c r="P58" i="1"/>
  <c r="Q58" i="1" s="1"/>
  <c r="Y58" i="1"/>
  <c r="Y59" i="1"/>
  <c r="Y60" i="1"/>
  <c r="P44" i="1"/>
  <c r="Q44" i="1" s="1"/>
  <c r="Y44" i="1"/>
  <c r="P43" i="1"/>
  <c r="Q43" i="1" s="1"/>
  <c r="Y20" i="1"/>
  <c r="Y21" i="1"/>
  <c r="Y22" i="1"/>
  <c r="Y23" i="1"/>
  <c r="Y24" i="1"/>
  <c r="Y25" i="1"/>
  <c r="Y26" i="1"/>
  <c r="Y27" i="1"/>
  <c r="Y28" i="1"/>
  <c r="Y29" i="1"/>
  <c r="Y30" i="1"/>
  <c r="Y31" i="1"/>
  <c r="Y32" i="1"/>
  <c r="Y33" i="1"/>
  <c r="Y35" i="1"/>
  <c r="Y36" i="1"/>
  <c r="Y37" i="1"/>
  <c r="Y38" i="1"/>
  <c r="Y39" i="1"/>
  <c r="Y40" i="1"/>
  <c r="Y41" i="1"/>
  <c r="Y43" i="1"/>
  <c r="Y15" i="1"/>
  <c r="Y16" i="1"/>
  <c r="Y17" i="1"/>
  <c r="Y18" i="1"/>
  <c r="Y19" i="1"/>
  <c r="P40" i="1"/>
  <c r="Q40" i="1" s="1"/>
  <c r="S223" i="1"/>
  <c r="S213" i="1"/>
  <c r="S92" i="1"/>
  <c r="S146" i="1"/>
  <c r="S57" i="1"/>
  <c r="S118" i="1"/>
  <c r="S73" i="1"/>
  <c r="S220" i="1"/>
  <c r="S123" i="1"/>
  <c r="S125" i="1"/>
  <c r="S115" i="1"/>
  <c r="S142" i="1"/>
  <c r="S202" i="1"/>
  <c r="S108" i="1"/>
  <c r="S94" i="1"/>
  <c r="S189" i="1"/>
  <c r="S234" i="1"/>
  <c r="S157" i="1"/>
  <c r="S137" i="1"/>
  <c r="S119" i="1"/>
  <c r="S24" i="1"/>
  <c r="S64" i="1"/>
  <c r="S32" i="1"/>
  <c r="S151" i="1"/>
  <c r="S169" i="1"/>
  <c r="S210" i="1"/>
  <c r="S114" i="1"/>
  <c r="S153" i="1"/>
  <c r="S104" i="1"/>
  <c r="S228" i="1"/>
  <c r="S102" i="1"/>
  <c r="S74" i="1"/>
  <c r="S166" i="1"/>
  <c r="S19" i="1"/>
  <c r="S168" i="1"/>
  <c r="S30" i="1"/>
  <c r="S164" i="1"/>
  <c r="S66" i="1"/>
  <c r="S205" i="1"/>
  <c r="S186" i="1"/>
  <c r="S122" i="1"/>
  <c r="S175" i="1"/>
  <c r="S39" i="1"/>
  <c r="S82" i="1"/>
  <c r="S178" i="1"/>
  <c r="S117" i="1"/>
  <c r="S77" i="1"/>
  <c r="S65" i="1"/>
  <c r="S170" i="1"/>
  <c r="S224" i="1"/>
  <c r="S211" i="1"/>
  <c r="S181" i="1"/>
  <c r="S148" i="1"/>
  <c r="S18" i="1"/>
  <c r="S67" i="1"/>
  <c r="S59" i="1"/>
  <c r="S225" i="1"/>
  <c r="S69" i="1"/>
  <c r="S209" i="1"/>
  <c r="S218" i="1"/>
  <c r="S174" i="1"/>
  <c r="S198" i="1"/>
  <c r="S176" i="1"/>
  <c r="S179" i="1"/>
  <c r="S244" i="1"/>
  <c r="S23" i="1"/>
  <c r="S155" i="1"/>
  <c r="S208" i="1"/>
  <c r="S35" i="1"/>
  <c r="S60" i="1"/>
  <c r="S144" i="1"/>
  <c r="S163" i="1"/>
  <c r="S183" i="1"/>
  <c r="S16" i="1"/>
  <c r="S200" i="1"/>
  <c r="S97" i="1"/>
  <c r="S201" i="1"/>
  <c r="S185" i="1"/>
  <c r="S215" i="1"/>
  <c r="S139" i="1"/>
  <c r="S56" i="1"/>
  <c r="S37" i="1"/>
  <c r="S230" i="1"/>
  <c r="S182" i="1"/>
  <c r="S204" i="1"/>
  <c r="S84" i="1"/>
  <c r="S34" i="1"/>
  <c r="S36" i="1"/>
  <c r="S26" i="1"/>
  <c r="S206" i="1"/>
  <c r="S41" i="1"/>
  <c r="S31" i="1"/>
  <c r="S79" i="1"/>
  <c r="S134" i="1"/>
  <c r="S109" i="1"/>
  <c r="S216" i="1"/>
  <c r="S28" i="1"/>
  <c r="S172" i="1"/>
  <c r="S187" i="1"/>
  <c r="S173" i="1"/>
  <c r="S232" i="1"/>
  <c r="S150" i="1"/>
  <c r="S107" i="1"/>
  <c r="S219" i="1"/>
  <c r="S121" i="1"/>
  <c r="S162" i="1"/>
  <c r="S126" i="1"/>
  <c r="S221" i="1"/>
  <c r="S71" i="1"/>
  <c r="S62" i="1"/>
  <c r="S197" i="1"/>
  <c r="S160" i="1"/>
  <c r="S21" i="1"/>
  <c r="AF227" i="1" l="1"/>
  <c r="AG227" i="1" s="1"/>
  <c r="AF226" i="1"/>
  <c r="AG226" i="1" s="1"/>
  <c r="AF159" i="1"/>
  <c r="AG159" i="1" s="1"/>
  <c r="AF229" i="1"/>
  <c r="AG229" i="1" s="1"/>
  <c r="AF207" i="1"/>
  <c r="AH207" i="1" s="1"/>
  <c r="AF208" i="1" s="1"/>
  <c r="AF106" i="1"/>
  <c r="AG106" i="1" s="1"/>
  <c r="AF81" i="1"/>
  <c r="AH81" i="1" s="1"/>
  <c r="AF82" i="1" s="1"/>
  <c r="AF75" i="1"/>
  <c r="AH75" i="1" s="1"/>
  <c r="AF242" i="1"/>
  <c r="AG242" i="1" s="1"/>
  <c r="AF161" i="1"/>
  <c r="AG161" i="1" s="1"/>
  <c r="AF143" i="1"/>
  <c r="AG143" i="1" s="1"/>
  <c r="AF133" i="1"/>
  <c r="AG133" i="1" s="1"/>
  <c r="AF165" i="1"/>
  <c r="AG165" i="1" s="1"/>
  <c r="AF91" i="1"/>
  <c r="AG91" i="1" s="1"/>
  <c r="AF136" i="1"/>
  <c r="AG136" i="1" s="1"/>
  <c r="AF184" i="1"/>
  <c r="AH184" i="1" s="1"/>
  <c r="AF185" i="1" s="1"/>
  <c r="AF40" i="1"/>
  <c r="AG40" i="1" s="1"/>
  <c r="AF111" i="1"/>
  <c r="AG111" i="1" s="1"/>
  <c r="AF72" i="1"/>
  <c r="AG72" i="1" s="1"/>
  <c r="AF58" i="1"/>
  <c r="AH58" i="1" s="1"/>
  <c r="AF59" i="1" s="1"/>
  <c r="AF101" i="1"/>
  <c r="AG101" i="1" s="1"/>
  <c r="AF85" i="1"/>
  <c r="AH85" i="1" s="1"/>
  <c r="AF90" i="1"/>
  <c r="AH90" i="1" s="1"/>
  <c r="AF43" i="1"/>
  <c r="AG43" i="1" s="1"/>
  <c r="AF76" i="1"/>
  <c r="AG76" i="1" s="1"/>
  <c r="AF180" i="1"/>
  <c r="AG180" i="1" s="1"/>
  <c r="AF70" i="1"/>
  <c r="AG70" i="1" s="1"/>
  <c r="AF233" i="1"/>
  <c r="AG233" i="1" s="1"/>
  <c r="AF135" i="1"/>
  <c r="AG135" i="1" s="1"/>
  <c r="AF46" i="1"/>
  <c r="AH46" i="1" s="1"/>
  <c r="AF47" i="1" s="1"/>
  <c r="AF88" i="1"/>
  <c r="AH88" i="1" s="1"/>
  <c r="AF149" i="1"/>
  <c r="AG149" i="1" s="1"/>
  <c r="AF113" i="1"/>
  <c r="AG113" i="1" s="1"/>
  <c r="AF89" i="1"/>
  <c r="AH89" i="1" s="1"/>
  <c r="AF196" i="1"/>
  <c r="AG196" i="1" s="1"/>
  <c r="AF154" i="1"/>
  <c r="AH154" i="1" s="1"/>
  <c r="AF155" i="1" s="1"/>
  <c r="AF222" i="1"/>
  <c r="AF177" i="1"/>
  <c r="AF212" i="1"/>
  <c r="Q217" i="1"/>
  <c r="AF217" i="1" s="1"/>
  <c r="AF231" i="1"/>
  <c r="Q188" i="1"/>
  <c r="AF188" i="1" s="1"/>
  <c r="AF214" i="1"/>
  <c r="AF203" i="1"/>
  <c r="AF199" i="1"/>
  <c r="AF156" i="1"/>
  <c r="AF243" i="1"/>
  <c r="AF147" i="1"/>
  <c r="Q152" i="1"/>
  <c r="AF152" i="1" s="1"/>
  <c r="AF141" i="1"/>
  <c r="Q171" i="1"/>
  <c r="AF171" i="1" s="1"/>
  <c r="AF158" i="1"/>
  <c r="Q140" i="1"/>
  <c r="AF140" i="1" s="1"/>
  <c r="AF124" i="1"/>
  <c r="Q120" i="1"/>
  <c r="AF120" i="1" s="1"/>
  <c r="AF167" i="1"/>
  <c r="AF138" i="1"/>
  <c r="AF116" i="1"/>
  <c r="AF145" i="1"/>
  <c r="AF103" i="1"/>
  <c r="AF112" i="1"/>
  <c r="AF98" i="1"/>
  <c r="AF110" i="1"/>
  <c r="AF96" i="1"/>
  <c r="AF93" i="1"/>
  <c r="AF86" i="1"/>
  <c r="AF95" i="1"/>
  <c r="AF87" i="1"/>
  <c r="AF83" i="1"/>
  <c r="AF78" i="1"/>
  <c r="AF68" i="1"/>
  <c r="AF61" i="1"/>
  <c r="AF63" i="1"/>
  <c r="AF55" i="1"/>
  <c r="AF45" i="1"/>
  <c r="AF44"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227" i="1" l="1"/>
  <c r="AF228" i="1" s="1"/>
  <c r="AG228" i="1" s="1"/>
  <c r="AG207" i="1"/>
  <c r="AG75" i="1"/>
  <c r="AH106" i="1"/>
  <c r="AF107" i="1" s="1"/>
  <c r="AH107" i="1" s="1"/>
  <c r="AF108" i="1" s="1"/>
  <c r="AG81" i="1"/>
  <c r="AH159" i="1"/>
  <c r="AF160" i="1" s="1"/>
  <c r="AG160" i="1" s="1"/>
  <c r="AH226" i="1"/>
  <c r="AH229" i="1"/>
  <c r="AF230" i="1" s="1"/>
  <c r="AG230" i="1" s="1"/>
  <c r="AH196" i="1"/>
  <c r="AF197" i="1" s="1"/>
  <c r="AH197" i="1" s="1"/>
  <c r="AF198" i="1" s="1"/>
  <c r="AG154" i="1"/>
  <c r="AH70" i="1"/>
  <c r="AF71" i="1" s="1"/>
  <c r="AH71" i="1" s="1"/>
  <c r="AG184" i="1"/>
  <c r="AH165" i="1"/>
  <c r="AF166" i="1" s="1"/>
  <c r="AH166" i="1" s="1"/>
  <c r="AH133" i="1"/>
  <c r="AF134" i="1" s="1"/>
  <c r="AH134" i="1" s="1"/>
  <c r="AH113" i="1"/>
  <c r="AF114" i="1" s="1"/>
  <c r="AH114" i="1" s="1"/>
  <c r="AF115" i="1" s="1"/>
  <c r="AH91" i="1"/>
  <c r="AF92" i="1" s="1"/>
  <c r="AG92" i="1" s="1"/>
  <c r="AH76" i="1"/>
  <c r="AF77" i="1" s="1"/>
  <c r="AG77" i="1" s="1"/>
  <c r="AH72" i="1"/>
  <c r="AF73" i="1" s="1"/>
  <c r="AG73" i="1" s="1"/>
  <c r="AH136" i="1"/>
  <c r="AF137" i="1" s="1"/>
  <c r="AH137" i="1" s="1"/>
  <c r="AG90" i="1"/>
  <c r="AH143" i="1"/>
  <c r="AF144" i="1" s="1"/>
  <c r="AG144" i="1" s="1"/>
  <c r="AH242" i="1"/>
  <c r="AH161" i="1"/>
  <c r="AF162" i="1" s="1"/>
  <c r="AG162" i="1" s="1"/>
  <c r="AH233" i="1"/>
  <c r="AF234" i="1" s="1"/>
  <c r="AH234" i="1" s="1"/>
  <c r="AG85" i="1"/>
  <c r="AH135" i="1"/>
  <c r="AG89" i="1"/>
  <c r="AH40" i="1"/>
  <c r="AF41" i="1" s="1"/>
  <c r="AG41" i="1" s="1"/>
  <c r="AH111" i="1"/>
  <c r="AH43" i="1"/>
  <c r="AG46" i="1"/>
  <c r="AG88" i="1"/>
  <c r="AG58" i="1"/>
  <c r="AH101" i="1"/>
  <c r="AF102" i="1" s="1"/>
  <c r="AG102" i="1" s="1"/>
  <c r="AH149" i="1"/>
  <c r="AF150" i="1" s="1"/>
  <c r="AG150" i="1" s="1"/>
  <c r="AH180" i="1"/>
  <c r="AF181" i="1" s="1"/>
  <c r="AG181" i="1" s="1"/>
  <c r="AG231" i="1"/>
  <c r="AH231" i="1"/>
  <c r="AF232" i="1" s="1"/>
  <c r="AG208" i="1"/>
  <c r="AH208" i="1"/>
  <c r="AF209" i="1" s="1"/>
  <c r="AH167" i="1"/>
  <c r="AF168" i="1" s="1"/>
  <c r="AG167" i="1"/>
  <c r="AG203" i="1"/>
  <c r="AH203" i="1"/>
  <c r="AF204" i="1" s="1"/>
  <c r="AG177" i="1"/>
  <c r="AH177" i="1"/>
  <c r="AF178" i="1" s="1"/>
  <c r="AG141" i="1"/>
  <c r="AH141" i="1"/>
  <c r="AF142" i="1" s="1"/>
  <c r="AG214" i="1"/>
  <c r="AH214" i="1"/>
  <c r="AF215" i="1" s="1"/>
  <c r="AG116" i="1"/>
  <c r="AH116" i="1"/>
  <c r="AF117" i="1" s="1"/>
  <c r="AG147" i="1"/>
  <c r="AH147" i="1"/>
  <c r="AF148" i="1" s="1"/>
  <c r="AG243" i="1"/>
  <c r="AH243" i="1"/>
  <c r="AF244" i="1" s="1"/>
  <c r="AH212" i="1"/>
  <c r="AF213" i="1" s="1"/>
  <c r="AG212" i="1"/>
  <c r="AG140" i="1"/>
  <c r="AH140" i="1"/>
  <c r="AG185" i="1"/>
  <c r="AH185" i="1"/>
  <c r="AF186" i="1" s="1"/>
  <c r="AH158" i="1"/>
  <c r="AG158" i="1"/>
  <c r="AG155" i="1"/>
  <c r="AH155" i="1"/>
  <c r="AG156" i="1"/>
  <c r="AH156" i="1"/>
  <c r="AF157" i="1" s="1"/>
  <c r="AG152" i="1"/>
  <c r="AH152" i="1"/>
  <c r="AF153" i="1" s="1"/>
  <c r="AG188" i="1"/>
  <c r="AH188" i="1"/>
  <c r="AF189" i="1" s="1"/>
  <c r="AH222" i="1"/>
  <c r="AF223" i="1" s="1"/>
  <c r="AG222" i="1"/>
  <c r="AG120" i="1"/>
  <c r="AH120" i="1"/>
  <c r="AF121" i="1" s="1"/>
  <c r="AH171" i="1"/>
  <c r="AF172" i="1" s="1"/>
  <c r="AG171" i="1"/>
  <c r="AG217" i="1"/>
  <c r="AH217" i="1"/>
  <c r="AF218" i="1" s="1"/>
  <c r="AG138" i="1"/>
  <c r="AH138" i="1"/>
  <c r="AF139" i="1" s="1"/>
  <c r="AH124" i="1"/>
  <c r="AF125" i="1" s="1"/>
  <c r="AG124" i="1"/>
  <c r="AG145" i="1"/>
  <c r="AH145" i="1"/>
  <c r="AF146" i="1" s="1"/>
  <c r="AG199" i="1"/>
  <c r="AH199" i="1"/>
  <c r="AF200" i="1" s="1"/>
  <c r="AG98" i="1"/>
  <c r="AH98" i="1"/>
  <c r="AF99" i="1" s="1"/>
  <c r="AG112" i="1"/>
  <c r="AH112" i="1"/>
  <c r="AG110" i="1"/>
  <c r="AH110" i="1"/>
  <c r="AH103" i="1"/>
  <c r="AF104" i="1" s="1"/>
  <c r="AG103" i="1"/>
  <c r="AG87" i="1"/>
  <c r="AH87" i="1"/>
  <c r="AF80" i="1" s="1"/>
  <c r="AG93" i="1"/>
  <c r="AH93" i="1"/>
  <c r="AF94" i="1" s="1"/>
  <c r="AG95" i="1"/>
  <c r="AH95" i="1"/>
  <c r="AG96" i="1"/>
  <c r="AH96" i="1"/>
  <c r="AF97" i="1" s="1"/>
  <c r="AG86" i="1"/>
  <c r="AH86" i="1"/>
  <c r="AG78" i="1"/>
  <c r="AH78" i="1"/>
  <c r="AF79" i="1" s="1"/>
  <c r="AG82" i="1"/>
  <c r="AH82" i="1"/>
  <c r="AH83" i="1"/>
  <c r="AF84" i="1" s="1"/>
  <c r="AG83" i="1"/>
  <c r="AG61" i="1"/>
  <c r="AH61" i="1"/>
  <c r="AF62" i="1" s="1"/>
  <c r="AH68" i="1"/>
  <c r="AF69" i="1" s="1"/>
  <c r="AG68" i="1"/>
  <c r="AG63" i="1"/>
  <c r="AH63" i="1"/>
  <c r="AF64" i="1" s="1"/>
  <c r="AG47" i="1"/>
  <c r="AH47" i="1"/>
  <c r="AF48" i="1" s="1"/>
  <c r="AG45" i="1"/>
  <c r="AH45" i="1"/>
  <c r="AG59" i="1"/>
  <c r="AH59" i="1"/>
  <c r="AF60" i="1" s="1"/>
  <c r="AH55" i="1"/>
  <c r="AF56" i="1" s="1"/>
  <c r="AG55" i="1"/>
  <c r="AG44" i="1"/>
  <c r="AH44" i="1"/>
  <c r="AH228" i="1" l="1"/>
  <c r="AH160" i="1"/>
  <c r="AG107" i="1"/>
  <c r="AH230" i="1"/>
  <c r="AG197" i="1"/>
  <c r="AG137" i="1"/>
  <c r="AH73" i="1"/>
  <c r="AF74" i="1" s="1"/>
  <c r="AH74" i="1" s="1"/>
  <c r="AG71" i="1"/>
  <c r="AG234" i="1"/>
  <c r="AG166" i="1"/>
  <c r="AH162" i="1"/>
  <c r="AF163" i="1" s="1"/>
  <c r="AG163" i="1" s="1"/>
  <c r="AG134" i="1"/>
  <c r="AG114" i="1"/>
  <c r="AH92" i="1"/>
  <c r="AH77" i="1"/>
  <c r="AH41" i="1"/>
  <c r="AH144" i="1"/>
  <c r="AH102" i="1"/>
  <c r="AH181" i="1"/>
  <c r="AF182" i="1" s="1"/>
  <c r="AG182" i="1" s="1"/>
  <c r="AH150" i="1"/>
  <c r="AF151" i="1" s="1"/>
  <c r="AH151" i="1" s="1"/>
  <c r="AG157" i="1"/>
  <c r="AH157" i="1"/>
  <c r="AG204" i="1"/>
  <c r="AH204" i="1"/>
  <c r="AF205" i="1" s="1"/>
  <c r="AG121" i="1"/>
  <c r="AH121" i="1"/>
  <c r="AF122" i="1" s="1"/>
  <c r="AG153" i="1"/>
  <c r="AH153" i="1"/>
  <c r="AH186" i="1"/>
  <c r="AF187" i="1" s="1"/>
  <c r="AG186" i="1"/>
  <c r="AG215" i="1"/>
  <c r="AH215" i="1"/>
  <c r="AF216" i="1" s="1"/>
  <c r="AG209" i="1"/>
  <c r="AH209" i="1"/>
  <c r="AF210" i="1" s="1"/>
  <c r="AG232" i="1"/>
  <c r="AH232" i="1"/>
  <c r="AG125" i="1"/>
  <c r="AH125" i="1"/>
  <c r="AF126" i="1" s="1"/>
  <c r="AG244" i="1"/>
  <c r="AH244" i="1"/>
  <c r="AH200" i="1"/>
  <c r="AF201" i="1" s="1"/>
  <c r="AG200" i="1"/>
  <c r="AH172" i="1"/>
  <c r="AF173" i="1" s="1"/>
  <c r="AG172" i="1"/>
  <c r="AG223" i="1"/>
  <c r="AH223" i="1"/>
  <c r="AF224" i="1" s="1"/>
  <c r="AG218" i="1"/>
  <c r="AH218" i="1"/>
  <c r="AF219" i="1" s="1"/>
  <c r="AG148" i="1"/>
  <c r="AH148" i="1"/>
  <c r="AG146" i="1"/>
  <c r="AH146" i="1"/>
  <c r="AG139" i="1"/>
  <c r="AH139" i="1"/>
  <c r="AH189" i="1"/>
  <c r="AG189" i="1"/>
  <c r="AG213" i="1"/>
  <c r="AH213" i="1"/>
  <c r="AG142" i="1"/>
  <c r="AH142" i="1"/>
  <c r="AG178" i="1"/>
  <c r="AH178" i="1"/>
  <c r="AF179" i="1" s="1"/>
  <c r="AH198" i="1"/>
  <c r="AG198" i="1"/>
  <c r="AG117" i="1"/>
  <c r="AH117" i="1"/>
  <c r="AF118" i="1" s="1"/>
  <c r="AH168" i="1"/>
  <c r="AF169" i="1" s="1"/>
  <c r="AG168" i="1"/>
  <c r="AG104" i="1"/>
  <c r="AH104" i="1"/>
  <c r="AG99" i="1"/>
  <c r="AH99" i="1"/>
  <c r="AF100" i="1" s="1"/>
  <c r="AG115" i="1"/>
  <c r="AH115" i="1"/>
  <c r="AG108" i="1"/>
  <c r="AH108" i="1"/>
  <c r="AF109" i="1" s="1"/>
  <c r="AG94" i="1"/>
  <c r="AH94" i="1"/>
  <c r="AH80" i="1"/>
  <c r="AG80" i="1"/>
  <c r="AH97" i="1"/>
  <c r="AG97" i="1"/>
  <c r="AG84" i="1"/>
  <c r="AH84" i="1"/>
  <c r="AG79" i="1"/>
  <c r="AH79" i="1"/>
  <c r="AG69" i="1"/>
  <c r="AH69" i="1"/>
  <c r="AG64" i="1"/>
  <c r="AH64" i="1"/>
  <c r="AF65" i="1" s="1"/>
  <c r="AG62" i="1"/>
  <c r="AH62" i="1"/>
  <c r="AG60" i="1"/>
  <c r="AH60" i="1"/>
  <c r="AG48" i="1"/>
  <c r="AH48" i="1"/>
  <c r="AF49" i="1" s="1"/>
  <c r="AH56" i="1"/>
  <c r="AF57" i="1" s="1"/>
  <c r="AG56" i="1"/>
  <c r="AG100" i="1" l="1"/>
  <c r="AH100" i="1"/>
  <c r="AG74" i="1"/>
  <c r="AH163" i="1"/>
  <c r="AF164" i="1" s="1"/>
  <c r="AG164" i="1" s="1"/>
  <c r="AG151" i="1"/>
  <c r="AH182" i="1"/>
  <c r="AF183" i="1" s="1"/>
  <c r="AG183" i="1" s="1"/>
  <c r="AG187" i="1"/>
  <c r="AH187" i="1"/>
  <c r="AG224" i="1"/>
  <c r="AH224" i="1"/>
  <c r="AF225" i="1" s="1"/>
  <c r="AG122" i="1"/>
  <c r="AH122" i="1"/>
  <c r="AF123" i="1" s="1"/>
  <c r="AG126" i="1"/>
  <c r="AH126" i="1"/>
  <c r="AG219" i="1"/>
  <c r="AH219" i="1"/>
  <c r="AF220" i="1" s="1"/>
  <c r="AG173" i="1"/>
  <c r="AH173" i="1"/>
  <c r="AF174" i="1" s="1"/>
  <c r="AG169" i="1"/>
  <c r="AH169" i="1"/>
  <c r="AF170" i="1" s="1"/>
  <c r="AG118" i="1"/>
  <c r="AH118" i="1"/>
  <c r="AF119" i="1" s="1"/>
  <c r="AG205" i="1"/>
  <c r="AH205" i="1"/>
  <c r="AF206" i="1" s="1"/>
  <c r="AG201" i="1"/>
  <c r="AH201" i="1"/>
  <c r="AF202" i="1" s="1"/>
  <c r="AG179" i="1"/>
  <c r="AH179" i="1"/>
  <c r="AH210" i="1"/>
  <c r="AF211" i="1" s="1"/>
  <c r="AG210" i="1"/>
  <c r="AG216" i="1"/>
  <c r="AH216" i="1"/>
  <c r="AG109" i="1"/>
  <c r="AH109" i="1"/>
  <c r="AG65" i="1"/>
  <c r="AH65" i="1"/>
  <c r="AF66" i="1" s="1"/>
  <c r="AG57" i="1"/>
  <c r="AH57" i="1"/>
  <c r="AH49" i="1"/>
  <c r="AF50" i="1" s="1"/>
  <c r="AG49" i="1"/>
  <c r="AH183" i="1" l="1"/>
  <c r="AH164" i="1"/>
  <c r="AG225" i="1"/>
  <c r="AH225" i="1"/>
  <c r="AG211" i="1"/>
  <c r="AH211" i="1"/>
  <c r="AH170" i="1"/>
  <c r="AG170" i="1"/>
  <c r="AG119" i="1"/>
  <c r="AH119" i="1"/>
  <c r="AH202" i="1"/>
  <c r="AG202" i="1"/>
  <c r="AH123" i="1"/>
  <c r="AG123" i="1"/>
  <c r="AG206" i="1"/>
  <c r="AH206" i="1"/>
  <c r="AG174" i="1"/>
  <c r="AH174" i="1"/>
  <c r="AF175" i="1" s="1"/>
  <c r="AH220" i="1"/>
  <c r="AF221" i="1" s="1"/>
  <c r="AG220" i="1"/>
  <c r="AH66" i="1"/>
  <c r="AF67" i="1" s="1"/>
  <c r="AG66" i="1"/>
  <c r="AG50" i="1"/>
  <c r="AH50" i="1"/>
  <c r="AF51" i="1" s="1"/>
  <c r="F15" i="24"/>
  <c r="AG175" i="1" l="1"/>
  <c r="AH175" i="1"/>
  <c r="AF176" i="1" s="1"/>
  <c r="AG221" i="1"/>
  <c r="AH221" i="1"/>
  <c r="AG67" i="1"/>
  <c r="AH67" i="1"/>
  <c r="AG51" i="1"/>
  <c r="AH51" i="1"/>
  <c r="AF52" i="1" s="1"/>
  <c r="F12" i="24"/>
  <c r="AH52" i="1" l="1"/>
  <c r="AF53" i="1" s="1"/>
  <c r="AG52" i="1"/>
  <c r="AK52" i="1" s="1"/>
  <c r="AG176" i="1"/>
  <c r="AH176"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AH53" i="1" l="1"/>
  <c r="AF54" i="1" s="1"/>
  <c r="AG53" i="1"/>
  <c r="AK53" i="1" s="1"/>
  <c r="M39" i="24"/>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AH54" i="1" l="1"/>
  <c r="AG54" i="1"/>
  <c r="AK54" i="1" s="1"/>
  <c r="F221" i="13"/>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38" i="1"/>
  <c r="Q38" i="1" s="1"/>
  <c r="AF38" i="1" s="1"/>
  <c r="P33" i="1"/>
  <c r="Q33" i="1" s="1"/>
  <c r="AF33" i="1" s="1"/>
  <c r="P29" i="1"/>
  <c r="Q29" i="1" s="1"/>
  <c r="AF29" i="1" s="1"/>
  <c r="P27" i="1"/>
  <c r="Q27" i="1" s="1"/>
  <c r="AF27" i="1" s="1"/>
  <c r="P25" i="1"/>
  <c r="Q25" i="1" s="1"/>
  <c r="AF25" i="1" s="1"/>
  <c r="P22" i="1"/>
  <c r="Q22" i="1" s="1"/>
  <c r="AF22" i="1" s="1"/>
  <c r="P20" i="1"/>
  <c r="Q20" i="1" s="1"/>
  <c r="AF20" i="1" s="1"/>
  <c r="P17" i="1"/>
  <c r="Q17" i="1" s="1"/>
  <c r="AF17" i="1" s="1"/>
  <c r="P15" i="1"/>
  <c r="Q15" i="1" s="1"/>
  <c r="AF15" i="1" s="1"/>
  <c r="H210" i="13"/>
  <c r="B221" i="13" a="1"/>
  <c r="AG38" i="1" l="1"/>
  <c r="AH38" i="1"/>
  <c r="AF39" i="1" s="1"/>
  <c r="AG33" i="1"/>
  <c r="AH33" i="1"/>
  <c r="AF34" i="1" s="1"/>
  <c r="AG22" i="1"/>
  <c r="AH22" i="1"/>
  <c r="AF23" i="1" s="1"/>
  <c r="AG29" i="1"/>
  <c r="AH29" i="1"/>
  <c r="AF30" i="1" s="1"/>
  <c r="AG27" i="1"/>
  <c r="AH27" i="1"/>
  <c r="AF28" i="1" s="1"/>
  <c r="AG15" i="1"/>
  <c r="AH15" i="1"/>
  <c r="AF16" i="1" s="1"/>
  <c r="AG25" i="1"/>
  <c r="AH25" i="1"/>
  <c r="AF26" i="1" s="1"/>
  <c r="AG17" i="1"/>
  <c r="AH17" i="1"/>
  <c r="AF18" i="1" s="1"/>
  <c r="AH20" i="1"/>
  <c r="AF21" i="1" s="1"/>
  <c r="AG20" i="1"/>
  <c r="B221" i="13"/>
  <c r="B223" i="13"/>
  <c r="B222" i="13"/>
  <c r="S105" i="1" l="1"/>
  <c r="T105" i="1" s="1"/>
  <c r="U105" i="1" s="1"/>
  <c r="S42" i="1"/>
  <c r="T42" i="1" s="1"/>
  <c r="U42" i="1" s="1"/>
  <c r="AJ42" i="1" s="1"/>
  <c r="AI42" i="1" s="1"/>
  <c r="AK42" i="1" s="1"/>
  <c r="S80" i="1"/>
  <c r="T80" i="1" s="1"/>
  <c r="V80" i="1" s="1"/>
  <c r="S131" i="1"/>
  <c r="T131" i="1" s="1"/>
  <c r="U131" i="1" s="1"/>
  <c r="AJ131" i="1" s="1"/>
  <c r="S239" i="1"/>
  <c r="T239" i="1" s="1"/>
  <c r="V239" i="1" s="1"/>
  <c r="S235" i="1"/>
  <c r="T235" i="1" s="1"/>
  <c r="U235" i="1" s="1"/>
  <c r="AJ235" i="1" s="1"/>
  <c r="AI235" i="1" s="1"/>
  <c r="AK235" i="1" s="1"/>
  <c r="S236" i="1"/>
  <c r="T236" i="1" s="1"/>
  <c r="S190" i="1"/>
  <c r="T190" i="1" s="1"/>
  <c r="U190" i="1" s="1"/>
  <c r="AJ190" i="1" s="1"/>
  <c r="S193" i="1"/>
  <c r="T193" i="1" s="1"/>
  <c r="S127" i="1"/>
  <c r="T127" i="1" s="1"/>
  <c r="U127" i="1" s="1"/>
  <c r="AJ127" i="1" s="1"/>
  <c r="S128" i="1"/>
  <c r="T128" i="1" s="1"/>
  <c r="S246" i="1"/>
  <c r="T246" i="1" s="1"/>
  <c r="S245" i="1"/>
  <c r="T245" i="1" s="1"/>
  <c r="U245" i="1" s="1"/>
  <c r="AJ245" i="1" s="1"/>
  <c r="S13" i="1"/>
  <c r="T13" i="1" s="1"/>
  <c r="U13" i="1" s="1"/>
  <c r="AJ13" i="1" s="1"/>
  <c r="S15" i="1"/>
  <c r="T15" i="1" s="1"/>
  <c r="S61" i="1"/>
  <c r="T61" i="1" s="1"/>
  <c r="S91" i="1"/>
  <c r="T91" i="1" s="1"/>
  <c r="S133" i="1"/>
  <c r="T133" i="1" s="1"/>
  <c r="S159" i="1"/>
  <c r="T159" i="1" s="1"/>
  <c r="S222" i="1"/>
  <c r="T222" i="1" s="1"/>
  <c r="S196" i="1"/>
  <c r="T196" i="1" s="1"/>
  <c r="S40" i="1"/>
  <c r="T40" i="1" s="1"/>
  <c r="S83" i="1"/>
  <c r="T83" i="1" s="1"/>
  <c r="S110" i="1"/>
  <c r="T110" i="1" s="1"/>
  <c r="S149" i="1"/>
  <c r="T149" i="1" s="1"/>
  <c r="S231" i="1"/>
  <c r="T231" i="1" s="1"/>
  <c r="S20" i="1"/>
  <c r="T20" i="1" s="1"/>
  <c r="S68" i="1"/>
  <c r="T68" i="1" s="1"/>
  <c r="S95" i="1"/>
  <c r="T95" i="1" s="1"/>
  <c r="S136" i="1"/>
  <c r="T136" i="1" s="1"/>
  <c r="S165" i="1"/>
  <c r="T165" i="1" s="1"/>
  <c r="S227" i="1"/>
  <c r="T227" i="1" s="1"/>
  <c r="S154" i="1"/>
  <c r="T154" i="1" s="1"/>
  <c r="S171" i="1"/>
  <c r="T171" i="1" s="1"/>
  <c r="S242" i="1"/>
  <c r="T242" i="1" s="1"/>
  <c r="S44" i="1"/>
  <c r="T44" i="1" s="1"/>
  <c r="S86" i="1"/>
  <c r="T86" i="1" s="1"/>
  <c r="S112" i="1"/>
  <c r="T112" i="1" s="1"/>
  <c r="S203" i="1"/>
  <c r="T203" i="1" s="1"/>
  <c r="S25" i="1"/>
  <c r="T25" i="1" s="1"/>
  <c r="S72" i="1"/>
  <c r="T72" i="1" s="1"/>
  <c r="S96" i="1"/>
  <c r="T96" i="1" s="1"/>
  <c r="S140" i="1"/>
  <c r="T140" i="1" s="1"/>
  <c r="S46" i="1"/>
  <c r="T46" i="1" s="1"/>
  <c r="S88" i="1"/>
  <c r="T88" i="1" s="1"/>
  <c r="S116" i="1"/>
  <c r="T116" i="1" s="1"/>
  <c r="S212" i="1"/>
  <c r="T212" i="1" s="1"/>
  <c r="S29" i="1"/>
  <c r="T29" i="1" s="1"/>
  <c r="S76" i="1"/>
  <c r="T76" i="1" s="1"/>
  <c r="S101" i="1"/>
  <c r="T101" i="1" s="1"/>
  <c r="S143" i="1"/>
  <c r="T143" i="1" s="1"/>
  <c r="S180" i="1"/>
  <c r="T180" i="1" s="1"/>
  <c r="S58" i="1"/>
  <c r="T58" i="1" s="1"/>
  <c r="S90" i="1"/>
  <c r="T90" i="1" s="1"/>
  <c r="S124" i="1"/>
  <c r="T124" i="1" s="1"/>
  <c r="S158" i="1"/>
  <c r="T158" i="1" s="1"/>
  <c r="S217" i="1"/>
  <c r="T217" i="1" s="1"/>
  <c r="S226" i="1"/>
  <c r="T226" i="1" s="1"/>
  <c r="S184" i="1"/>
  <c r="T184" i="1" s="1"/>
  <c r="S38" i="1"/>
  <c r="T38" i="1" s="1"/>
  <c r="S81" i="1"/>
  <c r="T81" i="1" s="1"/>
  <c r="S106" i="1"/>
  <c r="T106" i="1" s="1"/>
  <c r="S147" i="1"/>
  <c r="T147" i="1" s="1"/>
  <c r="S188" i="1"/>
  <c r="T188" i="1" s="1"/>
  <c r="S243" i="1"/>
  <c r="T243" i="1" s="1"/>
  <c r="S17" i="1"/>
  <c r="T17" i="1" s="1"/>
  <c r="S63" i="1"/>
  <c r="T63" i="1" s="1"/>
  <c r="S93" i="1"/>
  <c r="T93" i="1" s="1"/>
  <c r="S135" i="1"/>
  <c r="T135" i="1" s="1"/>
  <c r="S161" i="1"/>
  <c r="T161" i="1" s="1"/>
  <c r="S43" i="1"/>
  <c r="T43" i="1" s="1"/>
  <c r="S85" i="1"/>
  <c r="T85" i="1" s="1"/>
  <c r="S111" i="1"/>
  <c r="T111" i="1" s="1"/>
  <c r="S152" i="1"/>
  <c r="T152" i="1" s="1"/>
  <c r="S199" i="1"/>
  <c r="T199" i="1" s="1"/>
  <c r="S103" i="1"/>
  <c r="T103" i="1" s="1"/>
  <c r="S22" i="1"/>
  <c r="T22" i="1" s="1"/>
  <c r="S70" i="1"/>
  <c r="T70" i="1" s="1"/>
  <c r="S138" i="1"/>
  <c r="T138" i="1" s="1"/>
  <c r="S167" i="1"/>
  <c r="T167" i="1" s="1"/>
  <c r="S229" i="1"/>
  <c r="T229" i="1" s="1"/>
  <c r="S145" i="1"/>
  <c r="T145" i="1" s="1"/>
  <c r="S45" i="1"/>
  <c r="T45" i="1" s="1"/>
  <c r="S87" i="1"/>
  <c r="T87" i="1" s="1"/>
  <c r="S113" i="1"/>
  <c r="T113" i="1" s="1"/>
  <c r="S156" i="1"/>
  <c r="T156" i="1" s="1"/>
  <c r="S207" i="1"/>
  <c r="T207" i="1" s="1"/>
  <c r="S27" i="1"/>
  <c r="T27" i="1" s="1"/>
  <c r="S75" i="1"/>
  <c r="T75" i="1" s="1"/>
  <c r="S98" i="1"/>
  <c r="T98" i="1" s="1"/>
  <c r="S141" i="1"/>
  <c r="T141" i="1" s="1"/>
  <c r="S177" i="1"/>
  <c r="T177" i="1" s="1"/>
  <c r="S233" i="1"/>
  <c r="T233" i="1" s="1"/>
  <c r="S214" i="1"/>
  <c r="T214" i="1" s="1"/>
  <c r="S33" i="1"/>
  <c r="T33" i="1" s="1"/>
  <c r="S55" i="1"/>
  <c r="T55" i="1" s="1"/>
  <c r="S89" i="1"/>
  <c r="T89" i="1" s="1"/>
  <c r="S120" i="1"/>
  <c r="T120" i="1" s="1"/>
  <c r="S78" i="1"/>
  <c r="T78" i="1" s="1"/>
  <c r="AG18" i="1"/>
  <c r="AH18" i="1"/>
  <c r="AF19" i="1" s="1"/>
  <c r="AG34" i="1"/>
  <c r="AH34" i="1"/>
  <c r="AF35" i="1" s="1"/>
  <c r="AG26" i="1"/>
  <c r="AH26" i="1"/>
  <c r="AH21" i="1"/>
  <c r="AG21" i="1"/>
  <c r="AG30" i="1"/>
  <c r="AH30" i="1"/>
  <c r="AF31" i="1" s="1"/>
  <c r="AH39" i="1"/>
  <c r="AG39" i="1"/>
  <c r="AG28" i="1"/>
  <c r="AH28" i="1"/>
  <c r="AG16" i="1"/>
  <c r="AH16" i="1"/>
  <c r="AG23" i="1"/>
  <c r="AH23" i="1"/>
  <c r="AF24" i="1" s="1"/>
  <c r="V105" i="1" l="1"/>
  <c r="V42" i="1"/>
  <c r="U80" i="1"/>
  <c r="V131" i="1"/>
  <c r="AI131" i="1"/>
  <c r="AK131" i="1" s="1"/>
  <c r="AJ132" i="1"/>
  <c r="AI132" i="1" s="1"/>
  <c r="AK132" i="1" s="1"/>
  <c r="U239" i="1"/>
  <c r="AJ239" i="1" s="1"/>
  <c r="AI239" i="1" s="1"/>
  <c r="AK239" i="1" s="1"/>
  <c r="V235" i="1"/>
  <c r="V236" i="1"/>
  <c r="U236" i="1"/>
  <c r="AJ236" i="1" s="1"/>
  <c r="AI190" i="1"/>
  <c r="AK190" i="1" s="1"/>
  <c r="AJ191" i="1"/>
  <c r="AI245" i="1"/>
  <c r="AK245" i="1" s="1"/>
  <c r="AI127" i="1"/>
  <c r="AK127" i="1" s="1"/>
  <c r="V190" i="1"/>
  <c r="U193" i="1"/>
  <c r="AJ193" i="1" s="1"/>
  <c r="V193" i="1"/>
  <c r="V127" i="1"/>
  <c r="U128" i="1"/>
  <c r="AJ128" i="1" s="1"/>
  <c r="V128" i="1"/>
  <c r="U246" i="1"/>
  <c r="AJ246" i="1" s="1"/>
  <c r="V246" i="1"/>
  <c r="V245" i="1"/>
  <c r="V13" i="1"/>
  <c r="AI13" i="1"/>
  <c r="AK13" i="1" s="1"/>
  <c r="AJ14" i="1"/>
  <c r="U22" i="1"/>
  <c r="AJ22" i="1" s="1"/>
  <c r="V22" i="1"/>
  <c r="U136" i="1"/>
  <c r="AJ136" i="1" s="1"/>
  <c r="V136" i="1"/>
  <c r="V98" i="1"/>
  <c r="U98" i="1"/>
  <c r="AJ98" i="1" s="1"/>
  <c r="U199" i="1"/>
  <c r="AJ199" i="1" s="1"/>
  <c r="V199" i="1"/>
  <c r="U184" i="1"/>
  <c r="AJ184" i="1" s="1"/>
  <c r="V184" i="1"/>
  <c r="U88" i="1"/>
  <c r="AJ88" i="1" s="1"/>
  <c r="V88" i="1"/>
  <c r="U95" i="1"/>
  <c r="AJ95" i="1" s="1"/>
  <c r="V95" i="1"/>
  <c r="V75" i="1"/>
  <c r="U75" i="1"/>
  <c r="AJ75" i="1" s="1"/>
  <c r="U152" i="1"/>
  <c r="AJ152" i="1" s="1"/>
  <c r="V152" i="1"/>
  <c r="U226" i="1"/>
  <c r="AJ226" i="1" s="1"/>
  <c r="V226" i="1"/>
  <c r="U46" i="1"/>
  <c r="AJ46" i="1" s="1"/>
  <c r="V46" i="1"/>
  <c r="U68" i="1"/>
  <c r="AJ68" i="1" s="1"/>
  <c r="V68" i="1"/>
  <c r="V141" i="1"/>
  <c r="U141" i="1"/>
  <c r="AJ141" i="1" s="1"/>
  <c r="U111" i="1"/>
  <c r="AJ111" i="1" s="1"/>
  <c r="V111" i="1"/>
  <c r="U217" i="1"/>
  <c r="AJ217" i="1" s="1"/>
  <c r="V217" i="1"/>
  <c r="U140" i="1"/>
  <c r="AJ140" i="1" s="1"/>
  <c r="V140" i="1"/>
  <c r="U20" i="1"/>
  <c r="AJ20" i="1" s="1"/>
  <c r="V20" i="1"/>
  <c r="V138" i="1"/>
  <c r="U138" i="1"/>
  <c r="AJ138" i="1" s="1"/>
  <c r="U158" i="1"/>
  <c r="AJ158" i="1" s="1"/>
  <c r="V158" i="1"/>
  <c r="U96" i="1"/>
  <c r="AJ96" i="1" s="1"/>
  <c r="V96" i="1"/>
  <c r="U231" i="1"/>
  <c r="AJ231" i="1" s="1"/>
  <c r="V231" i="1"/>
  <c r="U33" i="1"/>
  <c r="AJ33" i="1" s="1"/>
  <c r="V33" i="1"/>
  <c r="U116" i="1"/>
  <c r="AJ116" i="1" s="1"/>
  <c r="V116" i="1"/>
  <c r="U43" i="1"/>
  <c r="AJ43" i="1" s="1"/>
  <c r="V43" i="1"/>
  <c r="U124" i="1"/>
  <c r="AJ124" i="1" s="1"/>
  <c r="V124" i="1"/>
  <c r="U72" i="1"/>
  <c r="AJ72" i="1" s="1"/>
  <c r="V72" i="1"/>
  <c r="V149" i="1"/>
  <c r="U149" i="1"/>
  <c r="AJ149" i="1" s="1"/>
  <c r="U38" i="1"/>
  <c r="AJ38" i="1" s="1"/>
  <c r="V38" i="1"/>
  <c r="V113" i="1"/>
  <c r="U113" i="1"/>
  <c r="AJ113" i="1" s="1"/>
  <c r="U161" i="1"/>
  <c r="AJ161" i="1" s="1"/>
  <c r="V161" i="1"/>
  <c r="U90" i="1"/>
  <c r="AJ90" i="1" s="1"/>
  <c r="V90" i="1"/>
  <c r="U25" i="1"/>
  <c r="AJ25" i="1" s="1"/>
  <c r="V25" i="1"/>
  <c r="U110" i="1"/>
  <c r="AJ110" i="1" s="1"/>
  <c r="V110" i="1"/>
  <c r="U214" i="1"/>
  <c r="AJ214" i="1" s="1"/>
  <c r="V214" i="1"/>
  <c r="U207" i="1"/>
  <c r="AJ207" i="1" s="1"/>
  <c r="V207" i="1"/>
  <c r="V87" i="1"/>
  <c r="U87" i="1"/>
  <c r="AJ87" i="1" s="1"/>
  <c r="U58" i="1"/>
  <c r="AJ58" i="1" s="1"/>
  <c r="V58" i="1"/>
  <c r="U83" i="1"/>
  <c r="AJ83" i="1" s="1"/>
  <c r="V83" i="1"/>
  <c r="V27" i="1"/>
  <c r="U27" i="1"/>
  <c r="AJ27" i="1" s="1"/>
  <c r="U78" i="1"/>
  <c r="AJ78" i="1" s="1"/>
  <c r="V78" i="1"/>
  <c r="U135" i="1"/>
  <c r="AJ135" i="1" s="1"/>
  <c r="V135" i="1"/>
  <c r="U203" i="1"/>
  <c r="AJ203" i="1" s="1"/>
  <c r="V203" i="1"/>
  <c r="V45" i="1"/>
  <c r="U45" i="1"/>
  <c r="AJ45" i="1" s="1"/>
  <c r="U93" i="1"/>
  <c r="AJ93" i="1" s="1"/>
  <c r="V93" i="1"/>
  <c r="U112" i="1"/>
  <c r="AJ112" i="1" s="1"/>
  <c r="V112" i="1"/>
  <c r="U40" i="1"/>
  <c r="AJ40" i="1" s="1"/>
  <c r="V40" i="1"/>
  <c r="V177" i="1"/>
  <c r="U177" i="1"/>
  <c r="AJ177" i="1" s="1"/>
  <c r="U85" i="1"/>
  <c r="AJ85" i="1" s="1"/>
  <c r="V85" i="1"/>
  <c r="U120" i="1"/>
  <c r="AJ120" i="1" s="1"/>
  <c r="V120" i="1"/>
  <c r="U86" i="1"/>
  <c r="AJ86" i="1" s="1"/>
  <c r="V86" i="1"/>
  <c r="U103" i="1"/>
  <c r="AJ103" i="1" s="1"/>
  <c r="V103" i="1"/>
  <c r="V156" i="1"/>
  <c r="U156" i="1"/>
  <c r="AJ156" i="1" s="1"/>
  <c r="U145" i="1"/>
  <c r="AJ145" i="1" s="1"/>
  <c r="V145" i="1"/>
  <c r="U63" i="1"/>
  <c r="AJ63" i="1" s="1"/>
  <c r="V63" i="1"/>
  <c r="U180" i="1"/>
  <c r="AJ180" i="1" s="1"/>
  <c r="V180" i="1"/>
  <c r="V196" i="1"/>
  <c r="U196" i="1"/>
  <c r="AJ196" i="1" s="1"/>
  <c r="U89" i="1"/>
  <c r="AJ89" i="1" s="1"/>
  <c r="V89" i="1"/>
  <c r="V229" i="1"/>
  <c r="U229" i="1"/>
  <c r="AJ229" i="1" s="1"/>
  <c r="U17" i="1"/>
  <c r="AJ17" i="1" s="1"/>
  <c r="V17" i="1"/>
  <c r="U143" i="1"/>
  <c r="AJ143" i="1" s="1"/>
  <c r="V143" i="1"/>
  <c r="U44" i="1"/>
  <c r="AJ44" i="1" s="1"/>
  <c r="AI44" i="1" s="1"/>
  <c r="AK44" i="1" s="1"/>
  <c r="V44" i="1"/>
  <c r="U222" i="1"/>
  <c r="AJ222" i="1" s="1"/>
  <c r="V222" i="1"/>
  <c r="U167" i="1"/>
  <c r="AJ167" i="1" s="1"/>
  <c r="V167" i="1"/>
  <c r="U243" i="1"/>
  <c r="AJ243" i="1" s="1"/>
  <c r="V243" i="1"/>
  <c r="U101" i="1"/>
  <c r="AJ101" i="1" s="1"/>
  <c r="V101" i="1"/>
  <c r="U242" i="1"/>
  <c r="AJ242" i="1" s="1"/>
  <c r="V242" i="1"/>
  <c r="U159" i="1"/>
  <c r="AJ159" i="1" s="1"/>
  <c r="V159" i="1"/>
  <c r="U188" i="1"/>
  <c r="AJ188" i="1" s="1"/>
  <c r="V188" i="1"/>
  <c r="U76" i="1"/>
  <c r="AJ76" i="1" s="1"/>
  <c r="V76" i="1"/>
  <c r="U171" i="1"/>
  <c r="AJ171" i="1" s="1"/>
  <c r="V171" i="1"/>
  <c r="U133" i="1"/>
  <c r="AJ133" i="1" s="1"/>
  <c r="V133" i="1"/>
  <c r="U55" i="1"/>
  <c r="AJ55" i="1" s="1"/>
  <c r="V55" i="1"/>
  <c r="U147" i="1"/>
  <c r="AJ147" i="1" s="1"/>
  <c r="V147" i="1"/>
  <c r="U29" i="1"/>
  <c r="AJ29" i="1" s="1"/>
  <c r="V29" i="1"/>
  <c r="U154" i="1"/>
  <c r="AJ154" i="1" s="1"/>
  <c r="V154" i="1"/>
  <c r="U91" i="1"/>
  <c r="AJ91" i="1" s="1"/>
  <c r="V91" i="1"/>
  <c r="V233" i="1"/>
  <c r="U233" i="1"/>
  <c r="AJ233" i="1" s="1"/>
  <c r="U70" i="1"/>
  <c r="AJ70" i="1" s="1"/>
  <c r="V70" i="1"/>
  <c r="U106" i="1"/>
  <c r="AJ106" i="1" s="1"/>
  <c r="V106" i="1"/>
  <c r="U212" i="1"/>
  <c r="AJ212" i="1" s="1"/>
  <c r="V212" i="1"/>
  <c r="U227" i="1"/>
  <c r="AJ227" i="1" s="1"/>
  <c r="V227" i="1"/>
  <c r="U61" i="1"/>
  <c r="AJ61" i="1" s="1"/>
  <c r="V61" i="1"/>
  <c r="U81" i="1"/>
  <c r="AJ81" i="1" s="1"/>
  <c r="V81" i="1"/>
  <c r="U165" i="1"/>
  <c r="AJ165" i="1" s="1"/>
  <c r="V165" i="1"/>
  <c r="U15" i="1"/>
  <c r="AJ15" i="1" s="1"/>
  <c r="V15" i="1"/>
  <c r="AH31" i="1"/>
  <c r="AF32" i="1" s="1"/>
  <c r="AG31" i="1"/>
  <c r="AG35" i="1"/>
  <c r="AH35" i="1"/>
  <c r="AF36" i="1" s="1"/>
  <c r="AG24" i="1"/>
  <c r="AH24" i="1"/>
  <c r="AH19" i="1"/>
  <c r="AG19" i="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J241" i="1" l="1"/>
  <c r="AI241" i="1" s="1"/>
  <c r="AK241" i="1" s="1"/>
  <c r="AJ240" i="1"/>
  <c r="AI240" i="1" s="1"/>
  <c r="AK240" i="1" s="1"/>
  <c r="AI236" i="1"/>
  <c r="AK236" i="1" s="1"/>
  <c r="AJ237" i="1"/>
  <c r="AI193" i="1"/>
  <c r="AK193" i="1" s="1"/>
  <c r="AJ194" i="1"/>
  <c r="AI191" i="1"/>
  <c r="AK191" i="1" s="1"/>
  <c r="AJ192" i="1"/>
  <c r="AI192" i="1" s="1"/>
  <c r="AK192" i="1" s="1"/>
  <c r="AI14" i="1"/>
  <c r="AK14" i="1" s="1"/>
  <c r="AI128" i="1"/>
  <c r="AK128" i="1" s="1"/>
  <c r="AJ129" i="1"/>
  <c r="AI246" i="1"/>
  <c r="AK246" i="1" s="1"/>
  <c r="AJ247" i="1"/>
  <c r="AI43" i="1"/>
  <c r="AK43" i="1" s="1"/>
  <c r="AG36" i="1"/>
  <c r="AH36" i="1"/>
  <c r="AF37" i="1" s="1"/>
  <c r="AG32" i="1"/>
  <c r="AH32" i="1"/>
  <c r="AI116" i="1"/>
  <c r="AK116" i="1" s="1"/>
  <c r="AJ117" i="1"/>
  <c r="AJ134" i="1"/>
  <c r="AI133" i="1"/>
  <c r="AK133" i="1" s="1"/>
  <c r="AI171" i="1"/>
  <c r="AK171" i="1" s="1"/>
  <c r="AJ172" i="1"/>
  <c r="AI227" i="1"/>
  <c r="AK227" i="1" s="1"/>
  <c r="AJ228" i="1"/>
  <c r="AI222" i="1"/>
  <c r="AK222" i="1" s="1"/>
  <c r="AJ223" i="1"/>
  <c r="AI135" i="1"/>
  <c r="AK135" i="1" s="1"/>
  <c r="AI143" i="1"/>
  <c r="AK143" i="1" s="1"/>
  <c r="AJ144" i="1"/>
  <c r="AI231" i="1"/>
  <c r="AK231" i="1" s="1"/>
  <c r="AJ232" i="1"/>
  <c r="AI158" i="1"/>
  <c r="AK158" i="1" s="1"/>
  <c r="AI145" i="1"/>
  <c r="AK145" i="1" s="1"/>
  <c r="AJ146" i="1"/>
  <c r="AI214" i="1"/>
  <c r="AK214" i="1" s="1"/>
  <c r="AJ215" i="1"/>
  <c r="AJ150" i="1"/>
  <c r="AI149" i="1"/>
  <c r="AK149" i="1" s="1"/>
  <c r="AI199" i="1"/>
  <c r="AK199" i="1" s="1"/>
  <c r="AJ200" i="1"/>
  <c r="AI207" i="1"/>
  <c r="AK207" i="1" s="1"/>
  <c r="AJ208" i="1"/>
  <c r="AI167" i="1"/>
  <c r="AK167" i="1" s="1"/>
  <c r="AJ168" i="1"/>
  <c r="AJ178" i="1"/>
  <c r="AI177" i="1"/>
  <c r="AK177" i="1" s="1"/>
  <c r="AJ153" i="1"/>
  <c r="AI152" i="1"/>
  <c r="AK152" i="1" s="1"/>
  <c r="AI159" i="1"/>
  <c r="AK159" i="1" s="1"/>
  <c r="AJ160" i="1"/>
  <c r="AJ234" i="1"/>
  <c r="AI233" i="1"/>
  <c r="AK233" i="1" s="1"/>
  <c r="AI154" i="1"/>
  <c r="AK154" i="1" s="1"/>
  <c r="AJ155" i="1"/>
  <c r="AI161" i="1"/>
  <c r="AK161" i="1" s="1"/>
  <c r="AJ162" i="1"/>
  <c r="AI124" i="1"/>
  <c r="AK124" i="1" s="1"/>
  <c r="AJ125" i="1"/>
  <c r="AI217" i="1"/>
  <c r="AK217" i="1" s="1"/>
  <c r="AJ218" i="1"/>
  <c r="AI242" i="1"/>
  <c r="AK242" i="1" s="1"/>
  <c r="AJ185" i="1"/>
  <c r="AI184" i="1"/>
  <c r="AK184" i="1" s="1"/>
  <c r="AI212" i="1"/>
  <c r="AK212" i="1" s="1"/>
  <c r="AJ213" i="1"/>
  <c r="AI188" i="1"/>
  <c r="AK188" i="1" s="1"/>
  <c r="AJ189" i="1"/>
  <c r="AI229" i="1"/>
  <c r="AK229" i="1" s="1"/>
  <c r="AJ230" i="1"/>
  <c r="AI156" i="1"/>
  <c r="AK156" i="1" s="1"/>
  <c r="AJ157" i="1"/>
  <c r="AI136" i="1"/>
  <c r="AK136" i="1" s="1"/>
  <c r="AJ137" i="1"/>
  <c r="AI147" i="1"/>
  <c r="AK147" i="1" s="1"/>
  <c r="AJ148" i="1"/>
  <c r="AI120" i="1"/>
  <c r="AK120" i="1" s="1"/>
  <c r="AJ121" i="1"/>
  <c r="AI138" i="1"/>
  <c r="AK138" i="1" s="1"/>
  <c r="AJ139" i="1"/>
  <c r="AI180" i="1"/>
  <c r="AK180" i="1" s="1"/>
  <c r="AJ181" i="1"/>
  <c r="AI226" i="1"/>
  <c r="AK226" i="1" s="1"/>
  <c r="AI203" i="1"/>
  <c r="AK203" i="1" s="1"/>
  <c r="AJ204" i="1"/>
  <c r="AI165" i="1"/>
  <c r="AK165" i="1" s="1"/>
  <c r="AJ166" i="1"/>
  <c r="AI243" i="1"/>
  <c r="AK243" i="1" s="1"/>
  <c r="AJ244" i="1"/>
  <c r="AI140" i="1"/>
  <c r="AK140" i="1" s="1"/>
  <c r="AI196" i="1"/>
  <c r="AK196" i="1" s="1"/>
  <c r="AJ197" i="1"/>
  <c r="AI141" i="1"/>
  <c r="AK141" i="1" s="1"/>
  <c r="AJ142" i="1"/>
  <c r="AI98" i="1"/>
  <c r="AK98" i="1" s="1"/>
  <c r="AJ99" i="1"/>
  <c r="AJ100" i="1" s="1"/>
  <c r="AI100" i="1" s="1"/>
  <c r="AK100" i="1" s="1"/>
  <c r="AI106" i="1"/>
  <c r="AK106" i="1" s="1"/>
  <c r="AJ107" i="1"/>
  <c r="AI112" i="1"/>
  <c r="AK112" i="1" s="1"/>
  <c r="AI103" i="1"/>
  <c r="AK103" i="1" s="1"/>
  <c r="AJ104" i="1"/>
  <c r="AJ105" i="1" s="1"/>
  <c r="AI105" i="1" s="1"/>
  <c r="AK105" i="1" s="1"/>
  <c r="AI111" i="1"/>
  <c r="AK111" i="1" s="1"/>
  <c r="AJ114" i="1"/>
  <c r="AI113" i="1"/>
  <c r="AK113" i="1" s="1"/>
  <c r="AJ102" i="1"/>
  <c r="AI101" i="1"/>
  <c r="AK101" i="1" s="1"/>
  <c r="AI110" i="1"/>
  <c r="AK110" i="1" s="1"/>
  <c r="AI89" i="1"/>
  <c r="AK89" i="1" s="1"/>
  <c r="AI93" i="1"/>
  <c r="AK93" i="1" s="1"/>
  <c r="AJ94" i="1"/>
  <c r="AI96" i="1"/>
  <c r="AK96" i="1" s="1"/>
  <c r="AJ97" i="1"/>
  <c r="AI88" i="1"/>
  <c r="AK88" i="1" s="1"/>
  <c r="AI91" i="1"/>
  <c r="AK91" i="1" s="1"/>
  <c r="AJ92" i="1"/>
  <c r="AI95" i="1"/>
  <c r="AK95" i="1" s="1"/>
  <c r="AI90" i="1"/>
  <c r="AK90" i="1" s="1"/>
  <c r="AI87" i="1"/>
  <c r="AK87" i="1" s="1"/>
  <c r="AJ80" i="1"/>
  <c r="AI86" i="1"/>
  <c r="AK86" i="1" s="1"/>
  <c r="AI78" i="1"/>
  <c r="AK78" i="1" s="1"/>
  <c r="AJ79" i="1"/>
  <c r="AI85" i="1"/>
  <c r="AK85" i="1" s="1"/>
  <c r="AI83" i="1"/>
  <c r="AK83" i="1" s="1"/>
  <c r="AJ84" i="1"/>
  <c r="AJ82" i="1"/>
  <c r="AI81" i="1"/>
  <c r="AK81" i="1" s="1"/>
  <c r="AI61" i="1"/>
  <c r="AK61" i="1" s="1"/>
  <c r="AJ62" i="1"/>
  <c r="AJ71" i="1"/>
  <c r="AI70" i="1"/>
  <c r="AK70" i="1" s="1"/>
  <c r="AJ69" i="1"/>
  <c r="AI68" i="1"/>
  <c r="AK68" i="1" s="1"/>
  <c r="AI75" i="1"/>
  <c r="AK75" i="1" s="1"/>
  <c r="AI63" i="1"/>
  <c r="AK63" i="1" s="1"/>
  <c r="AJ64" i="1"/>
  <c r="AI72" i="1"/>
  <c r="AK72" i="1" s="1"/>
  <c r="AJ73" i="1"/>
  <c r="AI76" i="1"/>
  <c r="AK76" i="1" s="1"/>
  <c r="AJ77" i="1"/>
  <c r="AI45" i="1"/>
  <c r="AK45" i="1" s="1"/>
  <c r="AI58" i="1"/>
  <c r="AK58" i="1" s="1"/>
  <c r="AJ59" i="1"/>
  <c r="AI55" i="1"/>
  <c r="AK55" i="1" s="1"/>
  <c r="AJ56" i="1"/>
  <c r="AI46" i="1"/>
  <c r="AK46" i="1" s="1"/>
  <c r="AJ47" i="1"/>
  <c r="AI33" i="1"/>
  <c r="AK33" i="1" s="1"/>
  <c r="AJ34" i="1"/>
  <c r="AI29" i="1"/>
  <c r="AK29" i="1" s="1"/>
  <c r="AJ30" i="1"/>
  <c r="AI22" i="1"/>
  <c r="AK22" i="1" s="1"/>
  <c r="AJ23" i="1"/>
  <c r="AI25" i="1"/>
  <c r="AK25" i="1" s="1"/>
  <c r="AJ26" i="1"/>
  <c r="AI20" i="1"/>
  <c r="AK20" i="1" s="1"/>
  <c r="AJ21" i="1"/>
  <c r="AI40" i="1"/>
  <c r="AK40" i="1" s="1"/>
  <c r="AJ41" i="1"/>
  <c r="AI38" i="1"/>
  <c r="AK38" i="1" s="1"/>
  <c r="AJ39" i="1"/>
  <c r="AI27" i="1"/>
  <c r="AK27" i="1" s="1"/>
  <c r="AJ28" i="1"/>
  <c r="AI17" i="1"/>
  <c r="AK17" i="1" s="1"/>
  <c r="AJ18" i="1"/>
  <c r="AI15" i="1"/>
  <c r="AK15" i="1" s="1"/>
  <c r="AJ16" i="1"/>
  <c r="AJ238" i="1" l="1"/>
  <c r="AI238" i="1" s="1"/>
  <c r="AK238" i="1" s="1"/>
  <c r="AI237" i="1"/>
  <c r="AK237" i="1" s="1"/>
  <c r="AI194" i="1"/>
  <c r="AK194" i="1" s="1"/>
  <c r="AJ195" i="1"/>
  <c r="AI247" i="1"/>
  <c r="AK247" i="1" s="1"/>
  <c r="AI129" i="1"/>
  <c r="AK129" i="1" s="1"/>
  <c r="AJ130" i="1"/>
  <c r="AG37" i="1"/>
  <c r="AH37" i="1"/>
  <c r="AI189" i="1"/>
  <c r="AK189" i="1" s="1"/>
  <c r="AI150" i="1"/>
  <c r="AK150" i="1" s="1"/>
  <c r="AJ151" i="1"/>
  <c r="AI144" i="1"/>
  <c r="AK144" i="1" s="1"/>
  <c r="AI142" i="1"/>
  <c r="AK142" i="1" s="1"/>
  <c r="AI181" i="1"/>
  <c r="AK181" i="1" s="1"/>
  <c r="AJ182" i="1"/>
  <c r="AI213" i="1"/>
  <c r="AK213" i="1" s="1"/>
  <c r="AI215" i="1"/>
  <c r="AK215" i="1" s="1"/>
  <c r="AJ216" i="1"/>
  <c r="AJ224" i="1"/>
  <c r="AI223" i="1"/>
  <c r="AK223" i="1" s="1"/>
  <c r="AI234" i="1"/>
  <c r="AK234" i="1" s="1"/>
  <c r="AI197" i="1"/>
  <c r="AK197" i="1" s="1"/>
  <c r="AJ198" i="1"/>
  <c r="AI139" i="1"/>
  <c r="AK139" i="1" s="1"/>
  <c r="AI160" i="1"/>
  <c r="AK160" i="1" s="1"/>
  <c r="AI228" i="1"/>
  <c r="AK228" i="1" s="1"/>
  <c r="AI185" i="1"/>
  <c r="AK185" i="1" s="1"/>
  <c r="AJ186" i="1"/>
  <c r="AJ122" i="1"/>
  <c r="AI121" i="1"/>
  <c r="AK121" i="1" s="1"/>
  <c r="AI172" i="1"/>
  <c r="AK172" i="1" s="1"/>
  <c r="AJ173" i="1"/>
  <c r="AI204" i="1"/>
  <c r="AK204" i="1" s="1"/>
  <c r="AJ205" i="1"/>
  <c r="AI153" i="1"/>
  <c r="AK153" i="1" s="1"/>
  <c r="AI244" i="1"/>
  <c r="AK244" i="1" s="1"/>
  <c r="AI148" i="1"/>
  <c r="AK148" i="1" s="1"/>
  <c r="AI218" i="1"/>
  <c r="AK218" i="1" s="1"/>
  <c r="AJ219" i="1"/>
  <c r="AI146" i="1"/>
  <c r="AK146" i="1" s="1"/>
  <c r="AI230" i="1"/>
  <c r="AK230" i="1" s="1"/>
  <c r="AI200" i="1"/>
  <c r="AK200" i="1" s="1"/>
  <c r="AJ201" i="1"/>
  <c r="AI178" i="1"/>
  <c r="AK178" i="1" s="1"/>
  <c r="AJ179" i="1"/>
  <c r="AI155" i="1"/>
  <c r="AK155" i="1" s="1"/>
  <c r="AI137" i="1"/>
  <c r="AK137" i="1" s="1"/>
  <c r="AJ126" i="1"/>
  <c r="AI125" i="1"/>
  <c r="AK125" i="1" s="1"/>
  <c r="AI168" i="1"/>
  <c r="AK168" i="1" s="1"/>
  <c r="AJ169" i="1"/>
  <c r="AI134" i="1"/>
  <c r="AK134" i="1" s="1"/>
  <c r="AI166" i="1"/>
  <c r="AK166" i="1" s="1"/>
  <c r="AI157" i="1"/>
  <c r="AK157" i="1" s="1"/>
  <c r="AI162" i="1"/>
  <c r="AK162" i="1" s="1"/>
  <c r="AJ163" i="1"/>
  <c r="AI208" i="1"/>
  <c r="AK208" i="1" s="1"/>
  <c r="AJ209" i="1"/>
  <c r="AI232" i="1"/>
  <c r="AK232" i="1" s="1"/>
  <c r="AI117" i="1"/>
  <c r="AK117" i="1" s="1"/>
  <c r="AJ118" i="1"/>
  <c r="AI102" i="1"/>
  <c r="AK102" i="1" s="1"/>
  <c r="AI114" i="1"/>
  <c r="AK114" i="1" s="1"/>
  <c r="AJ115" i="1"/>
  <c r="AI104" i="1"/>
  <c r="AK104" i="1" s="1"/>
  <c r="AI107" i="1"/>
  <c r="AK107" i="1" s="1"/>
  <c r="AJ108" i="1"/>
  <c r="AI99" i="1"/>
  <c r="AK99" i="1" s="1"/>
  <c r="AI92" i="1"/>
  <c r="AK92" i="1" s="1"/>
  <c r="AI97" i="1"/>
  <c r="AK97" i="1" s="1"/>
  <c r="AI94" i="1"/>
  <c r="AK94" i="1" s="1"/>
  <c r="AI80" i="1"/>
  <c r="AK80" i="1" s="1"/>
  <c r="AI82" i="1"/>
  <c r="AK82" i="1" s="1"/>
  <c r="AI84" i="1"/>
  <c r="AK84" i="1" s="1"/>
  <c r="AI79" i="1"/>
  <c r="AK79" i="1" s="1"/>
  <c r="AI77" i="1"/>
  <c r="AK77" i="1" s="1"/>
  <c r="AI73" i="1"/>
  <c r="AK73" i="1" s="1"/>
  <c r="AJ74" i="1"/>
  <c r="AJ65" i="1"/>
  <c r="AI64" i="1"/>
  <c r="AK64" i="1" s="1"/>
  <c r="AI69" i="1"/>
  <c r="AK69" i="1" s="1"/>
  <c r="AI71" i="1"/>
  <c r="AK71" i="1" s="1"/>
  <c r="AI62" i="1"/>
  <c r="AK62" i="1" s="1"/>
  <c r="AI47" i="1"/>
  <c r="AK47" i="1" s="1"/>
  <c r="AJ48" i="1"/>
  <c r="P41" i="19"/>
  <c r="AJ57" i="1"/>
  <c r="AI56" i="1"/>
  <c r="AK56" i="1" s="1"/>
  <c r="V51" i="19"/>
  <c r="AI59" i="1"/>
  <c r="AK59" i="1" s="1"/>
  <c r="AJ60" i="1"/>
  <c r="J21" i="19"/>
  <c r="AB11" i="19"/>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I39" i="1"/>
  <c r="AI28" i="1"/>
  <c r="AI41" i="1"/>
  <c r="AK41" i="1" s="1"/>
  <c r="AI21" i="1"/>
  <c r="AI26" i="1"/>
  <c r="AJ24" i="1"/>
  <c r="AI23" i="1"/>
  <c r="P28" i="19"/>
  <c r="AJ31" i="1"/>
  <c r="AI30" i="1"/>
  <c r="J8" i="19"/>
  <c r="AJ35" i="1"/>
  <c r="AI34" i="1"/>
  <c r="AI16" i="1"/>
  <c r="AK16" i="1" s="1"/>
  <c r="AI18" i="1"/>
  <c r="AJ19"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P16" i="19"/>
  <c r="AI195" i="1" l="1"/>
  <c r="AK195" i="1" s="1"/>
  <c r="AI130" i="1"/>
  <c r="AK130" i="1" s="1"/>
  <c r="AI173" i="1"/>
  <c r="AK173" i="1" s="1"/>
  <c r="AJ174" i="1"/>
  <c r="AJ206" i="1"/>
  <c r="AI205" i="1"/>
  <c r="AK205" i="1" s="1"/>
  <c r="AI118" i="1"/>
  <c r="AK118" i="1" s="1"/>
  <c r="AJ119" i="1"/>
  <c r="AI169" i="1"/>
  <c r="AK169" i="1" s="1"/>
  <c r="AJ170" i="1"/>
  <c r="AI182" i="1"/>
  <c r="AK182" i="1" s="1"/>
  <c r="AJ183" i="1"/>
  <c r="AI198" i="1"/>
  <c r="AK198" i="1" s="1"/>
  <c r="AI151" i="1"/>
  <c r="AK151" i="1" s="1"/>
  <c r="AI126" i="1"/>
  <c r="AK126" i="1" s="1"/>
  <c r="AI209" i="1"/>
  <c r="AK209" i="1" s="1"/>
  <c r="AJ210" i="1"/>
  <c r="AJ220" i="1"/>
  <c r="AI219" i="1"/>
  <c r="AK219" i="1" s="1"/>
  <c r="AJ202" i="1"/>
  <c r="AI201" i="1"/>
  <c r="AK201" i="1" s="1"/>
  <c r="AI122" i="1"/>
  <c r="AK122" i="1" s="1"/>
  <c r="AJ123" i="1"/>
  <c r="AI163" i="1"/>
  <c r="AK163" i="1" s="1"/>
  <c r="AJ164" i="1"/>
  <c r="AI224" i="1"/>
  <c r="AK224" i="1" s="1"/>
  <c r="AJ225" i="1"/>
  <c r="AI186" i="1"/>
  <c r="AK186" i="1" s="1"/>
  <c r="AJ187" i="1"/>
  <c r="AI216" i="1"/>
  <c r="AK216" i="1" s="1"/>
  <c r="AI179" i="1"/>
  <c r="AK179" i="1" s="1"/>
  <c r="AI108" i="1"/>
  <c r="AK108" i="1" s="1"/>
  <c r="AJ109" i="1"/>
  <c r="AI115" i="1"/>
  <c r="AK115" i="1" s="1"/>
  <c r="AI65" i="1"/>
  <c r="AK65" i="1" s="1"/>
  <c r="AJ66" i="1"/>
  <c r="AI74" i="1"/>
  <c r="AK74" i="1" s="1"/>
  <c r="AI60" i="1"/>
  <c r="AK60" i="1" s="1"/>
  <c r="AI57" i="1"/>
  <c r="AK57" i="1" s="1"/>
  <c r="AI48" i="1"/>
  <c r="AK48" i="1" s="1"/>
  <c r="AJ49" i="1"/>
  <c r="AI47" i="19"/>
  <c r="AI17" i="19"/>
  <c r="W47" i="19"/>
  <c r="K17" i="19"/>
  <c r="AI37" i="19"/>
  <c r="AI7" i="19"/>
  <c r="AI27" i="19"/>
  <c r="AC37" i="19"/>
  <c r="K47" i="19"/>
  <c r="AC17" i="19"/>
  <c r="W7" i="19"/>
  <c r="Q47" i="19"/>
  <c r="W17" i="19"/>
  <c r="AC47" i="19"/>
  <c r="AK30"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31" i="1"/>
  <c r="AJ32" i="1"/>
  <c r="AK23"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24" i="1"/>
  <c r="AK26"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K21"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K37" i="19"/>
  <c r="Q7" i="19"/>
  <c r="K27" i="19"/>
  <c r="W27" i="19"/>
  <c r="K7" i="19"/>
  <c r="Q37" i="19"/>
  <c r="AK34"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28"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35" i="1"/>
  <c r="AJ36" i="1"/>
  <c r="AC7" i="19"/>
  <c r="AC27" i="19"/>
  <c r="AK39"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19" i="1"/>
  <c r="AK18"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V46" i="19"/>
  <c r="AB46" i="19"/>
  <c r="J46" i="19"/>
  <c r="V36" i="19"/>
  <c r="P46" i="19"/>
  <c r="J16" i="19"/>
  <c r="AH16" i="19"/>
  <c r="AB26" i="19"/>
  <c r="J6" i="19"/>
  <c r="J26" i="19"/>
  <c r="V16" i="19"/>
  <c r="J36" i="19"/>
  <c r="P26" i="19"/>
  <c r="V6" i="19"/>
  <c r="AB6" i="19"/>
  <c r="P6" i="19"/>
  <c r="AB36" i="19"/>
  <c r="AH36" i="19"/>
  <c r="AB16" i="19"/>
  <c r="AH6" i="19"/>
  <c r="AH26" i="19"/>
  <c r="V26" i="19"/>
  <c r="AH46" i="19"/>
  <c r="P36" i="19"/>
  <c r="S16" i="19"/>
  <c r="AC6" i="19"/>
  <c r="AI220" i="1" l="1"/>
  <c r="AK220" i="1" s="1"/>
  <c r="AJ221" i="1"/>
  <c r="AI206" i="1"/>
  <c r="AK206" i="1" s="1"/>
  <c r="AI183" i="1"/>
  <c r="AK183" i="1" s="1"/>
  <c r="AI187" i="1"/>
  <c r="AK187" i="1" s="1"/>
  <c r="AI210" i="1"/>
  <c r="AK210" i="1" s="1"/>
  <c r="AJ211" i="1"/>
  <c r="AI164" i="1"/>
  <c r="AK164" i="1" s="1"/>
  <c r="AJ175" i="1"/>
  <c r="AI174" i="1"/>
  <c r="AK174" i="1" s="1"/>
  <c r="AI123" i="1"/>
  <c r="AK123" i="1" s="1"/>
  <c r="AI225" i="1"/>
  <c r="AK225" i="1" s="1"/>
  <c r="AI170" i="1"/>
  <c r="AK170" i="1" s="1"/>
  <c r="AI202" i="1"/>
  <c r="AK202" i="1" s="1"/>
  <c r="AI119" i="1"/>
  <c r="AK119" i="1" s="1"/>
  <c r="AI109" i="1"/>
  <c r="AK109" i="1" s="1"/>
  <c r="AJ67" i="1"/>
  <c r="AI66" i="1"/>
  <c r="AK66" i="1" s="1"/>
  <c r="AI49" i="1"/>
  <c r="AK49" i="1" s="1"/>
  <c r="AJ50" i="1"/>
  <c r="AI32" i="1"/>
  <c r="AK31"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K24"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K35"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37" i="1"/>
  <c r="AI36"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K19"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26" i="19"/>
  <c r="M36" i="19"/>
  <c r="Y36" i="19"/>
  <c r="S46" i="19"/>
  <c r="M6" i="19"/>
  <c r="M46" i="19"/>
  <c r="AK6" i="19"/>
  <c r="AE26" i="19"/>
  <c r="AE46" i="19"/>
  <c r="Y46" i="19"/>
  <c r="Y6" i="19"/>
  <c r="M26" i="19"/>
  <c r="S36" i="19"/>
  <c r="AK46" i="19"/>
  <c r="AE16" i="19"/>
  <c r="S6" i="19"/>
  <c r="AE36" i="19"/>
  <c r="M16" i="19"/>
  <c r="AE6" i="19"/>
  <c r="AK36" i="19"/>
  <c r="Y26" i="19"/>
  <c r="S26" i="19"/>
  <c r="T16" i="19"/>
  <c r="Y16" i="19"/>
  <c r="W26" i="19"/>
  <c r="AI36" i="19"/>
  <c r="AC46" i="19"/>
  <c r="W46" i="19"/>
  <c r="Q16" i="19"/>
  <c r="W36" i="19"/>
  <c r="Q26" i="19"/>
  <c r="AI26" i="19"/>
  <c r="K36" i="19"/>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J26" i="19"/>
  <c r="R46" i="19"/>
  <c r="L36" i="19"/>
  <c r="AJ16" i="19"/>
  <c r="AD26" i="19"/>
  <c r="AI211" i="1" l="1"/>
  <c r="AK211" i="1" s="1"/>
  <c r="AI175" i="1"/>
  <c r="AK175" i="1" s="1"/>
  <c r="AJ176" i="1"/>
  <c r="AI176" i="1" s="1"/>
  <c r="AK176" i="1" s="1"/>
  <c r="AI221" i="1"/>
  <c r="AK221" i="1" s="1"/>
  <c r="AI67" i="1"/>
  <c r="AK67" i="1" s="1"/>
  <c r="AJ51" i="1"/>
  <c r="AI51" i="1" s="1"/>
  <c r="AK51" i="1" s="1"/>
  <c r="AI50" i="1"/>
  <c r="AK50" i="1" s="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K36"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37"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32"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N6" i="19"/>
  <c r="AF36" i="19"/>
  <c r="Z26" i="19"/>
  <c r="N36" i="19"/>
  <c r="AL16" i="19"/>
  <c r="N16" i="19"/>
  <c r="Z36" i="19"/>
  <c r="Z6" i="19"/>
  <c r="AF26" i="19"/>
  <c r="AF6" i="19"/>
  <c r="T46" i="19"/>
  <c r="T26" i="19"/>
  <c r="N46" i="19"/>
  <c r="T6" i="19"/>
  <c r="Z46" i="19"/>
  <c r="AF46" i="19"/>
  <c r="AL46" i="19"/>
  <c r="N26" i="19"/>
  <c r="T36" i="19"/>
  <c r="Z16" i="19"/>
  <c r="AF16" i="19"/>
  <c r="AL6" i="19"/>
  <c r="AL26" i="19"/>
  <c r="AL36" i="19"/>
  <c r="AM16" i="19"/>
  <c r="AA26" i="19"/>
  <c r="O46" i="19"/>
  <c r="AG46" i="19"/>
  <c r="AG26" i="19"/>
  <c r="O16" i="19"/>
  <c r="AM26" i="19"/>
  <c r="AM46" i="19"/>
  <c r="AG6" i="19"/>
  <c r="U16" i="19"/>
  <c r="O26" i="19"/>
  <c r="AM6" i="19"/>
  <c r="AA16" i="19"/>
  <c r="AA6" i="19"/>
  <c r="AA46" i="19"/>
  <c r="U26" i="19"/>
  <c r="O36" i="19"/>
  <c r="AM36" i="19"/>
  <c r="O6" i="19"/>
  <c r="U6" i="19"/>
  <c r="U36" i="19"/>
  <c r="U46" i="19"/>
  <c r="AG16" i="19"/>
  <c r="AG36" i="19"/>
  <c r="AA36" i="19"/>
  <c r="AM24" i="19" l="1"/>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37"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16"/>
            <color indexed="81"/>
            <rFont val="Tahoma"/>
            <family val="2"/>
          </rPr>
          <t>¿QUÉ?</t>
        </r>
      </text>
    </comment>
    <comment ref="F11" authorId="0" shapeId="0">
      <text>
        <r>
          <rPr>
            <b/>
            <sz val="16"/>
            <color indexed="81"/>
            <rFont val="Tahoma"/>
            <family val="2"/>
          </rPr>
          <t>¿CÓMO?</t>
        </r>
      </text>
    </comment>
    <comment ref="G11" authorId="0" shapeId="0">
      <text>
        <r>
          <rPr>
            <b/>
            <sz val="16"/>
            <color indexed="81"/>
            <rFont val="Tahoma"/>
            <family val="2"/>
          </rPr>
          <t>¿POR QUÉ?</t>
        </r>
      </text>
    </comment>
    <comment ref="H11" authorId="0" shapeId="0">
      <text>
        <r>
          <rPr>
            <b/>
            <sz val="16"/>
            <color indexed="81"/>
            <rFont val="Tahoma"/>
            <family val="2"/>
          </rPr>
          <t>=Impacto+Causa Inmediata + Causa Raíz</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<sst xmlns="http://schemas.openxmlformats.org/spreadsheetml/2006/main" count="3764" uniqueCount="1227">
  <si>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</si>
  <si>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</si>
  <si>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</si>
  <si>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</si>
  <si>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</si>
  <si>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</si>
  <si>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</si>
  <si>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</si>
  <si>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</si>
  <si>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</si>
  <si>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</si>
  <si>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</si>
  <si>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</si>
  <si>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</si>
  <si>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</si>
  <si>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</si>
  <si>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</si>
  <si>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</si>
  <si>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</si>
  <si>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</si>
  <si>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</si>
  <si>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</si>
  <si>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</si>
  <si>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</si>
  <si>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</si>
  <si>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</si>
  <si>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</si>
  <si>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</si>
  <si>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</si>
  <si>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</si>
  <si>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</si>
  <si>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</si>
  <si>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</si>
  <si>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</si>
  <si>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</si>
  <si>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</si>
  <si>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</si>
  <si>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</si>
  <si>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</si>
  <si>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</si>
  <si>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</si>
  <si>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</si>
  <si>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</si>
  <si>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</si>
  <si>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</si>
  <si>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</si>
  <si>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</si>
  <si>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</si>
  <si>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</si>
  <si>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</si>
  <si>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</si>
  <si>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</si>
  <si>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</si>
  <si>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</si>
  <si>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</si>
  <si>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</si>
  <si>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</si>
  <si>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</si>
  <si>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</si>
  <si>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</si>
  <si>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</si>
  <si>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</si>
  <si>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</si>
  <si>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</si>
  <si>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</si>
  <si>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</si>
  <si>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</si>
  <si>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</si>
  <si>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</si>
  <si>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</si>
  <si>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</si>
  <si>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</si>
  <si>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</si>
  <si>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</si>
  <si>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</si>
  <si>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</si>
  <si>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</si>
  <si>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</si>
  <si>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</si>
  <si>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</si>
  <si>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</si>
  <si>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</si>
  <si>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</si>
  <si>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</si>
  <si>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</si>
  <si>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</si>
  <si>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</si>
  <si>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</si>
  <si>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</si>
  <si>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</si>
  <si>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</si>
  <si>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</si>
  <si>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</si>
  <si>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Responsable</t>
  </si>
  <si>
    <t>Fecha Implementación</t>
  </si>
  <si>
    <t>Fecha Seguimiento</t>
  </si>
  <si>
    <t>Acción u Omisión</t>
  </si>
  <si>
    <t>Uso del Poder</t>
  </si>
  <si>
    <t>Desviar la Gestión 
de lo Público</t>
  </si>
  <si>
    <t xml:space="preserve">Beneficio Privado </t>
  </si>
  <si>
    <t>Tipo</t>
  </si>
  <si>
    <t>Implementación</t>
  </si>
  <si>
    <t>Calificación</t>
  </si>
  <si>
    <t>Documentación</t>
  </si>
  <si>
    <t>Frecuencia</t>
  </si>
  <si>
    <t>Evidencia</t>
  </si>
  <si>
    <t>FORMATO: SEGUIMIENTOS Y MONITOREO MAPA DE RIESGOS</t>
  </si>
  <si>
    <t>CÓDIGO: PL-OAPL-PR-05-FT-01</t>
  </si>
  <si>
    <t>VERSIÓN: 06</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</si>
  <si>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</si>
  <si>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</si>
  <si>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</si>
  <si>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</si>
  <si>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</si>
  <si>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</si>
  <si>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</si>
  <si>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</si>
  <si>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</si>
  <si>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</si>
  <si>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</si>
  <si>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</si>
  <si>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</si>
  <si>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</si>
  <si>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</si>
  <si>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</si>
  <si>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</si>
  <si>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</si>
  <si>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</si>
  <si>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</si>
  <si>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</si>
  <si>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</si>
  <si>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</si>
  <si>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</si>
  <si>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</si>
  <si>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</si>
  <si>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</si>
  <si>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</si>
  <si>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</si>
  <si>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</si>
  <si>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</si>
  <si>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</si>
  <si>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</si>
  <si>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</si>
  <si>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</si>
  <si>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</si>
  <si>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</si>
  <si>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</si>
  <si>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</si>
  <si>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</si>
  <si>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</si>
  <si>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</si>
  <si>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</si>
  <si>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</si>
  <si>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</si>
  <si>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</si>
  <si>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</si>
  <si>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</si>
  <si>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</si>
  <si>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</si>
  <si>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</si>
  <si>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</si>
  <si>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</si>
  <si>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</si>
  <si>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</si>
  <si>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</si>
  <si>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</si>
  <si>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</si>
  <si>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</si>
  <si>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</si>
  <si>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</si>
  <si>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</si>
  <si>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</si>
  <si>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</si>
  <si>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</si>
  <si>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</si>
  <si>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</si>
  <si>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</si>
  <si>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</si>
  <si>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</si>
  <si>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</si>
  <si>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</si>
  <si>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</si>
  <si>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</si>
  <si>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</si>
  <si>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</si>
  <si>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</si>
  <si>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</si>
  <si>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</si>
  <si>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</si>
  <si>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</si>
  <si>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</si>
  <si>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</si>
  <si>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</si>
  <si>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</si>
  <si>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</si>
  <si>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</si>
  <si>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</si>
  <si>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</si>
  <si>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</si>
  <si>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</si>
  <si>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</si>
  <si>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</si>
  <si>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</si>
  <si>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</si>
  <si>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</si>
  <si>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</si>
  <si>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</si>
  <si>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</si>
  <si>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</si>
  <si>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</si>
  <si>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</si>
  <si>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</si>
  <si>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</si>
  <si>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</si>
  <si>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</si>
  <si>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</si>
  <si>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</si>
  <si>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</si>
  <si>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</si>
  <si>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</si>
  <si>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</si>
  <si>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</si>
  <si>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</si>
  <si>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</si>
  <si>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</si>
  <si>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</si>
  <si>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</si>
  <si>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</si>
  <si>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</si>
  <si>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</si>
  <si>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</si>
  <si>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</si>
  <si>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</si>
  <si>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</si>
  <si>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</si>
  <si>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</si>
  <si>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</si>
  <si>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</si>
  <si>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</si>
  <si>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</si>
  <si>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</si>
  <si>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</si>
  <si>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</si>
  <si>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</si>
  <si>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</si>
  <si>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</si>
  <si>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</si>
  <si>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</si>
  <si>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</si>
  <si>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</si>
  <si>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</si>
  <si>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</si>
  <si>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</si>
  <si>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</si>
  <si>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</si>
  <si>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</si>
  <si>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</si>
  <si>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</si>
  <si>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</si>
  <si>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</si>
  <si>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</si>
  <si>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</si>
  <si>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</si>
  <si>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</si>
  <si>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</si>
  <si>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</si>
  <si>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</si>
  <si>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</si>
  <si>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</si>
  <si>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</si>
  <si>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</si>
  <si>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</si>
  <si>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</si>
  <si>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</si>
  <si>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</si>
  <si>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</si>
  <si>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</si>
  <si>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</si>
  <si>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</si>
  <si>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</si>
  <si>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</si>
  <si>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</si>
  <si>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</si>
  <si>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</si>
  <si>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</si>
  <si>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</si>
  <si>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</si>
  <si>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</si>
  <si>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</si>
  <si>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</si>
  <si>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</si>
  <si>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</si>
  <si>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</si>
  <si>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</si>
  <si>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</si>
  <si>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</si>
  <si>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</si>
  <si>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</si>
  <si>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</si>
  <si>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</si>
  <si>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</si>
  <si>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</si>
  <si>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</si>
  <si>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</si>
  <si>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</si>
  <si>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</si>
  <si>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</si>
  <si>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</si>
  <si>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</si>
  <si>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</si>
  <si>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</si>
  <si>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</si>
  <si>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</si>
  <si>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</si>
  <si>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</si>
  <si>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</si>
  <si>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</si>
  <si>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</si>
  <si>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</si>
  <si>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</si>
  <si>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</si>
  <si>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</si>
  <si>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</si>
  <si>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</si>
  <si>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</si>
  <si>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</si>
  <si>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</si>
  <si>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</si>
  <si>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</si>
  <si>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</si>
  <si>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</si>
  <si>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</si>
  <si>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</si>
  <si>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</si>
  <si>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</si>
  <si>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</si>
  <si>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</si>
  <si>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</si>
  <si>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</si>
  <si>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</si>
  <si>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</si>
  <si>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</si>
  <si>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</si>
  <si>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</si>
  <si>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</si>
  <si>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</si>
  <si>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</si>
  <si>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</si>
  <si>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</si>
  <si>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</si>
  <si>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</si>
  <si>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</si>
  <si>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</si>
  <si>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</si>
  <si>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</si>
  <si>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</si>
  <si>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</si>
  <si>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</si>
  <si>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</si>
  <si>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</si>
  <si>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</si>
  <si>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</si>
  <si>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</si>
  <si>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</si>
  <si>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</si>
  <si>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</si>
  <si>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</si>
  <si>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</si>
  <si>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</si>
  <si>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</si>
  <si>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</si>
  <si>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</si>
  <si>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</si>
  <si>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</si>
  <si>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</si>
  <si>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</si>
  <si>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</si>
  <si>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</si>
  <si>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</si>
  <si>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</si>
  <si>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</si>
  <si>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</si>
  <si>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</si>
  <si>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</si>
  <si>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</si>
  <si>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</si>
  <si>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</si>
  <si>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</si>
  <si>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</si>
  <si>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</si>
  <si>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</si>
  <si>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</si>
  <si>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</si>
  <si>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</si>
  <si>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</si>
  <si>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</si>
  <si>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</si>
  <si>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</si>
  <si>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</si>
  <si>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</si>
  <si>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</si>
  <si>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</si>
  <si>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</si>
  <si>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</si>
  <si>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</si>
  <si>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</si>
  <si>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</si>
  <si>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</si>
  <si>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</si>
  <si>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</si>
  <si>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</si>
  <si>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</si>
  <si>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</si>
  <si>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</si>
  <si>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</si>
  <si>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</si>
  <si>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</si>
  <si>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</si>
  <si>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</si>
  <si>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</si>
  <si>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</si>
  <si>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</si>
  <si>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</si>
  <si>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</si>
  <si>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</si>
  <si>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</si>
  <si>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</si>
  <si>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</si>
  <si>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</si>
  <si>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</si>
  <si>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</si>
  <si>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</si>
  <si>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</si>
  <si>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</si>
  <si>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</si>
  <si>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</si>
  <si>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</si>
  <si>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</si>
  <si>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</si>
  <si>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</si>
  <si>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</si>
  <si>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</si>
  <si>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</si>
  <si>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</si>
  <si>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</si>
  <si>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</si>
  <si>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</si>
  <si>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</si>
  <si>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</si>
  <si>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</si>
  <si>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</si>
  <si>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</si>
  <si>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</si>
  <si>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</si>
  <si>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</si>
  <si>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</si>
  <si>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</si>
  <si>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</si>
  <si>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</si>
  <si>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</si>
  <si>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</si>
  <si>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</si>
  <si>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</si>
  <si>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</si>
  <si>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</si>
  <si>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Salud</t>
  </si>
  <si>
    <t>Fiscal</t>
  </si>
  <si>
    <t>Actuarial</t>
  </si>
  <si>
    <t>Crédito</t>
  </si>
  <si>
    <t>Liquidez</t>
  </si>
  <si>
    <t>Sarlaft</t>
  </si>
  <si>
    <t>GBG_02</t>
  </si>
  <si>
    <t>Multas y Sanciones</t>
  </si>
  <si>
    <t>Vinculación de personas naturales y/o jurídicas, sin considerar los lineamientos contemplados relacionados con conflictos de interés. (Política de Integridad)</t>
  </si>
  <si>
    <t>N/A</t>
  </si>
  <si>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</si>
  <si>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</si>
  <si>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Demandas Legales y Sanciones</t>
  </si>
  <si>
    <t>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</si>
  <si>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</si>
  <si>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</si>
  <si>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</si>
  <si>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</si>
  <si>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</si>
  <si>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</si>
  <si>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</si>
  <si>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</si>
  <si>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</si>
  <si>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</si>
  <si>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</si>
  <si>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</si>
  <si>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</si>
  <si>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</si>
  <si>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</si>
  <si>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</si>
  <si>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</si>
  <si>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</si>
  <si>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</si>
  <si>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</si>
  <si>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</si>
  <si>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</si>
  <si>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</si>
  <si>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</si>
  <si>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</si>
  <si>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Validación de preguntas FURAG Vs soportes y/o evidencias entregados por los Jefes de Unidad y/o Jefes de Oficina.</t>
  </si>
  <si>
    <t>Nicolás Corredor Ramírez</t>
  </si>
  <si>
    <t>30 de Junio</t>
  </si>
  <si>
    <t>Repositorio Documental
(GoogleDrive)</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</si>
  <si>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</si>
  <si>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</si>
  <si>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</si>
  <si>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</si>
  <si>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</si>
  <si>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</si>
  <si>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</si>
  <si>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</si>
  <si>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</si>
  <si>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</si>
  <si>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</si>
  <si>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Interrupción en la prestación de los servicios tecnológicos de la entidad.</t>
  </si>
  <si>
    <t>Sistema de Información Dinámica Gerencial</t>
  </si>
  <si>
    <t>TIN_02</t>
  </si>
  <si>
    <t xml:space="preserve">Acceso a información clínica clasificada o reservada de los usuarios del  HOMIL </t>
  </si>
  <si>
    <t>Falta de control del ciclo de vida de las credenciales de acceso a la infraestructura tecnológica de la entidad.</t>
  </si>
  <si>
    <t xml:space="preserve">La Unidad de Talento Humano, reporta vía correo electrónico las novedades de personal (retiros) a fin de que se deshabiliten los accesos a los diferentes servicios tecnológicos. </t>
  </si>
  <si>
    <t>Campañas de concientización, simulacros sobre ataques cibernéticos</t>
  </si>
  <si>
    <t>Jefe Unidad de Informática</t>
  </si>
  <si>
    <t>Mensual</t>
  </si>
  <si>
    <t>Evidencias campañas</t>
  </si>
  <si>
    <t>Implementar dentro del proceso de pago de la última cuenta, factura o liquidación el paz y salvo de la Unidad Informática</t>
  </si>
  <si>
    <t>Paz y salvo UNIF</t>
  </si>
  <si>
    <t>TIN_03</t>
  </si>
  <si>
    <t xml:space="preserve">No disponibilidad de la información clínica  de los usuarios del  HOMIL </t>
  </si>
  <si>
    <t>Falta de respaldo (copias de seguridad) de la información.</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</si>
  <si>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</si>
  <si>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</si>
  <si>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</si>
  <si>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</si>
  <si>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</si>
  <si>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TIN_04</t>
  </si>
  <si>
    <t>Fallas en el funcionamiento del sistema de información clínico Dinámica Gerencial Hospitalaria</t>
  </si>
  <si>
    <t>Indebido control de cambios en la implementación de nuevas versiones del aplicativo.</t>
  </si>
  <si>
    <t>CAU_01</t>
  </si>
  <si>
    <t>Publicaciones con datos erróneos o imprecisos en las piezas de comunicación e información dirigida a usuarios externos del HOMIL.</t>
  </si>
  <si>
    <t>CAU_02</t>
  </si>
  <si>
    <t>Publicaciones con datos erróneos o imprecisos en las piezas de comunicación e información dirigida a usuarios internos del HOMIL.</t>
  </si>
  <si>
    <t>CAU_03</t>
  </si>
  <si>
    <t>Demoras en las proyecciones de respuesta y/o respuesta superficiales por parte de los servicios, errores en el direccionamiento interno y recepción de peticiones incompletas o con falta de soportes para tramitarlas</t>
  </si>
  <si>
    <t>GAAF_01</t>
  </si>
  <si>
    <t xml:space="preserve">Farmacia Producción y Adecuación de Medicamentos
Farmacia Salas  de Cirugía.
Farmacia de Salas de Maternidad.
Farmacia Tecnologías en Salud
(Medicamentos, Insumos Médico Quirúrgicos
de diagnóstico y reactivos)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</si>
  <si>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</si>
  <si>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</si>
  <si>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</si>
  <si>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GAAF_03</t>
  </si>
  <si>
    <t>Farmacia Producción y Adecuación de Medicamentos
Farmacia Salas  de Cirugía.
Farmacia de Salas de Maternidad.</t>
  </si>
  <si>
    <t>Falta de oportunidad en el inicio o continuidad de la farmacoterapia a los usuarios atendidos por el HOMIL</t>
  </si>
  <si>
    <t>No disponibilidad de los medicamentos, por incumplimiento del contratista que provee los mismos.</t>
  </si>
  <si>
    <t>GAAF_05</t>
  </si>
  <si>
    <t>Farmacia Producción y Adecuación de Medicamentos
Farmacia Salas  de Cirugía.
Farmacia de Salas de Maternidad.
Farmacia Médico Quirúrgica</t>
  </si>
  <si>
    <t>Seguridad de paciente</t>
  </si>
  <si>
    <t>Dispensación de medicamentos vencidos o diferentes a los prescritos.</t>
  </si>
  <si>
    <t>GAAF_08</t>
  </si>
  <si>
    <t>Farmacia Producción y Adecuación de Medicamentos</t>
  </si>
  <si>
    <t>Seguridad del paciente</t>
  </si>
  <si>
    <t>Liberación de un medicamento adecuado en la CAM que no corresponde con lo prescrito, producto de errores del personal en la interpretación de la prescripción médica, procesos de producción y liberación de medicamentos, sin cumplir requisitos de calidad.</t>
  </si>
  <si>
    <t>GAAF_09</t>
  </si>
  <si>
    <t>Farmacia Producción y Adecuación de
Medicamentos</t>
  </si>
  <si>
    <t>Contaminación microbiológica en el área de producción de la CAM.</t>
  </si>
  <si>
    <t>Falta de adherencia a protocolos de limpieza y desinfección o una externalidad no controlada.</t>
  </si>
  <si>
    <t>GAAF_10</t>
  </si>
  <si>
    <t>Error en el diagnóstico y tratamiento a los usuarios atendidos por el HOMIL.</t>
  </si>
  <si>
    <t>No cumplimiento de protocolos, errores de interpretación, lectura, transcripción y validación de los resultados y/o estudios.</t>
  </si>
  <si>
    <t>El líder de sección y/o área realiza socialización, evaluación y adherencia anual de los protocolos del servicio de acuerdo al cronograma establecido de cada servicio.</t>
  </si>
  <si>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</si>
  <si>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</si>
  <si>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</si>
  <si>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</si>
  <si>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t>GAAF_12</t>
  </si>
  <si>
    <t>Desabastecimiento de insumos   para la realización y procesamiento de estudios y muestras.</t>
  </si>
  <si>
    <t>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</si>
  <si>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</si>
  <si>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</si>
  <si>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</si>
  <si>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Aumento de los niveles permitidos de radiación provocando posibles efectos nocivos para la salud de los trabajadores expuestos a radiación ionizante.</t>
  </si>
  <si>
    <t>No uso del dosímetro y no uso de los elementos de radio-protección personal.</t>
  </si>
  <si>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</si>
  <si>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</si>
  <si>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</si>
  <si>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</si>
  <si>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t>GAAF_15</t>
  </si>
  <si>
    <t>Farmacia Producción y Adecuación de Medicamentos
Farmacia Salas  de Cirugía.
Farmacia de Salas de Maternidad.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</si>
  <si>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</si>
  <si>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</si>
  <si>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t>X</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</si>
  <si>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</si>
  <si>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</si>
  <si>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</si>
  <si>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</si>
  <si>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t>AAM_02</t>
  </si>
  <si>
    <t>No cierre del ciclo de atención de los pacientes atendidos en el servicio de urgencias (asistencial y administrativo)</t>
  </si>
  <si>
    <t>Salida de pacientes sin autorización médica (Fuga)</t>
  </si>
  <si>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</si>
  <si>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</si>
  <si>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</si>
  <si>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</si>
  <si>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</si>
  <si>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t>AAM_04</t>
  </si>
  <si>
    <t>Consulta Externa</t>
  </si>
  <si>
    <t>Lesión o daño en el paciente durante la prestación del servicio</t>
  </si>
  <si>
    <t>Fallas en el manejo y adherencia a las guías, protocolos, procedimientos de gestión ambulatoria por el personal de salud en el sitio de trabajo.</t>
  </si>
  <si>
    <t>AAM_05</t>
  </si>
  <si>
    <t>Recibir o solicitar cualquier dadiva o beneficio a nombre propio o de terceros</t>
  </si>
  <si>
    <t>Manejo de influencias en la asignación de citas médicas y falla en adherencia a los protocolos institucionales por parte de los funcionarios de asignación de citas.</t>
  </si>
  <si>
    <t>AAM_06</t>
  </si>
  <si>
    <t>Pérdida de medicamentos e insumos hospitalarios en custodia del servicio de  enfermería en consulta externa.
(Sala de procedimientos menores y vacunación)</t>
  </si>
  <si>
    <t>AHO_01</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</si>
  <si>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</si>
  <si>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</si>
  <si>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</si>
  <si>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</si>
  <si>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</si>
  <si>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</si>
  <si>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</si>
  <si>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</si>
  <si>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</si>
  <si>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</si>
  <si>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</si>
  <si>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</si>
  <si>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</si>
  <si>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</si>
  <si>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</si>
  <si>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</si>
  <si>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</si>
  <si>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</si>
  <si>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</si>
  <si>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</si>
  <si>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</si>
  <si>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</si>
  <si>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t>Escuela de Auxiliares de Enfermería</t>
  </si>
  <si>
    <t>La coordinadora académica con colaboración docente, realiza semanalmente el seguimiento de retención, por medio de resultados académicos y ausentismo de los estudiantes. (listados de asistencias y reportes de calificaciones)</t>
  </si>
  <si>
    <t>GCO_02</t>
  </si>
  <si>
    <t>Disminución en los ingresos de la Escuela de Auxiliares de Enfermería.</t>
  </si>
  <si>
    <t>Baja captación de los aspirantes al programa académico de acuerdo a la capacidad instalada y posible deserción estudiantil.</t>
  </si>
  <si>
    <t>GCO_03</t>
  </si>
  <si>
    <t>Incumplimiento a la normatividad y sanciones del ente regulador llevando a la cancelación  del escenario de práctica.</t>
  </si>
  <si>
    <t>Autorización de prácticas formativas sin convenio docencia servicio.</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</si>
  <si>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</si>
  <si>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</si>
  <si>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</si>
  <si>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</si>
  <si>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</si>
  <si>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</si>
  <si>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</si>
  <si>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Desarrollo de proyectos de
investigación sin aval institucional.</t>
  </si>
  <si>
    <t>Falta de adherencia a la Política de Investigación Ética e Integridad Científica y procedimiento de investigación académica.</t>
  </si>
  <si>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</si>
  <si>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</si>
  <si>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GHU_01</t>
  </si>
  <si>
    <t>Administración de Personal.
Régimen Interno</t>
  </si>
  <si>
    <t>Sanciones, multas y demandas</t>
  </si>
  <si>
    <t xml:space="preserve">Incumplimiento de los requisitos legales y/o propios del empleo en los procesos de vinculación de la entidad y/o Militares en comisión. </t>
  </si>
  <si>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</si>
  <si>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t>GHU_02</t>
  </si>
  <si>
    <t>Administración de Personal.</t>
  </si>
  <si>
    <t>Sanciones , multas y demandas</t>
  </si>
  <si>
    <t>Traslado de personal sin verificar idoneidad y/o condiciones de salud para desempeñar el empleo.</t>
  </si>
  <si>
    <t>GHU_03</t>
  </si>
  <si>
    <t>Oficina Control Disciplinario Interno</t>
  </si>
  <si>
    <t>Manipulación del proceso disciplinario en beneficio del investigado.</t>
  </si>
  <si>
    <t>GHU_04</t>
  </si>
  <si>
    <t>Pérdida de la competencia por parte de la administración, para ejercer la acción disciplinaria por el paso del tiempo.</t>
  </si>
  <si>
    <t xml:space="preserve">Falta de diligencia para gestionar el proceso disciplinario en los términos otorgados por la ley. </t>
  </si>
  <si>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</si>
  <si>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</si>
  <si>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</si>
  <si>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</si>
  <si>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</si>
  <si>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</si>
  <si>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</si>
  <si>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</si>
  <si>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</si>
  <si>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</si>
  <si>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</si>
  <si>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 xml:space="preserve">Ausencia de identificación de necesidades de capacitación y/o bienestar de los diferentes servicios y áreas del HOMIL y ausencia de seguimiento a las actividades de capacitación y bienestar.
</t>
  </si>
  <si>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</si>
  <si>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</si>
  <si>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</si>
  <si>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</si>
  <si>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</si>
  <si>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</si>
  <si>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</si>
  <si>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</si>
  <si>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</si>
  <si>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</si>
  <si>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</si>
  <si>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</si>
  <si>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</si>
  <si>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</si>
  <si>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</si>
  <si>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</si>
  <si>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GJU_01</t>
  </si>
  <si>
    <t>Oficina Asesora Jurídica</t>
  </si>
  <si>
    <t>Fallos judiciales en contra del HOMIL.</t>
  </si>
  <si>
    <t>Contestación extemporanea en las demandas interpuestas en contra de la entidad.</t>
  </si>
  <si>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</si>
  <si>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</si>
  <si>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</si>
  <si>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Supervisión inadecuada de los contratos.</t>
  </si>
  <si>
    <t>Los profesionales designados por la Oficina Asesora Jurídica, en compañía del profesional designado por la Unidad de Compras, Licitaciones y Bienes Activos, realiza trimestralmente capacitación y evaluación a los supervisores de los contratos del Homil, con el fin de que cuenten con el conocimiento necesario para que se realice la supervisión de acuerdo a las normas que regulan la materia.</t>
  </si>
  <si>
    <t>GLO_01</t>
  </si>
  <si>
    <t>No prestación en la atención integral de los servicios de salud a los usuarios atendidos por el HOMIL.</t>
  </si>
  <si>
    <t>Ausencia de mantenimientos oportunos e inadecuada manipulación de los equipos biomédicos por parte del personal asistencial.</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</si>
  <si>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</si>
  <si>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</si>
  <si>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</si>
  <si>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</si>
  <si>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</si>
  <si>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t>GLO_03</t>
  </si>
  <si>
    <t>Presencia y falta de continuidad en el proceso de control de vectores de plagas.</t>
  </si>
  <si>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</si>
  <si>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 xml:space="preserve">Jornadas de limpieza y desinfección en las áreas y/o servicios. </t>
  </si>
  <si>
    <t>Jefe de Unidad de Apoyo Logístico o delegado de la gestión ambiental.</t>
  </si>
  <si>
    <t>Formatos de limpieza y desinfección diligeniados por la empresa de aseo.</t>
  </si>
  <si>
    <t>GLO_04</t>
  </si>
  <si>
    <t>Sanciones y multas de los diferentes entes de control.</t>
  </si>
  <si>
    <t>Inadecuada segregación y disposición final de residuos hospitarios.</t>
  </si>
  <si>
    <t>Campañas masivas de concientización y sensibilización relacionadas con el Plan de Gestión Integral de Residuos Hospitalarios - PGIRH.</t>
  </si>
  <si>
    <t>Semestral</t>
  </si>
  <si>
    <t>Mediante:
Inspecciones oculares .
Comités y actas de reunión.
Planes de mejora.</t>
  </si>
  <si>
    <t>GLO_05</t>
  </si>
  <si>
    <t>No prestación en la atención integral de los servicios de salud a los usuarios atendidos por el Hospital Militar Central.</t>
  </si>
  <si>
    <t>Fallas en la red del suministro de gases medicinales (oxígeno, aire medicinal y vacío)</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</si>
  <si>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</si>
  <si>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</si>
  <si>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</si>
  <si>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</si>
  <si>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</si>
  <si>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</si>
  <si>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</si>
  <si>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</si>
  <si>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GLO_08</t>
  </si>
  <si>
    <t>Cierre de áreas, servicios y sanciones disciplinarias.</t>
  </si>
  <si>
    <t>Pérdida de materiales y herramientas necesarias para el mantenimiento de las instalaciones de la entidad.</t>
  </si>
  <si>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</si>
  <si>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</si>
  <si>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</si>
  <si>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</si>
  <si>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</si>
  <si>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</si>
  <si>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</si>
  <si>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</si>
  <si>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</si>
  <si>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</si>
  <si>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</si>
  <si>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</si>
  <si>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</si>
  <si>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</si>
  <si>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</si>
  <si>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</si>
  <si>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</si>
  <si>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</si>
  <si>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</si>
  <si>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</si>
  <si>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</si>
  <si>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</si>
  <si>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</si>
  <si>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</si>
  <si>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</si>
  <si>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</si>
  <si>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</si>
  <si>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Cierre de áreas y/o servicios por parte de organismos de vigilancia y control.</t>
  </si>
  <si>
    <t>Incumplimientos a la normatividad vigente.
(Acreditación y habilitación).</t>
  </si>
  <si>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</si>
  <si>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</si>
  <si>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</si>
  <si>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</si>
  <si>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Posibilidad de afectación económica y reputacional por hurto de medicamentos, insumos hospitalarios y equipos médicos, debido al incumpliemiento al procedimiento de Devolución de medicamentos y dispositivos médicos.</t>
  </si>
  <si>
    <t>GLO_16</t>
  </si>
  <si>
    <t>Multas y sanciones.</t>
  </si>
  <si>
    <t xml:space="preserve">Pérdida y hurto de recursos (dinero) de la caja manual (ventanilla) y para el manejo del dinero con el que se surte el cajero electrónico del parqueadero público. </t>
  </si>
  <si>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</si>
  <si>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</si>
  <si>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</si>
  <si>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</si>
  <si>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</si>
  <si>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Multas, sanciones, demandas y no prestación en la atención integral de los servicios de salud a los usuarios atendidos por el HOMIL.</t>
  </si>
  <si>
    <t>Falta de planeación en el adecuado funcionamiento y prestación del servicio de ambulancias (medicalizadas y básicas)</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</si>
  <si>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</si>
  <si>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</si>
  <si>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</si>
  <si>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</si>
  <si>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Realizar capacitación trimestral  al personal que interviene en la estructuración de los procesos contractuales.</t>
  </si>
  <si>
    <t>Jefe del area Gestion Contratos</t>
  </si>
  <si>
    <t>Actas de capacitación</t>
  </si>
  <si>
    <t>GDA_02</t>
  </si>
  <si>
    <t>Almacenes Bienes Activos</t>
  </si>
  <si>
    <t>Observaciones, hallazgos, multas o sanciones de entes de control.</t>
  </si>
  <si>
    <t>Pérdida de los bienes activos y bienes de consumo.</t>
  </si>
  <si>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</si>
  <si>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</si>
  <si>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</si>
  <si>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 xml:space="preserve">Jefe de Área de Almacén </t>
  </si>
  <si>
    <t xml:space="preserve">Realizar Capacitación trimestral, con el fin de afianzar los conocimientos en los procesos y procedimientos de los diferentes actividades realizadas en el área de Bienes </t>
  </si>
  <si>
    <t>GDA_03</t>
  </si>
  <si>
    <t>Limitación en el cumplimiento del objetivo de los procesos del HOMIL.</t>
  </si>
  <si>
    <t>Daño de los bienes activos derivado del uso negligente de los mismos.</t>
  </si>
  <si>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</si>
  <si>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</si>
  <si>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</si>
  <si>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</si>
  <si>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</si>
  <si>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t>El profesional designado del Área de Gestión Contratos – GECO, realiza cada vez que se requiera la verificación integral de los documentos que hacen parte de los estudios previos y la modalidad de selección aplicable.</t>
  </si>
  <si>
    <t xml:space="preserve">Realizar trimestralmente, revision aleatoria en el SECOPII,  verificando flujo de aprobacion y dejando como evidencia pantallazos  de los procesos consultados </t>
  </si>
  <si>
    <t xml:space="preserve">Pantallazos  de los procesos consultados </t>
  </si>
  <si>
    <t>El profesional designado del Área de Gestión Contratos – GECO</t>
  </si>
  <si>
    <t>GDA_05</t>
  </si>
  <si>
    <t>Manipulación de la información en el seguimiento y supervisión de los contratos.</t>
  </si>
  <si>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</si>
  <si>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</si>
  <si>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GDA_06</t>
  </si>
  <si>
    <t>Incumplimiento de los requisitos legales y/o propios del objeto del contrato  en los procesos de ingreso a la entidad.</t>
  </si>
  <si>
    <t>GFI_01</t>
  </si>
  <si>
    <t>Presupuesto</t>
  </si>
  <si>
    <t>Limitación en la prestación de servicios de salud por falta de recursos.</t>
  </si>
  <si>
    <t>Fallas en la planeación y seguimiento presupuestal.</t>
  </si>
  <si>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</si>
  <si>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Resoluciones de traslados internos</t>
  </si>
  <si>
    <t>Área de Presupuesto</t>
  </si>
  <si>
    <t>Resoluciones de traslados realizados en el periodo.</t>
  </si>
  <si>
    <t>GFI_02</t>
  </si>
  <si>
    <t>Contabilidad</t>
  </si>
  <si>
    <t>Sanción y no fenecimiento de la cuenta fiscal.</t>
  </si>
  <si>
    <t>Inoportunidad o no registro de las transacciones económicas e incumplimiento a la normatividad.</t>
  </si>
  <si>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</si>
  <si>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</si>
  <si>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</si>
  <si>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</si>
  <si>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GFI_03</t>
  </si>
  <si>
    <t>Contabilidad
(Áreas fuente de la información contable)</t>
  </si>
  <si>
    <t>Incluir u omitir datos en el sistema de información que no respondan a la realidad con respecto a la transacción realizada.</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</si>
  <si>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</si>
  <si>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</si>
  <si>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</si>
  <si>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</si>
  <si>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GFI_04</t>
  </si>
  <si>
    <t>Tesorería</t>
  </si>
  <si>
    <t>Sanciones económicas y penales.</t>
  </si>
  <si>
    <t>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</si>
  <si>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</si>
  <si>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</si>
  <si>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</si>
  <si>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</si>
  <si>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</si>
  <si>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</si>
  <si>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</si>
  <si>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</si>
  <si>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</si>
  <si>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</si>
  <si>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</si>
  <si>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</si>
  <si>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</si>
  <si>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</si>
  <si>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</si>
  <si>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</si>
  <si>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</si>
  <si>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</si>
  <si>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</si>
  <si>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</si>
  <si>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</si>
  <si>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</si>
  <si>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</si>
  <si>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</si>
  <si>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</si>
  <si>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</si>
  <si>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</si>
  <si>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</si>
  <si>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</si>
  <si>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</si>
  <si>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</si>
  <si>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</si>
  <si>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</si>
  <si>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</si>
  <si>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</si>
  <si>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</si>
  <si>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</si>
  <si>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</si>
  <si>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</si>
  <si>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</si>
  <si>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</si>
  <si>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</si>
  <si>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Realizar validación trimestral del comportamiento del ingreso, frente al contrato con la DIGSA.</t>
  </si>
  <si>
    <t>Área de Costos</t>
  </si>
  <si>
    <t>Acta de cruce de cartera con facturación.</t>
  </si>
  <si>
    <t>GDO_01</t>
  </si>
  <si>
    <t>Pérdida del patrimonio documental.</t>
  </si>
  <si>
    <t>Inadecuada administración de los documentos por parte del personal y/o incumplimiento de los procedimientos de la gestión documental en la entidad.</t>
  </si>
  <si>
    <t>GDO_02</t>
  </si>
  <si>
    <t>Incumplimiento normativo, a causa de desgregación, deterioro y pérdida del patrimonio documental.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</si>
  <si>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</si>
  <si>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</si>
  <si>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</si>
  <si>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</si>
  <si>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</si>
  <si>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</si>
  <si>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</si>
  <si>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</si>
  <si>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t>OCI_01</t>
  </si>
  <si>
    <t>Oficina de Control Interno</t>
  </si>
  <si>
    <t>Selección inadecuada de procesos a evaluar.</t>
  </si>
  <si>
    <t>Falta de aplicación de una herramienta de priorización de auditorías, como insumo para la elaboración del Plan Anual de Auditorias de cada vigencia.</t>
  </si>
  <si>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</si>
  <si>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</si>
  <si>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</si>
  <si>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t>OCI_03</t>
  </si>
  <si>
    <t>Inexistencia de información que sustente y respalde el hallazgo de auditoría, deficiencias e interpretación errada de los soportes o ausencia de los mismos.</t>
  </si>
  <si>
    <t>OCI_04</t>
  </si>
  <si>
    <t xml:space="preserve">
Para alterar a conveniencia propia o de terceros los resultados de informes a cargo de la Oficina de Control Interno.</t>
  </si>
  <si>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</si>
  <si>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</si>
  <si>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</si>
  <si>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</si>
  <si>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</si>
  <si>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MATRIZ DE MONITOREO DE RIESGOS I TRIMESTRE
(ENERO - MARZO)</t>
  </si>
  <si>
    <t>MATRIZ DE MONITOREO DE RIESGOS II TRIMESTRE
 (ABRIL - JUNIO)</t>
  </si>
  <si>
    <t>MATRIZ DE MONITOREO DE RIESGOS III TRIMESTRE
 (JULIO - SEPTIEMBRE)</t>
  </si>
  <si>
    <t>MATRIZ DE MONITOREO DE RIESGOS IV TRIMESTRE
 (OCTUBRE - DICIEMBRE)</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</si>
  <si>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</si>
  <si>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La Jefe de la Oficina de Control Disciplinario Interno gestiona con cada uno de los funcionarios a su cargo, la suscripción mensual de un acta de adherencia al código general disciplinario, en lo que concierne a las faltas disciplinarias relacionadas con recibir o solicitar dadivas como consecuencia de la manipulación del proceso disciplinario en beneficio del investigado.</t>
  </si>
  <si>
    <t>GHU_09</t>
  </si>
  <si>
    <t>GHU_10</t>
  </si>
  <si>
    <t>Asuntos Disciplinarios y Administrativos</t>
  </si>
  <si>
    <t>Pérdida de la competencia por parte de la administración, para ejercer la acción disciplinaria y administrativa por el paso del tiempo.</t>
  </si>
  <si>
    <t xml:space="preserve">Falta de diligencia para gestionar el proceso disciplinarios y administrativos en los términos otorgados por la ley. </t>
  </si>
  <si>
    <t>GDA_07</t>
  </si>
  <si>
    <t>GDA_08</t>
  </si>
  <si>
    <t>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t>
  </si>
  <si>
    <t>Jefe de la Unidad de Compras, Licitaciones y Bienes Activos</t>
  </si>
  <si>
    <t>Sanciones disciplinarias, administrativas, penales, incumplimiento normativo y detrimento patrimonial.</t>
  </si>
  <si>
    <t>Registro inoportuno en la Historia Clínica  del estado de salud y la atención brindada.</t>
  </si>
  <si>
    <t>GDO_05</t>
  </si>
  <si>
    <t>Gestión Documental, Historias Clínicas e Imprenta.</t>
  </si>
  <si>
    <t>GDO_06</t>
  </si>
  <si>
    <t>El responsable del área de transporte, planea anualmente mediante el plan anual de adquisiciones los requerimientos necesarios para el correcto funcionamiento de las ambulancias (Combustible, mantenimientos preventivos y correctivos, impuestos, revisiones tecno mecánicas y soat), con el fin de garantizar el optimo funcionamiento de los vehículos de emergencia.</t>
  </si>
  <si>
    <t>GHU_11</t>
  </si>
  <si>
    <t>Fuga de Conocimiento</t>
  </si>
  <si>
    <t>Administración de Personal y Régimen Interno</t>
  </si>
  <si>
    <t>Equipo Biomédico e Industrial</t>
  </si>
  <si>
    <t>Gestión Ambiental</t>
  </si>
  <si>
    <t>Mantenimiento, Talleres</t>
  </si>
  <si>
    <t>Infraestructura Hospitalaria</t>
  </si>
  <si>
    <t>Transportes</t>
  </si>
  <si>
    <t>Áreas responsables</t>
  </si>
  <si>
    <t>Gestión de la Infraestructura de
las Tecnologías de la
Información y Comunicación</t>
  </si>
  <si>
    <t>Comunicación Estratégica</t>
  </si>
  <si>
    <t>Atención al Usuario y Relacionamiento Ciudadano</t>
  </si>
  <si>
    <t>Imágenes Diagnosticas
Laboratorio clínico
Patología
Banco de Sangre y Gestión Pretrasfusional</t>
  </si>
  <si>
    <t>Imágenes Diágnosticas</t>
  </si>
  <si>
    <t>Epidemiología</t>
  </si>
  <si>
    <t>Formación del Talento Humano en Salud</t>
  </si>
  <si>
    <t>Investigación en salud
Laboratorio de Innovación - INNLAB</t>
  </si>
  <si>
    <t>Gestión Contratos, Selección Personal - Seguimiento, Ejecución y Apoyo Contractual</t>
  </si>
  <si>
    <t>Subdirección Administrativa
(Subdirector Administrativo)
Unidad de Compras, Licitaciones y Bienes Activos</t>
  </si>
  <si>
    <t>Gestión Ética, Bioética, Buen Gobierno y Humanización
Administración de Personal
Gestión Contratos, Selección
Personal - Seguimiento,
Ejecución y Apoyo Contractual</t>
  </si>
  <si>
    <t xml:space="preserve">Gestión Ética, Bioética, Buen Gobierno y Humanización
Responsables de los Grupos de trabajo
Presidentes de los Comités Institucionales. </t>
  </si>
  <si>
    <t>1 de Marzo</t>
  </si>
  <si>
    <r>
      <t xml:space="preserve">Establecer un marco de referencia general que involucre a todos los servidores públicos y contratistas del </t>
    </r>
    <r>
      <rPr>
        <b/>
        <sz val="20"/>
        <color theme="1"/>
        <rFont val="Arial Narrow"/>
        <family val="2"/>
      </rPr>
      <t>HOSPITAL MILITAR CENTRAL</t>
    </r>
    <r>
      <rPr>
        <sz val="20"/>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t>
    </r>
  </si>
  <si>
    <r>
      <t xml:space="preserve">Posibilidad de afectación económica y reputacional por recibir o solicitar cualquier dádiva o beneficio a nombre propio o de terceros, debido a la inadecuada manipulación de los procesos Disciplinarios Militares </t>
    </r>
    <r>
      <rPr>
        <b/>
        <sz val="20"/>
        <rFont val="Arial Narrow"/>
        <family val="2"/>
      </rPr>
      <t>(Ley 1862 de 2017)</t>
    </r>
    <r>
      <rPr>
        <sz val="20"/>
        <rFont val="Arial Narrow"/>
        <family val="2"/>
      </rPr>
      <t xml:space="preserve"> y procesos administrativos </t>
    </r>
    <r>
      <rPr>
        <b/>
        <sz val="20"/>
        <rFont val="Arial Narrow"/>
        <family val="2"/>
      </rPr>
      <t xml:space="preserve">(Ley 1476 de 2011) </t>
    </r>
    <r>
      <rPr>
        <sz val="20"/>
        <rFont val="Arial Narrow"/>
        <family val="2"/>
      </rPr>
      <t xml:space="preserve">en beneficio del
investigado.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</si>
  <si>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fallos judiciales en contra del HOMIL, debido a supervisión inadecuada de los contratos. 
</t>
    </r>
    <r>
      <rPr>
        <b/>
        <sz val="20"/>
        <rFont val="Arial Narrow"/>
        <family val="2"/>
      </rPr>
      <t>(Política de prevención del daño antijurídico)</t>
    </r>
  </si>
  <si>
    <r>
      <t xml:space="preserve">Posibilidad de afectación económica y reputacional por sanciones disciplinarias, administrativas, penales, incumplimiento normativo y detrimento patrimonial, debido a la inadecuada administración de recursos asignados a la caja menor No. 2 - Insumos Hospitalarios a cargo del (Jefe de la Unidad De compras, licitaciones y Bienes Activos) destinados a atender los gastos hospitalarios y el suministro oportuno de medicamentos, elementos de laboratorio, quirúrgicos, de curación como también la adquisición de servicio de salud que se requiera en forma inmediata para los usuarios del </t>
    </r>
    <r>
      <rPr>
        <b/>
        <sz val="20"/>
        <rFont val="Arial Narrow"/>
        <family val="2"/>
      </rPr>
      <t>Hospital Militar Central.</t>
    </r>
  </si>
  <si>
    <r>
      <rPr>
        <b/>
        <sz val="20"/>
        <color indexed="53"/>
        <rFont val="Arial Narrow"/>
        <family val="2"/>
      </rPr>
      <t xml:space="preserve">*Nota: </t>
    </r>
    <r>
      <rPr>
        <sz val="20"/>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</si>
  <si>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r>
      <t>Descripción del Control
(</t>
    </r>
    <r>
      <rPr>
        <i/>
        <u/>
        <sz val="24"/>
        <color theme="1"/>
        <rFont val="Arial Narrow"/>
        <family val="2"/>
      </rPr>
      <t>Responsable + actividad a realizar + periodicidad + propósito + forma como se 
desarrolla el control</t>
    </r>
    <r>
      <rPr>
        <b/>
        <u/>
        <sz val="24"/>
        <color theme="1"/>
        <rFont val="Arial Narrow"/>
        <family val="2"/>
      </rPr>
      <t>)</t>
    </r>
  </si>
  <si>
    <r>
      <t>Plan de Acción
(</t>
    </r>
    <r>
      <rPr>
        <sz val="24"/>
        <color theme="1"/>
        <rFont val="Arial Narrow"/>
        <family val="2"/>
      </rPr>
      <t>Actividad</t>
    </r>
    <r>
      <rPr>
        <b/>
        <sz val="24"/>
        <color theme="1"/>
        <rFont val="Arial Narrow"/>
        <family val="2"/>
      </rPr>
      <t>)</t>
    </r>
  </si>
  <si>
    <r>
      <rPr>
        <sz val="18"/>
        <rFont val="Arial Narrow"/>
        <family val="2"/>
      </rPr>
      <t>El profesional del área de Administración de personal, junto con el responsable de Selección y contratación de personal y el profesional</t>
    </r>
    <r>
      <rPr>
        <sz val="18"/>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</si>
  <si>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r>
      <t xml:space="preserve">Cada vez que se requiera el responsable del Área de Comunicaciones y Relaciones Públicas envía a la fuente primaria (área solicitante) el producto comunicativo para validar su veracidad y claridad, posterior a ello envía al Asesor(a) de la Dirección General para su aprobación quien </t>
    </r>
    <r>
      <rPr>
        <u/>
        <sz val="18"/>
        <color theme="1"/>
        <rFont val="Arial Narrow"/>
        <family val="2"/>
      </rPr>
      <t>de acuerdo al nivel de complejidad</t>
    </r>
    <r>
      <rPr>
        <sz val="18"/>
        <color theme="1"/>
        <rFont val="Arial Narrow"/>
        <family val="2"/>
      </rPr>
      <t xml:space="preserve"> del mismo envía a la Dirección General para obtener un tercer aval, posterior a este proceso se realiza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</si>
  <si>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Cada vez que se requiera el responsable del Área de Comunicaciones y Relaciones Públicas envía a la fuente primaria (área solicitante) el producto comunicativo para validar su veracidad y claridad, y posterior aprobación.
De acuerdo al nivel de complejidad del mismo, se envía a la Dirección General para obtener un segundo aval para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</si>
  <si>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El personal designado de cada farmacia realiza la recepción técnica en el momento del ingreso de medicamentos, reactivos e insumos mediante del formato </t>
    </r>
    <r>
      <rPr>
        <b/>
        <sz val="18"/>
        <color theme="1"/>
        <rFont val="Arial Narrow"/>
        <family val="2"/>
      </rPr>
      <t>AA-UNFA-PR-15-FT-01</t>
    </r>
    <r>
      <rPr>
        <sz val="18"/>
        <color theme="1"/>
        <rFont val="Arial Narrow"/>
        <family val="2"/>
      </rPr>
      <t>, respectivamente,</t>
    </r>
    <r>
      <rPr>
        <sz val="18"/>
        <color rgb="FFFF0000"/>
        <rFont val="Arial Narrow"/>
        <family val="2"/>
      </rPr>
      <t xml:space="preserve"> </t>
    </r>
    <r>
      <rPr>
        <sz val="18"/>
        <color theme="1"/>
        <rFont val="Arial Narrow"/>
        <family val="2"/>
      </rPr>
      <t xml:space="preserve">con el fin de verificar que las cantidades y la información registrada coincidan con lo físico. 
</t>
    </r>
    <r>
      <rPr>
        <b/>
        <sz val="18"/>
        <color theme="1"/>
        <rFont val="Arial Narrow"/>
        <family val="2"/>
      </rPr>
      <t>Soporte:</t>
    </r>
    <r>
      <rPr>
        <sz val="18"/>
        <color theme="1"/>
        <rFont val="Arial Narrow"/>
        <family val="2"/>
      </rPr>
      <t xml:space="preserve"> Formato de recepción técnica. </t>
    </r>
  </si>
  <si>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8"/>
        <color theme="1"/>
        <rFont val="Arial Narrow"/>
        <family val="2"/>
      </rPr>
      <t xml:space="preserve">FR-UNFA-PR-01. 
Soporte: </t>
    </r>
    <r>
      <rPr>
        <sz val="18"/>
        <color theme="1"/>
        <rFont val="Arial Narrow"/>
        <family val="2"/>
      </rPr>
      <t>Formato de Selectivas mensuales.</t>
    </r>
  </si>
  <si>
    <r>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r>
    <r>
      <rPr>
        <b/>
        <sz val="18"/>
        <color theme="1"/>
        <rFont val="Arial Narrow"/>
        <family val="2"/>
      </rPr>
      <t>Soporte:</t>
    </r>
    <r>
      <rPr>
        <sz val="18"/>
        <color theme="1"/>
        <rFont val="Arial Narrow"/>
        <family val="2"/>
      </rPr>
      <t xml:space="preserve"> FORMATO CONTROL INGRESO ÁREAS DE PRODUCCIÓN CODIGO: AA-GAME-PR-02-FT-01.</t>
    </r>
  </si>
  <si>
    <r>
      <t xml:space="preserve">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
</t>
    </r>
    <r>
      <rPr>
        <b/>
        <sz val="18"/>
        <color theme="1"/>
        <rFont val="Arial Narrow"/>
        <family val="2"/>
      </rPr>
      <t>Soporte:</t>
    </r>
    <r>
      <rPr>
        <sz val="18"/>
        <color theme="1"/>
        <rFont val="Arial Narrow"/>
        <family val="2"/>
      </rPr>
      <t xml:space="preserve"> Orden de despacho generada por (Dinámica Gerenciial hospitalaría).</t>
    </r>
  </si>
  <si>
    <r>
      <t>El personal designado de cada farmacia reportará mensualmente al responsable de cada farmacia y al jefe de Unidad, el listado de medicamentos y dispositivos con fechas de vencimiento menores a 6 meses, con el fin gestionar el riesgo de vencimiento y detrimento patrimonial. Siguiendo el procedimientos</t>
    </r>
    <r>
      <rPr>
        <b/>
        <sz val="18"/>
        <color theme="1"/>
        <rFont val="Arial Narrow"/>
        <family val="2"/>
      </rPr>
      <t xml:space="preserve"> PROCEDIMIENTO:  MANEJO DE PRODUCTOS PRÓXIMOS A VENCER, AVERIADOS Y VENCIDOS CÓDIGO: AA-UNFA-PR-20.
Soporte: </t>
    </r>
    <r>
      <rPr>
        <sz val="18"/>
        <color theme="1"/>
        <rFont val="Arial Narrow"/>
        <family val="2"/>
      </rPr>
      <t>Correos electrónicos con la relación de los medicamentos e insumos próximos a vencer.</t>
    </r>
  </si>
  <si>
    <r>
      <t xml:space="preserve">El personal designado por el jefe de la Unidad de Farmacia realizara seguimiento a las devoluciones en los diferentes servicios mediante el uso del Formato de devoluciones postuladas Vs Confirmadas a diario,  con el fin de garantizar la gestión oportuna y realización de las devoluciones. 
</t>
    </r>
    <r>
      <rPr>
        <b/>
        <sz val="18"/>
        <color theme="1"/>
        <rFont val="Arial Narrow"/>
        <family val="2"/>
      </rPr>
      <t>Soporte:</t>
    </r>
    <r>
      <rPr>
        <sz val="18"/>
        <color theme="1"/>
        <rFont val="Arial Narrow"/>
        <family val="2"/>
      </rPr>
      <t xml:space="preserve"> Informe de devoluciones.</t>
    </r>
  </si>
  <si>
    <r>
      <t xml:space="preserve">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
</t>
    </r>
    <r>
      <rPr>
        <b/>
        <sz val="18"/>
        <color theme="1"/>
        <rFont val="Arial Narrow"/>
        <family val="2"/>
      </rPr>
      <t>Soporte:</t>
    </r>
    <r>
      <rPr>
        <sz val="18"/>
        <color theme="1"/>
        <rFont val="Arial Narrow"/>
        <family val="2"/>
      </rPr>
      <t xml:space="preserve"> CONTROL RECEPCION E INGRESO DE FACTURAS, REMISIONES Y URGENCIAS VITALES CÓDIGO: AA-FMTS-PR-01-FT-05</t>
    </r>
  </si>
  <si>
    <r>
      <t xml:space="preserve">El personal designado por el jefe de la Unidad de Farmacia reportará mensualmente el FORMATO: INFORME APROVECHAMIENTO ONCOLOGÍA SEMANAL CÓDIGO: AA-PRFA-PR02-FT-15, con el fin de tener la trazabilidad y el control de los aprovechamientos generados en la CAM
</t>
    </r>
    <r>
      <rPr>
        <b/>
        <sz val="18"/>
        <color theme="1"/>
        <rFont val="Arial Narrow"/>
        <family val="2"/>
      </rPr>
      <t>Soporte:</t>
    </r>
    <r>
      <rPr>
        <sz val="18"/>
        <color theme="1"/>
        <rFont val="Arial Narrow"/>
        <family val="2"/>
      </rPr>
      <t xml:space="preserve"> INFORME APROVECHAMIENTO ONCOLOGÍA SEMANAL</t>
    </r>
  </si>
  <si>
    <r>
      <t xml:space="preserve">El personal designado por el jefe de la Unidad de Farmacia reportará mensualmente a través del FORMATO:  Registro y seguimiento de préstamos interinstitucionales, con el fin de tener la trazabilidad de los prestamos generados a otras instituciones desde la fecha de inicio del prestamos, seguimiento y su cierre.
</t>
    </r>
    <r>
      <rPr>
        <b/>
        <sz val="18"/>
        <color theme="1"/>
        <rFont val="Arial Narrow"/>
        <family val="2"/>
      </rPr>
      <t>Soporte:</t>
    </r>
    <r>
      <rPr>
        <sz val="18"/>
        <color theme="1"/>
        <rFont val="Arial Narrow"/>
        <family val="2"/>
      </rPr>
      <t xml:space="preserve"> Registro y seguimiento de préstamos interinstitucionales</t>
    </r>
  </si>
  <si>
    <r>
      <t xml:space="preserve">El responsable de cada farmacia realiza de acuerdo a la necesidad la solicitud de suministros con el fin de mantener los niveles de stock suficientes para cada farmacia, los cuales se sustentarán con los pedidos periodicos realizados por DGH.
</t>
    </r>
    <r>
      <rPr>
        <b/>
        <sz val="18"/>
        <color theme="1"/>
        <rFont val="Arial Narrow"/>
        <family val="2"/>
      </rPr>
      <t>Soporte:</t>
    </r>
    <r>
      <rPr>
        <sz val="18"/>
        <color theme="1"/>
        <rFont val="Arial Narrow"/>
        <family val="2"/>
      </rPr>
      <t xml:space="preserve"> Requerimiento de medicamnetos e insumos requeridos por las farmacias (DGH).</t>
    </r>
  </si>
  <si>
    <r>
      <t xml:space="preserve">El supervisor del contrato de gases medicinales hace seguimiento mensual del mismo, con el fin de dar cumplimiento y garantizar la disponibilidad de gases medicinales en el Hospital Militar Central.
</t>
    </r>
    <r>
      <rPr>
        <b/>
        <sz val="18"/>
        <color theme="1"/>
        <rFont val="Arial Narrow"/>
        <family val="2"/>
      </rPr>
      <t>Soporte:</t>
    </r>
    <r>
      <rPr>
        <sz val="18"/>
        <color theme="1"/>
        <rFont val="Arial Narrow"/>
        <family val="2"/>
      </rPr>
      <t xml:space="preserve"> Informe de Supervisión del contrato.</t>
    </r>
  </si>
  <si>
    <r>
      <t xml:space="preserve">Frente al desabastecimiento de medicamentos el operador logístico y/o el laboratorio reporta al jefe de la unidad de Farmacia, quien se encarga de informar a los médicos tratantes con el fin de buscar diferentes alternativas para darle continuidad al tratamiento del paciente.
</t>
    </r>
    <r>
      <rPr>
        <b/>
        <sz val="18"/>
        <color theme="1"/>
        <rFont val="Arial Narrow"/>
        <family val="2"/>
      </rPr>
      <t>Soporte:</t>
    </r>
    <r>
      <rPr>
        <sz val="18"/>
        <color theme="1"/>
        <rFont val="Arial Narrow"/>
        <family val="2"/>
      </rPr>
      <t xml:space="preserve"> Correos electrónicos.</t>
    </r>
  </si>
  <si>
    <r>
      <t xml:space="preserve">El responsable de cada farmacia realiza verificación mensual de la correcta identificación </t>
    </r>
    <r>
      <rPr>
        <b/>
        <sz val="18"/>
        <color theme="1"/>
        <rFont val="Arial Narrow"/>
        <family val="2"/>
      </rPr>
      <t>LASA</t>
    </r>
    <r>
      <rPr>
        <sz val="18"/>
        <color theme="1"/>
        <rFont val="Arial Narrow"/>
        <family val="2"/>
      </rPr>
      <t xml:space="preserve"> (Look alike sound alike) y semaforización (Marcación de medicamentos próximos a vencer) para los medicamentos que así lo requieren, con el fin de realizar una dispensación segura de los mismos. 
</t>
    </r>
    <r>
      <rPr>
        <b/>
        <sz val="18"/>
        <color theme="1"/>
        <rFont val="Arial Narrow"/>
        <family val="2"/>
      </rPr>
      <t xml:space="preserve">Soporte: </t>
    </r>
    <r>
      <rPr>
        <sz val="18"/>
        <color theme="1"/>
        <rFont val="Arial Narrow"/>
        <family val="2"/>
      </rPr>
      <t>(Evidencia fotográfica enviada vía correo electrónico).</t>
    </r>
  </si>
  <si>
    <r>
      <t xml:space="preserve">El responsable de cada farmacia realiza de manera mensual el seguimiento a productos próximos a vencer, mediante el reporte de inventario generado en Dinámica Gerencial Hospitalaria, con el cual se gestiona el cambio con el responsable (Operador Logístico y laboratorio)
</t>
    </r>
    <r>
      <rPr>
        <b/>
        <sz val="18"/>
        <color theme="1"/>
        <rFont val="Arial Narrow"/>
        <family val="2"/>
      </rPr>
      <t>Soporte:</t>
    </r>
    <r>
      <rPr>
        <sz val="18"/>
        <color theme="1"/>
        <rFont val="Arial Narrow"/>
        <family val="2"/>
      </rPr>
      <t xml:space="preserve"> Correos electrónicos.</t>
    </r>
  </si>
  <si>
    <r>
      <t xml:space="preserve">El personal designado del área de planta de producción de aire medicinal, realiza la recepción técnica en el momento del ingreso de los gases medicinales mediante del formato </t>
    </r>
    <r>
      <rPr>
        <b/>
        <sz val="18"/>
        <color theme="1"/>
        <rFont val="Arial Narrow"/>
        <family val="2"/>
      </rPr>
      <t>AA-UNFA-PR-15-FT-03</t>
    </r>
    <r>
      <rPr>
        <sz val="18"/>
        <color theme="1"/>
        <rFont val="Arial Narrow"/>
        <family val="2"/>
      </rPr>
      <t xml:space="preserve">, con el fin de verificar fechas de vencimiento.
</t>
    </r>
    <r>
      <rPr>
        <b/>
        <sz val="18"/>
        <color theme="1"/>
        <rFont val="Arial Narrow"/>
        <family val="2"/>
      </rPr>
      <t>Soporte:</t>
    </r>
    <r>
      <rPr>
        <sz val="18"/>
        <color theme="1"/>
        <rFont val="Arial Narrow"/>
        <family val="2"/>
      </rPr>
      <t xml:space="preserve"> Formato de recepción de gases medicinales. </t>
    </r>
  </si>
  <si>
    <r>
      <t xml:space="preserve">El químico farmacéutico de control de calidad, realiza cada vez que se requiera la verificación de la información de las etiquetas de identificación de adecuaciones, con la solicitud y/o la fórmula médica para las producciones que aplique.
</t>
    </r>
    <r>
      <rPr>
        <b/>
        <sz val="18"/>
        <color theme="1"/>
        <rFont val="Arial Narrow"/>
        <family val="2"/>
      </rPr>
      <t>Soporte:</t>
    </r>
    <r>
      <rPr>
        <sz val="18"/>
        <color theme="1"/>
        <rFont val="Arial Narrow"/>
        <family val="2"/>
      </rPr>
      <t xml:space="preserve"> Paquete técnico de la CAM.</t>
    </r>
  </si>
  <si>
    <r>
      <t xml:space="preserve">El químico farmacéutico encargado del aseguramiento de calidad es responsable de ejecutar y garantizar el cumplimiento del programa anual de capacitaciones. Este programa abarca temas clave como (la interpretación de órdenes médicas, los procesos de producción, y el control de calidad de los productos preparados en la Central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</si>
  <si>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coordinador de producción gestiona los procesos de toma de muestras para el control microbiológico que se realiza de manera mensual, con el fin de cumplir con la normatividad y llevar control microbiológico de ambientes, superficies, personas y adecuaciones. 
</t>
    </r>
    <r>
      <rPr>
        <b/>
        <sz val="18"/>
        <color theme="1"/>
        <rFont val="Arial Narrow"/>
        <family val="2"/>
      </rPr>
      <t>Soporte:</t>
    </r>
    <r>
      <rPr>
        <sz val="18"/>
        <color theme="1"/>
        <rFont val="Arial Narrow"/>
        <family val="2"/>
      </rPr>
      <t xml:space="preserve"> Informe de microbiología. </t>
    </r>
  </si>
  <si>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8"/>
        <color theme="1"/>
        <rFont val="Arial Narrow"/>
        <family val="2"/>
      </rPr>
      <t>CÓDIGO: AH-CLME-PT-03</t>
    </r>
    <r>
      <rPr>
        <sz val="18"/>
        <color theme="1"/>
        <rFont val="Arial Narrow"/>
        <family val="2"/>
      </rPr>
      <t xml:space="preserve"> e Ingreso y egreso de las áreas de producción, desinfección personal y flujo de materiales CAM </t>
    </r>
    <r>
      <rPr>
        <b/>
        <sz val="18"/>
        <color theme="1"/>
        <rFont val="Arial Narrow"/>
        <family val="2"/>
      </rPr>
      <t xml:space="preserve">CÓDIGO: Cód. AA-UNFA-PT-19, </t>
    </r>
    <r>
      <rPr>
        <sz val="18"/>
        <color theme="1"/>
        <rFont val="Arial Narrow"/>
        <family val="2"/>
      </rPr>
      <t xml:space="preserve">con el fin dar cumplimiento a la normatividad y garantizar la adherencia a protocolos. 
</t>
    </r>
    <r>
      <rPr>
        <b/>
        <sz val="18"/>
        <color theme="1"/>
        <rFont val="Arial Narrow"/>
        <family val="2"/>
      </rPr>
      <t>Soporte:</t>
    </r>
    <r>
      <rPr>
        <sz val="18"/>
        <color theme="1"/>
        <rFont val="Arial Narrow"/>
        <family val="2"/>
      </rPr>
      <t xml:space="preserve"> Cronograma de capacitación, evaluaciones y listados de asistencia.</t>
    </r>
  </si>
  <si>
    <r>
      <t xml:space="preserve">El auxiliar de farmacia designado, realiza seguimiento quincenal al estado de insumos utilizados para la limpieza y verificación de puntos críticos de limpieza mediante el formato Lista de verificación y desinfección CAM </t>
    </r>
    <r>
      <rPr>
        <b/>
        <sz val="18"/>
        <color theme="1"/>
        <rFont val="Arial Narrow"/>
        <family val="2"/>
      </rPr>
      <t xml:space="preserve">CÓDIGO: AH-CLME-PT-26-FT-03. 
Soporte: </t>
    </r>
    <r>
      <rPr>
        <sz val="18"/>
        <color theme="1"/>
        <rFont val="Arial Narrow"/>
        <family val="2"/>
      </rPr>
      <t>Lista de verificación y desinfección CAM</t>
    </r>
  </si>
  <si>
    <r>
      <t xml:space="preserve">El químico farmacéutico de aseguramiento de calidad hace seguimiento trimestral del cronograma de mantenimiento y calibración de equipo industrial Cod. </t>
    </r>
    <r>
      <rPr>
        <b/>
        <sz val="18"/>
        <color theme="1"/>
        <rFont val="Arial Narrow"/>
        <family val="2"/>
      </rPr>
      <t xml:space="preserve">GL-EQIN-PR-01-FT-02, </t>
    </r>
    <r>
      <rPr>
        <sz val="18"/>
        <color theme="1"/>
        <rFont val="Arial Narrow"/>
        <family val="2"/>
      </rPr>
      <t>de la Central de Adecuación de Medicamentos,</t>
    </r>
    <r>
      <rPr>
        <b/>
        <sz val="18"/>
        <color theme="1"/>
        <rFont val="Arial Narrow"/>
        <family val="2"/>
      </rPr>
      <t xml:space="preserve"> </t>
    </r>
    <r>
      <rPr>
        <sz val="18"/>
        <color theme="1"/>
        <rFont val="Arial Narrow"/>
        <family val="2"/>
      </rPr>
      <t xml:space="preserve">con el fin de verificar su cumplimiento. 
</t>
    </r>
    <r>
      <rPr>
        <b/>
        <sz val="18"/>
        <color theme="1"/>
        <rFont val="Arial Narrow"/>
        <family val="2"/>
      </rPr>
      <t>Soporte:</t>
    </r>
    <r>
      <rPr>
        <sz val="18"/>
        <color theme="1"/>
        <rFont val="Arial Narrow"/>
        <family val="2"/>
      </rPr>
      <t xml:space="preserve"> Cronograma de mantenimiento e Informe de mantenimiento.</t>
    </r>
  </si>
  <si>
    <r>
      <t xml:space="preserve">El coordinador de producción realiza capacitación anual y medición de adherencia semestral en temas de operación de equipos a todo el personal involucrado con la producción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</si>
  <si>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líder de calidad (de los servicios de patología, laboratorio y radiología) realiza reporte mensual del formato Cód. </t>
    </r>
    <r>
      <rPr>
        <b/>
        <sz val="18"/>
        <color theme="1"/>
        <rFont val="Arial Narrow"/>
        <family val="2"/>
      </rPr>
      <t>AA-LACL-PT-13-</t>
    </r>
    <r>
      <rPr>
        <b/>
        <sz val="18"/>
        <rFont val="Arial Narrow"/>
        <family val="2"/>
      </rPr>
      <t>FT-01</t>
    </r>
    <r>
      <rPr>
        <b/>
        <sz val="18"/>
        <color theme="1"/>
        <rFont val="Arial Narrow"/>
        <family val="2"/>
      </rPr>
      <t xml:space="preserve"> - ERRORES  EN  LA  VALIDACION  DE  RESULTADOS  Y/O  PÉRDIDA  DE  MUESTRAS    EN    LABORATORIO  CLÍNICO  –PATOLOGIA, BANCO DE SANGRE E  IMÁGENES DIAGNOSTICAS, </t>
    </r>
    <r>
      <rPr>
        <sz val="18"/>
        <color theme="1"/>
        <rFont val="Arial Narrow"/>
        <family val="2"/>
      </rPr>
      <t>con el fin de hacer seguimiento y evitar errores de interpretación, lectura, transcripción y validación de los resultados y/o estudios.</t>
    </r>
    <r>
      <rPr>
        <b/>
        <sz val="10"/>
        <color theme="1"/>
        <rFont val="Arial Narrow"/>
        <family val="2"/>
      </rPr>
      <t/>
    </r>
  </si>
  <si>
    <r>
      <t xml:space="preserve">El jefe del servicio y/o responsable de calidad realiza semanalmente la verificación mediante visto bueno en el formato Cod. </t>
    </r>
    <r>
      <rPr>
        <b/>
        <sz val="18"/>
        <color theme="1"/>
        <rFont val="Arial Narrow"/>
        <family val="2"/>
      </rPr>
      <t xml:space="preserve">AA-PATL-PR-01-FT-.01, </t>
    </r>
    <r>
      <rPr>
        <sz val="18"/>
        <color theme="1"/>
        <rFont val="Arial Narrow"/>
        <family val="2"/>
      </rPr>
      <t>con el fin de identificar y prevenir posibles pérdidas de muestras. (Imágenes Diagnosticas y Patología)</t>
    </r>
  </si>
  <si>
    <r>
      <t xml:space="preserve">El jefe del servicio y/o responsable de calidad, realiza semanalmente la verificación mediante visto bueno en el formato Cod. </t>
    </r>
    <r>
      <rPr>
        <b/>
        <sz val="18"/>
        <color theme="1"/>
        <rFont val="Arial Narrow"/>
        <family val="2"/>
      </rPr>
      <t>AD-LABO-PT-03-FT-03</t>
    </r>
    <r>
      <rPr>
        <sz val="18"/>
        <color theme="1"/>
        <rFont val="Arial Narrow"/>
        <family val="2"/>
      </rPr>
      <t>, con el fin de identificar y prevenir posibles pérdidas de muestras. (Laboratorio Clínico)</t>
    </r>
  </si>
  <si>
    <r>
      <t xml:space="preserve">El jefe del servicio, realiza de manera mensual o trimestral </t>
    </r>
    <r>
      <rPr>
        <i/>
        <sz val="18"/>
        <rFont val="Arial Narrow"/>
        <family val="2"/>
      </rPr>
      <t>(De acuerdo a las necesidades del servicio)</t>
    </r>
    <r>
      <rPr>
        <sz val="18"/>
        <rFont val="Arial Narrow"/>
        <family val="2"/>
      </rPr>
      <t xml:space="preserve"> la solicitud de insumos en el formato Cod. </t>
    </r>
    <r>
      <rPr>
        <b/>
        <sz val="18"/>
        <rFont val="Arial Narrow"/>
        <family val="2"/>
      </rPr>
      <t xml:space="preserve">GA-GECO-PR-01-FT-01 - ORDEN DE PEDIDO A PROVEEDOR, </t>
    </r>
    <r>
      <rPr>
        <sz val="18"/>
        <rFont val="Arial Narrow"/>
        <family val="2"/>
      </rPr>
      <t xml:space="preserve">con el fin de garantizar la prestación del servicio. </t>
    </r>
  </si>
  <si>
    <r>
      <t xml:space="preserve">El líder del servicio verifica trimestralmente el reporte periódico del resultado de las lecturas de los dosímetros (TLV) dentro de los valores límite permisivos de dosis recibida por trabajador, con el fin de evitar una sobre exposición del personal. 
</t>
    </r>
    <r>
      <rPr>
        <b/>
        <sz val="18"/>
        <color theme="1"/>
        <rFont val="Arial Narrow"/>
        <family val="2"/>
      </rPr>
      <t>Soporte:</t>
    </r>
    <r>
      <rPr>
        <sz val="18"/>
        <color theme="1"/>
        <rFont val="Arial Narrow"/>
        <family val="2"/>
      </rPr>
      <t xml:space="preserve"> Reporte del valor de lectura dosímetro - Listado del Personal</t>
    </r>
  </si>
  <si>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8"/>
        <color theme="1"/>
        <rFont val="Arial Narrow"/>
        <family val="2"/>
      </rPr>
      <t xml:space="preserve">Cod. FR-UNFA-PR-22.
Soporte: </t>
    </r>
    <r>
      <rPr>
        <sz val="18"/>
        <color theme="1"/>
        <rFont val="Arial Narrow"/>
        <family val="2"/>
      </rPr>
      <t>Formato de Selectivas.</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</si>
  <si>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8"/>
        <color theme="1"/>
        <rFont val="Arial Narrow"/>
        <family val="2"/>
      </rPr>
      <t>COD AA-UNFA-PR-15</t>
    </r>
    <r>
      <rPr>
        <sz val="18"/>
        <color theme="1"/>
        <rFont val="Arial Narrow"/>
        <family val="2"/>
      </rPr>
      <t xml:space="preserve"> mediante  el FT Evaluación de adherencia COD </t>
    </r>
    <r>
      <rPr>
        <b/>
        <sz val="18"/>
        <color theme="1"/>
        <rFont val="Arial Narrow"/>
        <family val="2"/>
      </rPr>
      <t>EM-CLDD-PR-01-FT-05</t>
    </r>
    <r>
      <rPr>
        <sz val="18"/>
        <color theme="1"/>
        <rFont val="Arial Narrow"/>
        <family val="2"/>
      </rPr>
      <t xml:space="preserve">, con el fin de mitigar las averías en productos.
</t>
    </r>
    <r>
      <rPr>
        <b/>
        <sz val="18"/>
        <color theme="1"/>
        <rFont val="Arial Narrow"/>
        <family val="2"/>
      </rPr>
      <t>Soporte:</t>
    </r>
    <r>
      <rPr>
        <sz val="18"/>
        <color theme="1"/>
        <rFont val="Arial Narrow"/>
        <family val="2"/>
      </rPr>
      <t xml:space="preserve"> FT Evaluación de adherencia.</t>
    </r>
  </si>
  <si>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8"/>
        <color theme="1"/>
        <rFont val="Arial Narrow"/>
        <family val="2"/>
      </rPr>
      <t xml:space="preserve"> PROCEDIMIENTO:  MANEJO DE PRODUCTOS PRÓXIMOS A VENCER, AVERIADOS Y VENCIDOS CÓDIGO: AA-UNFA-PR-20.
Soporte:</t>
    </r>
    <r>
      <rPr>
        <sz val="18"/>
        <color theme="1"/>
        <rFont val="Arial Narrow"/>
        <family val="2"/>
      </rPr>
      <t xml:space="preserve"> Correos electrónicos con la relación de los medicamentos e insumos próximos a vencer.</t>
    </r>
  </si>
  <si>
    <r>
      <t xml:space="preserve">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
</t>
    </r>
    <r>
      <rPr>
        <b/>
        <sz val="18"/>
        <color theme="1"/>
        <rFont val="Arial Narrow"/>
        <family val="2"/>
      </rPr>
      <t>Soporte:</t>
    </r>
    <r>
      <rPr>
        <sz val="18"/>
        <color theme="1"/>
        <rFont val="Arial Narrow"/>
        <family val="2"/>
      </rPr>
      <t xml:space="preserve"> Correos electrónicos con la solicitud a los proveedores de cambio de los medicamentos e insumos próximos a vencer.</t>
    </r>
  </si>
  <si>
    <r>
      <t xml:space="preserve">El responsable del servicio de urgencias, verifica permanentemente el cumplimiento de Clasificación y valoración en triage </t>
    </r>
    <r>
      <rPr>
        <b/>
        <sz val="18"/>
        <color theme="1"/>
        <rFont val="Arial Narrow"/>
        <family val="2"/>
      </rPr>
      <t>Cod.</t>
    </r>
    <r>
      <rPr>
        <sz val="18"/>
        <color theme="1"/>
        <rFont val="Arial Narrow"/>
        <family val="2"/>
      </rPr>
      <t xml:space="preserve"> </t>
    </r>
    <r>
      <rPr>
        <b/>
        <sz val="18"/>
        <color theme="1"/>
        <rFont val="Arial Narrow"/>
        <family val="2"/>
      </rPr>
      <t xml:space="preserve">AM-URGN-PR-14 </t>
    </r>
    <r>
      <rPr>
        <sz val="18"/>
        <color theme="1"/>
        <rFont val="Arial Narrow"/>
        <family val="2"/>
      </rPr>
      <t xml:space="preserve">versión 7, Tabla de clasificación de triage </t>
    </r>
    <r>
      <rPr>
        <b/>
        <sz val="18"/>
        <color theme="1"/>
        <rFont val="Arial Narrow"/>
        <family val="2"/>
      </rPr>
      <t>Cod.</t>
    </r>
    <r>
      <rPr>
        <sz val="18"/>
        <color theme="1"/>
        <rFont val="Arial Narrow"/>
        <family val="2"/>
      </rPr>
      <t xml:space="preserve"> </t>
    </r>
    <r>
      <rPr>
        <b/>
        <sz val="18"/>
        <color theme="1"/>
        <rFont val="Arial Narrow"/>
        <family val="2"/>
      </rPr>
      <t xml:space="preserve">AM-URGN-PR-14-FT-01, </t>
    </r>
    <r>
      <rPr>
        <sz val="18"/>
        <color theme="1"/>
        <rFont val="Arial Narrow"/>
        <family val="2"/>
      </rPr>
      <t>versión 5</t>
    </r>
    <r>
      <rPr>
        <b/>
        <sz val="18"/>
        <color theme="1"/>
        <rFont val="Arial Narrow"/>
        <family val="2"/>
      </rPr>
      <t xml:space="preserve"> </t>
    </r>
    <r>
      <rPr>
        <sz val="18"/>
        <color theme="1"/>
        <rFont val="Arial Narrow"/>
        <family val="2"/>
      </rPr>
      <t xml:space="preserve"> y Hoja de triage </t>
    </r>
    <r>
      <rPr>
        <b/>
        <sz val="18"/>
        <color theme="1"/>
        <rFont val="Arial Narrow"/>
        <family val="2"/>
      </rPr>
      <t xml:space="preserve">Cod. AM-URGE-PR-03-FT-06 </t>
    </r>
    <r>
      <rPr>
        <sz val="18"/>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</si>
  <si>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8"/>
        <color theme="1"/>
        <rFont val="Arial Narrow"/>
        <family val="2"/>
      </rPr>
      <t>AM-URGN-PR-14 versión 7</t>
    </r>
    <r>
      <rPr>
        <sz val="18"/>
        <color theme="1"/>
        <rFont val="Arial Narrow"/>
        <family val="2"/>
      </rPr>
      <t xml:space="preserve">, Tabla de clasificación de triage Cod. </t>
    </r>
    <r>
      <rPr>
        <b/>
        <sz val="18"/>
        <color theme="1"/>
        <rFont val="Arial Narrow"/>
        <family val="2"/>
      </rPr>
      <t>AM-URGN-PR-14-FT-01, versión 5</t>
    </r>
    <r>
      <rPr>
        <sz val="18"/>
        <color theme="1"/>
        <rFont val="Arial Narrow"/>
        <family val="2"/>
      </rPr>
      <t xml:space="preserve"> y Hoja de triage Cod. </t>
    </r>
    <r>
      <rPr>
        <b/>
        <sz val="18"/>
        <color theme="1"/>
        <rFont val="Arial Narrow"/>
        <family val="2"/>
      </rPr>
      <t>AM-URGE-PR-03-FT-06 versión 2</t>
    </r>
    <r>
      <rPr>
        <sz val="18"/>
        <color theme="1"/>
        <rFont val="Arial Narrow"/>
        <family val="2"/>
      </rPr>
      <t>), con el fin de garantizar la atención integral, oportuna, segura y humanizada en la atención del paciente que consulta el servicio de urgencias.</t>
    </r>
  </si>
  <si>
    <r>
      <t>El responsable de cada área del servicio de urgencias (Enfermería) deberá identificar e informar al área de seguridad, los pacientes con alto riesgo de fuga (Pacientes con alteración de salud mental), de acuerdo al Protocolo :</t>
    </r>
    <r>
      <rPr>
        <b/>
        <sz val="18"/>
        <color theme="1"/>
        <rFont val="Arial Narrow"/>
        <family val="2"/>
      </rPr>
      <t xml:space="preserve"> GL-SEGU-PT-01</t>
    </r>
    <r>
      <rPr>
        <sz val="18"/>
        <color theme="1"/>
        <rFont val="Arial Narrow"/>
        <family val="2"/>
      </rPr>
      <t xml:space="preserve"> versión 1 - PROTOCOLO ACTUACIÓN FRENTE A LA FUGA DE USUARIOS.</t>
    </r>
  </si>
  <si>
    <r>
      <t xml:space="preserve">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t>
    </r>
    <r>
      <rPr>
        <b/>
        <sz val="18"/>
        <color theme="1"/>
        <rFont val="Arial Narrow"/>
        <family val="2"/>
      </rPr>
      <t>Cod. AM-COEX-PR-01-IN-02</t>
    </r>
    <r>
      <rPr>
        <sz val="18"/>
        <color theme="1"/>
        <rFont val="Arial Narrow"/>
        <family val="2"/>
      </rPr>
      <t xml:space="preserve"> versión 5, con el fin de fortalecer conocimientos y capacidades de los agentes encargados de la asignación de citas.
</t>
    </r>
    <r>
      <rPr>
        <b/>
        <sz val="18"/>
        <color theme="1"/>
        <rFont val="Arial Narrow"/>
        <family val="2"/>
      </rPr>
      <t>Soporte:</t>
    </r>
    <r>
      <rPr>
        <sz val="18"/>
        <color theme="1"/>
        <rFont val="Arial Narrow"/>
        <family val="2"/>
      </rPr>
      <t xml:space="preserve"> Actas de capacitación Trimestral.</t>
    </r>
  </si>
  <si>
    <r>
      <t xml:space="preserve">El responsable del servicio de consulta externa, deberá realizar semestralmente, educación continuada al personal del área asistencial (enfermería) y realizar retroalimentación a la Subdirección Médica, con el fin de minimizar los eventos adversos durante la prestación del servicio (consulta y/o procedimientos). 
Nota: Los casos positivos identificados, serán evaluados desde el área de gestión de calidad, con el fin de identificar las debilidades durante la prestación del servicio y realizar el plan de mejora. 
</t>
    </r>
    <r>
      <rPr>
        <b/>
        <sz val="18"/>
        <color theme="1"/>
        <rFont val="Arial Narrow"/>
        <family val="2"/>
      </rPr>
      <t xml:space="preserve">Soporte: </t>
    </r>
    <r>
      <rPr>
        <sz val="18"/>
        <color theme="1"/>
        <rFont val="Arial Narrow"/>
        <family val="2"/>
      </rPr>
      <t>Actas de</t>
    </r>
    <r>
      <rPr>
        <b/>
        <sz val="18"/>
        <color theme="1"/>
        <rFont val="Arial Narrow"/>
        <family val="2"/>
      </rPr>
      <t xml:space="preserve"> </t>
    </r>
    <r>
      <rPr>
        <sz val="18"/>
        <color theme="1"/>
        <rFont val="Arial Narrow"/>
        <family val="2"/>
      </rPr>
      <t xml:space="preserve">Capacitación, evaluación y medición de adherencia de los protocolos y procedimientos del servicio de Consulta Externa. </t>
    </r>
  </si>
  <si>
    <r>
      <t xml:space="preserve">El responsable del servicio de consulta externa, verificará mensualmente el cumplimiento del procedimiento de asignación de citas que se realice de acuerdo a lo establecido en el instructivo Cod. </t>
    </r>
    <r>
      <rPr>
        <b/>
        <sz val="18"/>
        <color theme="1"/>
        <rFont val="Arial Narrow"/>
        <family val="2"/>
      </rPr>
      <t xml:space="preserve">AM-COEX-PR-01-IN-02, </t>
    </r>
    <r>
      <rPr>
        <sz val="18"/>
        <color theme="1"/>
        <rFont val="Arial Narrow"/>
        <family val="2"/>
      </rPr>
      <t>versión 5</t>
    </r>
    <r>
      <rPr>
        <b/>
        <sz val="18"/>
        <color theme="1"/>
        <rFont val="Arial Narrow"/>
        <family val="2"/>
      </rPr>
      <t xml:space="preserve"> </t>
    </r>
    <r>
      <rPr>
        <sz val="18"/>
        <color theme="1"/>
        <rFont val="Arial Narrow"/>
        <family val="2"/>
      </rPr>
      <t xml:space="preserve">y trimestralmente capacita y retroalimenta al personal a cargo de la asignación de citas, dando cumplimiento al código de ética y buen gobierno de la entidad.
</t>
    </r>
    <r>
      <rPr>
        <b/>
        <sz val="18"/>
        <color theme="1"/>
        <rFont val="Arial Narrow"/>
        <family val="2"/>
      </rPr>
      <t>Soporte:</t>
    </r>
    <r>
      <rPr>
        <sz val="18"/>
        <color theme="1"/>
        <rFont val="Arial Narrow"/>
        <family val="2"/>
      </rPr>
      <t xml:space="preserve"> Actas de capacitación Trimestral.</t>
    </r>
  </si>
  <si>
    <r>
      <t xml:space="preserve">El responsable del servicio de radiología - imágenes diagnósticas, capacitará y evaluará cuatrimestralmente al personal de asignación de citas de acuerdo a lo establecido en el Procedimiento Atención integral de Pacientes en Imágenes Diagnósticas Código: </t>
    </r>
    <r>
      <rPr>
        <b/>
        <sz val="18"/>
        <color theme="1"/>
        <rFont val="Arial Narrow"/>
        <family val="2"/>
      </rPr>
      <t>AA-IMDG-PR-07</t>
    </r>
    <r>
      <rPr>
        <sz val="18"/>
        <color theme="1"/>
        <rFont val="Arial Narrow"/>
        <family val="2"/>
      </rPr>
      <t xml:space="preserve"> versión No. 7, dando cumplimiento al código de ética y buen gobierno de la entidad.
</t>
    </r>
    <r>
      <rPr>
        <b/>
        <sz val="18"/>
        <color theme="1"/>
        <rFont val="Arial Narrow"/>
        <family val="2"/>
      </rPr>
      <t>Soporte:</t>
    </r>
    <r>
      <rPr>
        <sz val="18"/>
        <color theme="1"/>
        <rFont val="Arial Narrow"/>
        <family val="2"/>
      </rPr>
      <t xml:space="preserve"> Actas de capacitación y evaluaciones de la misma. </t>
    </r>
  </si>
  <si>
    <r>
      <t xml:space="preserve">El profesional de enfermería encargado del área (sala de procedimientos menores y vacunación), mensualmente y/o cuando se hace uso de los medicamentos que conforman el carro de paro y nevera de biológicos, realizará el  nforme Verificación del carro de paro y nevera de biológicos en el formato Código: </t>
    </r>
    <r>
      <rPr>
        <b/>
        <sz val="18"/>
        <color theme="1"/>
        <rFont val="Arial Narrow"/>
        <family val="2"/>
      </rPr>
      <t>AH-SACI-GM-01-DI-01-FT-16</t>
    </r>
    <r>
      <rPr>
        <sz val="18"/>
        <color theme="1"/>
        <rFont val="Arial Narrow"/>
        <family val="2"/>
      </rPr>
      <t xml:space="preserve">, dando cumplimiento al documento Código </t>
    </r>
    <r>
      <rPr>
        <b/>
        <sz val="18"/>
        <color theme="1"/>
        <rFont val="Arial Narrow"/>
        <family val="2"/>
      </rPr>
      <t>AH-ESQX-GM-01-DI-01</t>
    </r>
    <r>
      <rPr>
        <sz val="18"/>
        <color theme="1"/>
        <rFont val="Arial Narrow"/>
        <family val="2"/>
      </rPr>
      <t xml:space="preserve">, y al Manual Técnico Administrativo del PAI, con el fin de mantener el control de medicamentos (Stock y fechas de vencimiento).
</t>
    </r>
    <r>
      <rPr>
        <b/>
        <sz val="18"/>
        <color theme="1"/>
        <rFont val="Arial Narrow"/>
        <family val="2"/>
      </rPr>
      <t>Soporte:</t>
    </r>
    <r>
      <rPr>
        <sz val="18"/>
        <color theme="1"/>
        <rFont val="Arial Narrow"/>
        <family val="2"/>
      </rPr>
      <t xml:space="preserve"> Inventario en el formato de Informe Verificación del carro de paro y nevera de biológicos. </t>
    </r>
  </si>
  <si>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8"/>
        <color theme="1"/>
        <rFont val="Arial Narrow"/>
        <family val="2"/>
      </rPr>
      <t>Cod. AM-ENFE-PP-01</t>
    </r>
    <r>
      <rPr>
        <sz val="18"/>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</si>
  <si>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r>
      <t>El responsable del servicio de enfermería con su equipo de trabajo, verifica trimestralmente mediante la socialización y medición de adherencia al protocolo de administración segura de medicamentos  CÓDIGO:</t>
    </r>
    <r>
      <rPr>
        <b/>
        <sz val="18"/>
        <color theme="1"/>
        <rFont val="Arial Narrow"/>
        <family val="2"/>
      </rPr>
      <t xml:space="preserve"> PM-ENFE-PT-01, </t>
    </r>
    <r>
      <rPr>
        <sz val="18"/>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</si>
  <si>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r>
      <t xml:space="preserve">El Director de la </t>
    </r>
    <r>
      <rPr>
        <b/>
        <sz val="18"/>
        <color theme="1"/>
        <rFont val="Arial Narrow"/>
        <family val="2"/>
      </rPr>
      <t>ESAE</t>
    </r>
    <r>
      <rPr>
        <sz val="18"/>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</si>
  <si>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r>
      <t xml:space="preserve">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t>
    </r>
    <r>
      <rPr>
        <b/>
        <sz val="18"/>
        <color theme="1"/>
        <rFont val="Arial Narrow"/>
        <family val="2"/>
      </rPr>
      <t>GH-ADPE-PR-01</t>
    </r>
    <r>
      <rPr>
        <sz val="18"/>
        <color theme="1"/>
        <rFont val="Arial Narrow"/>
        <family val="2"/>
      </rPr>
      <t>, con el fin de dar cumplimiento a la normatividad vigente.</t>
    </r>
  </si>
  <si>
    <r>
      <t xml:space="preserve">El responsable del área de Régimen Interno, verifica cada vez que se requiera la orden de traslado del personal Militar en comisión, con el fin de garantizar el cumplimiento de lo establecido en el procedimiento Cód </t>
    </r>
    <r>
      <rPr>
        <b/>
        <sz val="18"/>
        <color theme="1"/>
        <rFont val="Arial Narrow"/>
        <family val="2"/>
      </rPr>
      <t xml:space="preserve">GH-REIN-PR-01-FT-01 - </t>
    </r>
    <r>
      <rPr>
        <sz val="18"/>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</si>
  <si>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8"/>
        <color theme="1"/>
        <rFont val="Arial Narrow"/>
        <family val="2"/>
      </rPr>
      <t>Cód: GH-REIN-PR-01.</t>
    </r>
  </si>
  <si>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8"/>
        <color theme="1"/>
        <rFont val="Arial Narrow"/>
        <family val="2"/>
      </rPr>
      <t>GH-SUAD-CP-03</t>
    </r>
    <r>
      <rPr>
        <sz val="18"/>
        <color theme="1"/>
        <rFont val="Arial Narrow"/>
        <family val="2"/>
      </rPr>
      <t xml:space="preserve">, con el fin de llevar una adecuada administración del recurso humano y salvaguardar los derechos de los servidores públicos. </t>
    </r>
  </si>
  <si>
    <r>
      <t xml:space="preserve">El responsable del área de Asuntos Disciplinarios y Administrativos - ASDA suscribe mensualmente un acta de confidencialidad con cada uno de los funcionarios a su cargo, con el fin mantener la reserva sumarial de los procesos disciplinarios y administrativos. 
</t>
    </r>
    <r>
      <rPr>
        <b/>
        <sz val="18"/>
        <color theme="1"/>
        <rFont val="Arial Narrow"/>
        <family val="2"/>
      </rPr>
      <t>(Actas de confidencialidad)</t>
    </r>
  </si>
  <si>
    <r>
      <t xml:space="preserve">El responsable del área de Asuntos Disciplinarios y Administrativos - ASDA gestiona con cada uno de los funcionarios a su cargo, la suscripción mensual de un acta de compromisos, con el propósito de realizar el respectivo seguimiento a los procesos y actividades inherentes al cargo, lo anterior de conformidad con lo dispuesto en el numeral 23  del artículo 76 de la Ley 1862 de 2017.
</t>
    </r>
    <r>
      <rPr>
        <b/>
        <sz val="18"/>
        <color theme="1"/>
        <rFont val="Arial Narrow"/>
        <family val="2"/>
      </rPr>
      <t>(Acta de compromisos)</t>
    </r>
  </si>
  <si>
    <r>
      <t xml:space="preserve">El responsable del área de Asuntos Disciplinarios y Administrativos - ASDA recopila mensualmente la información de los procesos Disciplinarios y Administrativos donde se presenta el balance del estado actual de las investigaciones y  frente al programa de seguros de la entidad donde se indican los siniestros reconocidos por parte de la aseguradora.
</t>
    </r>
    <r>
      <rPr>
        <b/>
        <sz val="18"/>
        <color theme="1"/>
        <rFont val="Arial Narrow"/>
        <family val="2"/>
      </rPr>
      <t xml:space="preserve">(Presentación en power point)
(Soportes de trazablilidad por correo electrónico). </t>
    </r>
  </si>
  <si>
    <r>
      <t xml:space="preserve">El responsable del área de Asuntos Disciplinarios y Administrativos - ASDA remitirá trimestralmenteun oficio dando a conocer el estado de los términos procesales a la Dirección General del Hospital Militar Central o a la autoridad competente, a quien corresponda la instancia procesal, con la finalidad de evitar posibles vencimientos de términos. 
</t>
    </r>
    <r>
      <rPr>
        <b/>
        <sz val="18"/>
        <color theme="1"/>
        <rFont val="Arial Narrow"/>
        <family val="2"/>
      </rPr>
      <t>Nota:</t>
    </r>
    <r>
      <rPr>
        <sz val="18"/>
        <color theme="1"/>
        <rFont val="Arial Narrow"/>
        <family val="2"/>
      </rPr>
      <t xml:space="preserve"> En casos excepcionales como: grado de consulta, recursos, remisión por competencia o en los que disponga la Ley. </t>
    </r>
  </si>
  <si>
    <r>
      <t xml:space="preserve">1. El responsable del área de administración de personal validará cada vez que se requiera el formato único acta de entrega Cód. GH-ADPE-PR-01-FT-05, con el fin de garantizar la transferencia del conocimiento explícito de los servidores que son reubicados o trasladados de área o servicio.
</t>
    </r>
    <r>
      <rPr>
        <b/>
        <sz val="18"/>
        <color theme="1"/>
        <rFont val="Arial Narrow"/>
        <family val="2"/>
      </rPr>
      <t>Soporte:</t>
    </r>
    <r>
      <rPr>
        <sz val="18"/>
        <color theme="1"/>
        <rFont val="Arial Narrow"/>
        <family val="2"/>
      </rPr>
      <t xml:space="preserve"> Actas de entrega de los servidores que son reubicados o trasladados de área o servicio.</t>
    </r>
  </si>
  <si>
    <r>
      <t xml:space="preserve">El supervisor del contrato, coordina de manera semestral con el proveedor el oportuno mantenimiento preventivo y correctivo de las plantas eléctricas del edificio principal, con el fin de garantizar el suministro eléctrico a la entidad. 
</t>
    </r>
    <r>
      <rPr>
        <b/>
        <sz val="18"/>
        <color theme="1"/>
        <rFont val="Arial Narrow"/>
        <family val="2"/>
      </rPr>
      <t>(Reporte técnico por parte del proveedor)</t>
    </r>
  </si>
  <si>
    <r>
      <t xml:space="preserve">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t>
    </r>
    <r>
      <rPr>
        <b/>
        <sz val="18"/>
        <color theme="1"/>
        <rFont val="Arial Narrow"/>
        <family val="2"/>
      </rPr>
      <t>(Reporte técnico por parte del proveedor)</t>
    </r>
  </si>
  <si>
    <r>
      <t xml:space="preserve">El supervisor del contrato, gestiona según cronograma el mantenimiento preventivo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preventivo)</t>
    </r>
  </si>
  <si>
    <r>
      <t xml:space="preserve">El supervisor del contrato, gestiona cada vez que se requiera el mantenimiento correctivo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correctivo)</t>
    </r>
  </si>
  <si>
    <r>
      <t xml:space="preserve">El responsable del área de Bioestadística, revisa cada vez que se requiera el cumplimiento de los requisitos establecidos en el procedimiento de Respuesta a solicitudes de fotocopias de historias clínicas y constancias, cod, </t>
    </r>
    <r>
      <rPr>
        <b/>
        <sz val="18"/>
        <color theme="1"/>
        <rFont val="Arial Narrow"/>
        <family val="2"/>
      </rPr>
      <t>GD-BAHC-PR-04</t>
    </r>
    <r>
      <rPr>
        <sz val="18"/>
        <color theme="1"/>
        <rFont val="Arial Narrow"/>
        <family val="2"/>
      </rPr>
      <t xml:space="preserve"> para la entrega de la copia de historia clínica, con el fin garantizar la autenticidad de la persona natural o jurídica que la solicita y de dar cumplimiento a lo solicitado. </t>
    </r>
  </si>
  <si>
    <r>
      <t xml:space="preserve">El Subdirector Administrativo lidera y controla el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</si>
  <si>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Subdirector Administrativo revisa , verifica y firma cada vez que se requiera la documentanción en cumplimiento de los requisitos establecidos en la resolución de creación de la caja menor No. 1 Subdirección Administrativa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</si>
  <si>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Subdirector Administrativo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</si>
  <si>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Jefe de la Unidad de Compras, Licitaciones y Bienes Activos  lidera y controla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</si>
  <si>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Jefe de la Unidad de Compras, Licitaciones y Bienes Activos  revisa , verifica y firma cada vez que se requiera la documentanción en cumplimiento de los requisitos establecidos en la resolución de creación de la caja menor No. 2 Insumos Hospitalarios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</si>
  <si>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Jefe de la Unidad de Compras, Licitaciones y Bienes Activos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</si>
  <si>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profesional o técnico responsable del área de presupuesto, valida anualmente el cargue inicial del presupuesto en los sistemas de información </t>
    </r>
    <r>
      <rPr>
        <i/>
        <sz val="18"/>
        <color theme="1"/>
        <rFont val="Arial Narrow"/>
        <family val="2"/>
      </rPr>
      <t>(Dinámica Gerencial Hospitalaria y SIIF Nación)</t>
    </r>
    <r>
      <rPr>
        <sz val="18"/>
        <color theme="1"/>
        <rFont val="Arial Narrow"/>
        <family val="2"/>
      </rPr>
      <t xml:space="preserve">, de acuerdo con la resolución interna de presupuesto, con el fin de identificar las apropiaciones establecidas en el decreto y ley de presupuesto y su distribución interna de acuerdo al plan de compras. 
</t>
    </r>
    <r>
      <rPr>
        <b/>
        <sz val="18"/>
        <color theme="1"/>
        <rFont val="Arial Narrow"/>
        <family val="2"/>
      </rPr>
      <t>(Acta de validación cargue inicial del presupuesto)</t>
    </r>
  </si>
  <si>
    <r>
      <t xml:space="preserve">El profesional o técnico responsable del área de presupuesto, expide anualmente los CDP (Certificado de Disponibilidad Presupuestal) y registros de los contratos suscritos con vigencias futuras, con el fin de dar respaldo presupuestal.
</t>
    </r>
    <r>
      <rPr>
        <b/>
        <sz val="18"/>
        <color theme="1"/>
        <rFont val="Arial Narrow"/>
        <family val="2"/>
      </rPr>
      <t>(Listado de registros vigencias futuras - socializado por correo electrónico)</t>
    </r>
  </si>
  <si>
    <r>
      <t>El responsable de la Unidad de Cuentas Hospitalarias y Facturación,</t>
    </r>
    <r>
      <rPr>
        <sz val="18"/>
        <color rgb="FFFF0000"/>
        <rFont val="Arial Narrow"/>
        <family val="2"/>
      </rPr>
      <t xml:space="preserve"> </t>
    </r>
    <r>
      <rPr>
        <sz val="18"/>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</si>
  <si>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r>
      <t xml:space="preserve">El auxiliar administrativo del área de Gestión Documental, Historias Clínicas e Imprenta, atiende cada vez que se requiera la consulta de solicitud de expediente o documento, conforme al procedimiento establecido </t>
    </r>
    <r>
      <rPr>
        <b/>
        <sz val="18"/>
        <color theme="1"/>
        <rFont val="Arial Narrow"/>
        <family val="2"/>
      </rPr>
      <t>CÓDIGO: GD-RECO-PR-05</t>
    </r>
    <r>
      <rPr>
        <sz val="18"/>
        <color theme="1"/>
        <rFont val="Arial Narrow"/>
        <family val="2"/>
      </rPr>
      <t xml:space="preserve"> con el fin de llevar un control de préstamos documentales del archivo central.</t>
    </r>
  </si>
  <si>
    <r>
      <t xml:space="preserve">El jefe / responsable / designado del área de Gestión Documental, Historias Clínicas e Imprenta., implementa </t>
    </r>
    <r>
      <rPr>
        <b/>
        <sz val="18"/>
        <rFont val="Arial Narrow"/>
        <family val="2"/>
      </rPr>
      <t>SEMESTRALMENTE</t>
    </r>
    <r>
      <rPr>
        <sz val="18"/>
        <color theme="1"/>
        <rFont val="Arial Narrow"/>
        <family val="2"/>
      </rPr>
      <t xml:space="preserv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r>
  </si>
  <si>
    <r>
      <t>El jefe / responsable / designado del área de Registro de Correspondencia y Archivo, velará por el cumplimiento de los lineamientos y políticas definidas dentro del procedimiento de préstamo y consulta Código</t>
    </r>
    <r>
      <rPr>
        <b/>
        <sz val="18"/>
        <color theme="1"/>
        <rFont val="Arial Narrow"/>
        <family val="2"/>
      </rPr>
      <t xml:space="preserve">: </t>
    </r>
    <r>
      <rPr>
        <b/>
        <sz val="18"/>
        <rFont val="Arial Narrow"/>
        <family val="2"/>
      </rPr>
      <t>GL-RECO-PR-03</t>
    </r>
    <r>
      <rPr>
        <b/>
        <sz val="18"/>
        <color theme="1"/>
        <rFont val="Arial Narrow"/>
        <family val="2"/>
      </rPr>
      <t xml:space="preserve">, </t>
    </r>
    <r>
      <rPr>
        <sz val="18"/>
        <color theme="1"/>
        <rFont val="Arial Narrow"/>
        <family val="2"/>
      </rPr>
      <t>por medio del registro y control de los préstamos y consultas recibidas y atendidas en sus dos modalidades descritas dentro del procedimiento.</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</si>
  <si>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8"/>
        <rFont val="Arial Narrow"/>
        <family val="2"/>
      </rPr>
      <t>GD-RECO-PR-01</t>
    </r>
    <r>
      <rPr>
        <sz val="18"/>
        <color theme="1"/>
        <rFont val="Arial Narrow"/>
        <family val="2"/>
      </rPr>
      <t xml:space="preserve"> y Código: </t>
    </r>
    <r>
      <rPr>
        <b/>
        <sz val="18"/>
        <rFont val="Arial Narrow"/>
        <family val="2"/>
      </rPr>
      <t>GD-RECO-PR-02.</t>
    </r>
  </si>
  <si>
    <r>
      <t xml:space="preserve">El auxiliar de apoyo de Seguridad y Defensa del área de bioestadística es el responsable de realizar inspecciones y monitoreo semanales a cada uno de los depósitos donde se encuentran las historias clínicas archivadas, con el propósito de verificar que no existan condiciones desfavorables que puedan afectar los documentos y en caso de identificar alguna novedad, se notificará al área de mantenimiento con el fin de adelantar las acciones pertinentes. 
</t>
    </r>
    <r>
      <rPr>
        <b/>
        <sz val="18"/>
        <color theme="1"/>
        <rFont val="Arial Narrow"/>
        <family val="2"/>
      </rPr>
      <t>(Bitácora)</t>
    </r>
  </si>
  <si>
    <r>
      <t xml:space="preserve">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t>
    </r>
    <r>
      <rPr>
        <b/>
        <sz val="18"/>
        <color theme="1"/>
        <rFont val="Arial Narrow"/>
        <family val="2"/>
      </rPr>
      <t>(Herramienta de priorización y acta de CICCI).</t>
    </r>
  </si>
  <si>
    <r>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r>
    <r>
      <rPr>
        <b/>
        <sz val="18"/>
        <color theme="1"/>
        <rFont val="Arial Narrow"/>
        <family val="2"/>
      </rPr>
      <t>(Respuesta consolidada a entes de control).</t>
    </r>
  </si>
  <si>
    <r>
      <t xml:space="preserve">El Jefe de la Oficina de Control Interno, junto con el profesional de la Oficina de Control Interno, verifica cada vez que se requiera, la oportunidad, integridad y pertinencia de las respuesta consolidadas para atender los requerimientos de Entes de Control.
</t>
    </r>
    <r>
      <rPr>
        <b/>
        <sz val="18"/>
        <color theme="1"/>
        <rFont val="Arial Narrow"/>
        <family val="2"/>
      </rPr>
      <t>(Respuesta consolidada a entes de control).</t>
    </r>
  </si>
  <si>
    <r>
      <t xml:space="preserve">Los Profesionales de la Oficina de Control Interno, cada vez que se realice una auditoría, seguimiento, selectiva o informe de ley, presenta los soportes  que sustenten y respalden los hallazgos, observaciones y oportunidades de mejora identificados, conforme a lo establecido en los procedimientos Cod. </t>
    </r>
    <r>
      <rPr>
        <b/>
        <sz val="18"/>
        <color theme="1"/>
        <rFont val="Arial Narrow"/>
        <family val="2"/>
      </rPr>
      <t>EM-OCIN-PR-01</t>
    </r>
    <r>
      <rPr>
        <sz val="18"/>
        <color theme="1"/>
        <rFont val="Arial Narrow"/>
        <family val="2"/>
      </rPr>
      <t xml:space="preserve"> (Auditoria Interna) y Cod. </t>
    </r>
    <r>
      <rPr>
        <b/>
        <sz val="18"/>
        <color theme="1"/>
        <rFont val="Arial Narrow"/>
        <family val="2"/>
      </rPr>
      <t xml:space="preserve">EM-OCIN-PR-05. </t>
    </r>
    <r>
      <rPr>
        <sz val="18"/>
        <color theme="1"/>
        <rFont val="Arial Narrow"/>
        <family val="2"/>
      </rPr>
      <t xml:space="preserve">(Elaboración de Informes de Ley, seguimientos y/o selectivas) en las auditorias, seguimientos, selectivas e informes realizados por la OCIN.
</t>
    </r>
    <r>
      <rPr>
        <b/>
        <sz val="18"/>
        <color theme="1"/>
        <rFont val="Arial Narrow"/>
        <family val="2"/>
      </rPr>
      <t>(Informes de seguimiento, selectiva o informe de ley).</t>
    </r>
  </si>
  <si>
    <r>
      <t xml:space="preserve">
Los Profesionales de la Oficina de Control Interno, cada vez que se realice un informe de auditoría, diligencian el formato de Declaración de Independencia código </t>
    </r>
    <r>
      <rPr>
        <b/>
        <sz val="18"/>
        <color theme="1"/>
        <rFont val="Arial Narrow"/>
        <family val="2"/>
      </rPr>
      <t>EM-OCIN-PR-01-FT-04</t>
    </r>
    <r>
      <rPr>
        <sz val="18"/>
        <color theme="1"/>
        <rFont val="Arial Narrow"/>
        <family val="2"/>
      </rPr>
      <t xml:space="preserve">, con el propósito de realizar adherencia al Código de Ética para los Auditores Internos del Hospital Militar Central Cód.: </t>
    </r>
    <r>
      <rPr>
        <b/>
        <sz val="18"/>
        <color theme="1"/>
        <rFont val="Arial Narrow"/>
        <family val="2"/>
      </rPr>
      <t>EM-OCIN-PR-01-DI-01
(Registro de la Declaración de independencia).</t>
    </r>
  </si>
  <si>
    <r>
      <t xml:space="preserve">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t>
    </r>
    <r>
      <rPr>
        <b/>
        <sz val="18"/>
        <color theme="1"/>
        <rFont val="Arial Narrow"/>
        <family val="2"/>
      </rPr>
      <t>(Informes de seguimiento y/o auditoria interna)</t>
    </r>
  </si>
  <si>
    <r>
      <t xml:space="preserve">El responsable del área de Atención al Usuario, realiza apertura cada vez que se requiera en el formato ficha de seguimiento PQRSDF Cod. </t>
    </r>
    <r>
      <rPr>
        <b/>
        <sz val="18"/>
        <color theme="1"/>
        <rFont val="Arial Narrow"/>
        <family val="2"/>
      </rPr>
      <t>CA-AUIS-PR-03-FT-02</t>
    </r>
    <r>
      <rPr>
        <sz val="18"/>
        <color theme="1"/>
        <rFont val="Arial Narrow"/>
        <family val="2"/>
      </rPr>
      <t xml:space="preserve">, y a su vez se envían los requerimientos por Control Doc a los jefes de servicio; esta ficha contiene toda la trazabilidad del trámite que se le da a cada PQRSDF de acuerdo a la solicitud del peticionario, ya sea de tipo General (Eventos adversos, inconformidad con los servicios, felicitaciones o sugerencias) o trámites de salud (Asignación de citas, procedimientos y entrega de resultados).
De forma semanal esta ficha es revisada con el objetivo de generar segundos y terceros requerimientos a los servicios  para obtener respuesta y así evitar el vencimiento de los tiempos de ley.
En cuanto a las PQRSDF relacionadas con Trámites de salud, en la ficha de seguimiento Cod. </t>
    </r>
    <r>
      <rPr>
        <b/>
        <sz val="18"/>
        <color theme="1"/>
        <rFont val="Arial Narrow"/>
        <family val="2"/>
      </rPr>
      <t>CA-AUIS-PR-03-FT-02</t>
    </r>
    <r>
      <rPr>
        <sz val="18"/>
        <color theme="1"/>
        <rFont val="Arial Narrow"/>
        <family val="2"/>
      </rPr>
      <t xml:space="preserve">, se registra cada vez que se requiera la “avanzada” en donde desde la Oficina de Atención al Usuario y Relacionamiento Ciudadano, se notifica vía correo electrónico al peticionario, fecha, hora y lugar de la atención, así como el soporte de su cita o procedimiento (Boucher), una vez ha sido asignada por el Consulta Externa o Imágenes diagnósticas. 
</t>
    </r>
    <r>
      <rPr>
        <b/>
        <sz val="18"/>
        <color theme="1"/>
        <rFont val="Arial Narrow"/>
        <family val="2"/>
      </rPr>
      <t>Nota:</t>
    </r>
    <r>
      <rPr>
        <sz val="18"/>
        <color theme="1"/>
        <rFont val="Arial Narrow"/>
        <family val="2"/>
      </rPr>
      <t xml:space="preserve"> Cabe resaltar que estos servicios también notifican a los peticionarios vía correo electrónico y mensaje de texto al momento de realizar la asignación.
Una vez se realiza la “avanzada” la PQRSDF continua su trámite en la oficina para proyección de respuesta formal emitida por Control Doc y demás trámites pertinentes. </t>
    </r>
    <r>
      <rPr>
        <b/>
        <sz val="18"/>
        <color theme="1"/>
        <rFont val="Arial Narrow"/>
        <family val="2"/>
      </rPr>
      <t>(Ficha de seguimiento)</t>
    </r>
  </si>
  <si>
    <t>Atenciones inseguras que generan percepción desfavorable de la entidad a los usuarios y los entes reguladores.</t>
  </si>
  <si>
    <t>Pérdida de credibilidad e impacto negativo en la imagen de la entidad.</t>
  </si>
  <si>
    <t>Incumplimiento de los  tiempos de respuesta establecidos en la ley a las PQRS y posibles tutelas.</t>
  </si>
  <si>
    <t xml:space="preserve">El profesional designado del Área de Gestión Contratos - GECO, realiza la publicación de los procesos cada vez que se requiera, a través de la plataforma SECOP II permitiendo  exista la pluralidad de oferentes y así  cumplimiento a los principios de transparencia, publicidad. </t>
  </si>
  <si>
    <t xml:space="preserve">El profesional designado del Área de Gestión Contratos - GECO, cada vez que se realiza un proceso de contratación, y con el fin de seleccionar objetivamente un proveedor, efectúa  la verificación y evaluación de los requisitos, habilitantes, técnicos, económicos y jurídicos de cada una de las ofertas presentadas.- </t>
  </si>
  <si>
    <t>El profesional designado del Área de Gestión Contratos - GECO, cada vez que se adelante el proceso publica el informe de evaluación del proceso, con el fin que se surta la etapa de observaciones, realiza  la selección del proponente  favorecido y  posterior la legalización y perfeccionamiento del contrato</t>
  </si>
  <si>
    <t>El profesional designado como supervisor del contrato, quien tiene la competencia e idoneidad, realiza el seguimiento mensual de la ejecución del contrato, con el fin de garantizar el cumplimiento del mismo, las obligaciones contractuales y especificaciones técnicas, económicas y jurídicas .</t>
  </si>
  <si>
    <t xml:space="preserve">El profesional o técnico contable del área de almacenes bienes activos – ALBA, recibe cada vez que sea requerido por parte de la oficina jurídica, el acto administrativo con el cual se toma  acción según corresponda, de igual manera el profesional recibe según sea el caso, un concepto técnico del bien dañado con el fin se determinen si el bien tiene o no arreglo. Según lo estipula el procedimiento  GA-ALBA-PR-08 Versión 4.  
</t>
  </si>
  <si>
    <t xml:space="preserve">El  Ordenador del gasto,  mediante comunicación, designa los diferentes comités estructuradores y evaluadores,  en cada uno de los procesos  adelantados en la entidad,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 </t>
  </si>
  <si>
    <t xml:space="preserve">El Profesional del Área de Gestión Contratos, en su calidad de secretario del comité de adquisiciones,  realiza la citación a las sesiones ordinarias y extraordinarias del Comité de adquisiciones cada vez que se requiera, órgano encargado de recomendar  al Ordenador del Gasto sobre los procesos que superan las mínimas cuantías para las respectivas publicaciones, de los prepliegos, pliegos definitivos, adiciones y adjudicaciones de los mismos 
</t>
  </si>
  <si>
    <t>El Profesional  encargado,  realiza cada vez que se requiera  comunicación  de designación  de la supervisión, garantizando que el funcionario designado, cumpla con las obligaciones de la supervisión, plasmada en cada contrato.</t>
  </si>
  <si>
    <t>El  Profesional encargado, comunica cada vez que se requiera a los supervisores de contratos el procedimiento o manual para el ejercicio de la labor de la supervisión, en el cual se indiquen las competencias y responsabilidades frente al proceso.</t>
  </si>
  <si>
    <t xml:space="preserve">El Profesional encargado, realiza de manera trimestral un ejercicio aleatorio para verificar que los supervisores  den cumplimiento con establecido en el procedimiento o manual para el ejercicio de labor de supervisión. </t>
  </si>
  <si>
    <t>Enero 2025</t>
  </si>
  <si>
    <t>Recibir o solicitar cualquier dádiva o beneficio a nombre propio o de
terceros.</t>
  </si>
  <si>
    <t xml:space="preserve">Inadecuada manipulación de los procesos Disciplinarios Militares y procesos administrativos en beneficio del investigado. </t>
  </si>
  <si>
    <t>Posibilidad de afectación económica y reputacional por fallos judiciales en contra del HOMIL, debido a contestación extemporánea en las demandas interpuestas en contra de la entidad.</t>
  </si>
  <si>
    <r>
      <t xml:space="preserve">2. El responsable del área de administración de personal validará cada vez que se requiera, el formato único acta de entrega Cód. GH-ADPE-PR-01-FT-05, con el fin de garantizar la transferencia de conocimiento explícito de los servidores que se retiran de la Entidad.
</t>
    </r>
    <r>
      <rPr>
        <b/>
        <sz val="18"/>
        <color theme="1"/>
        <rFont val="Arial Narrow"/>
        <family val="2"/>
      </rPr>
      <t>Soporte:</t>
    </r>
    <r>
      <rPr>
        <sz val="18"/>
        <color theme="1"/>
        <rFont val="Arial Narrow"/>
        <family val="2"/>
      </rPr>
      <t xml:space="preserve"> Acta de entrega de los servidores que se retiran de la Entidad.</t>
    </r>
  </si>
  <si>
    <t>Enero de 2025</t>
  </si>
  <si>
    <t>Febrero de 2025</t>
  </si>
  <si>
    <t>Incumplimiento al procedimientos de devolución de medicamentos y dispositivos médicos.</t>
  </si>
  <si>
    <t>Inadecuada administración de recursos asignados a la caja menor No. 2 Insumos Hospitalarios, (Jefe de la Unidad De compras, licitacione sy Bienes Activos) destinados a atender los gastos hospitalarios y el suministro oportuno de
medicamentos, elementos de laboratorio, quirúrgicos, de curación como también
la adquisición de servicio de salud que se requiera en forma inmediata para los
usuarios del Hospital Militar Central.</t>
  </si>
  <si>
    <t>Inoportunidad o no registro de las atenciones en salud prestadas a los pacientes.</t>
  </si>
  <si>
    <t>Multas y sanciones por el ente regulador.</t>
  </si>
  <si>
    <t>Traumatismos en la atención de los pacientes por ausencia de los formatos institucionales.</t>
  </si>
  <si>
    <t>Pérdida de credibilidad y confianza en la  Oficina de Control Interno.</t>
  </si>
  <si>
    <r>
      <t xml:space="preserve">Posibilidad de afectación económica y reputacional por pérdida de la competencia por parte de la administración, para ejercer la acción disciplinaria y administrativa, por el paso del tiempo, debido a la falta de diligencia para gestionar los procesos en los términos otorgados por la ley.
</t>
    </r>
    <r>
      <rPr>
        <b/>
        <sz val="20"/>
        <rFont val="Arial Narrow"/>
        <family val="2"/>
      </rPr>
      <t xml:space="preserve">Ley 1476 de 2011: </t>
    </r>
    <r>
      <rPr>
        <sz val="20"/>
        <rFont val="Arial Narrow"/>
        <family val="2"/>
      </rPr>
      <t xml:space="preserve">Por la cual se expide el régimen de responsabilidad administrativa por pérdida o daño de bienes de propiedad o al servicio del Ministerio de Defensa Nacional, sus entidades adscritas o vinculadas o la Fuerza Pública.
</t>
    </r>
    <r>
      <rPr>
        <b/>
        <sz val="20"/>
        <rFont val="Arial Narrow"/>
        <family val="2"/>
      </rPr>
      <t>Ley 1862 de 2017:</t>
    </r>
    <r>
      <rPr>
        <sz val="20"/>
        <rFont val="Arial Narrow"/>
        <family val="2"/>
      </rPr>
      <t xml:space="preserve"> Por la cual se establecen las normas de conducta del militar colombiano y se expide el Código Disciplinario Militar</t>
    </r>
  </si>
  <si>
    <t>Soporte del Seguimiento</t>
  </si>
  <si>
    <t>Traslados, reubicación o retiro del personal de planta de la entidad y falta de acciones y estrategias para la retención del conocimiento.</t>
  </si>
  <si>
    <t>Posibilidad de afectación económica y reputacional por fuga del conocimiento debido a traslados, reubicación o retiro del personal de planta de la entidad y falta de acciones y estrategias para la retención del conocimiento.</t>
  </si>
  <si>
    <r>
      <t xml:space="preserve">El jefe de la Unidad de Compras Licitaciones y Bienes Activos, gestiona y promociona trimestralmente la disposición de un canal de denuncia por medio del correo </t>
    </r>
    <r>
      <rPr>
        <u/>
        <sz val="18"/>
        <color theme="3" tint="0.39997558519241921"/>
        <rFont val="Arial Narrow"/>
        <family val="2"/>
      </rPr>
      <t>mercadeocompras@homil.gov.co</t>
    </r>
    <r>
      <rPr>
        <sz val="18"/>
        <color theme="1"/>
        <rFont val="Arial Narrow"/>
        <family val="2"/>
      </rPr>
      <t xml:space="preserve"> , como medio de comunicación confidencial, anónimo y seguro para que los interesados puedan informar posibles situaciones de fraude, irregularidades y conductas anti éticas en el desarrollo del proceso contractual.
Así mismo la oficina de SARLAFT , recepciona mediante los siguientes canales de denuncias 
* Formulario denuncias: https://forms.gle/goiyzvlrannbmmca8
* Correos electrónicos: denuncias.sarlaft@homil.gov.co
*  Línea telefónica: 601 348 6868 ext. 3012
</t>
    </r>
    <r>
      <rPr>
        <sz val="18"/>
        <color rgb="FFFF0000"/>
        <rFont val="Arial Narrow"/>
        <family val="2"/>
      </rPr>
      <t>* Whatsapp: 57 322 2674636</t>
    </r>
    <r>
      <rPr>
        <sz val="18"/>
        <color theme="1"/>
        <rFont val="Arial Narrow"/>
        <family val="2"/>
      </rPr>
      <t xml:space="preserve">
* Atención presencial: Oficina Cumplimiento (Ingreso visitantes a mano derecha).
* Oficial de Cumplimiento: Correo: oficialcumplimiento@homil.gov.co  –  ggalvis@homil.gov.co
</t>
    </r>
  </si>
  <si>
    <t>Posibilidad de afectación económica y reputacional por multas y sanciones, debido a la vinculación de personas naturales y/o jurídicas, sin considerar los lineamientos contemplados relacionados con conflictos de interés. (Política de Integridad).</t>
  </si>
  <si>
    <t>Posibilidad de afectación económica y reputacional por demandas legales y sanciones, debido a la omisión de la declaración de impedimento o recusación ante la posibilidad real o aparente de un conflicto de interés.</t>
  </si>
  <si>
    <t>Posibilidad de afectación económica por la no prestación integral de los servicios de salud a los usuarios del  HOMIL,  debido a la inadecuada identificación de necesidades para la adquisición de bienes y/o servicios.</t>
  </si>
  <si>
    <t>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t>
  </si>
  <si>
    <t>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t>
  </si>
  <si>
    <t>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t>
  </si>
  <si>
    <t xml:space="preserve">Posibilidad de afectación económica y reputacional por incumplimiento normativo, multas y sanciones por parte de entes de control, debido a atenciones inseguras que generan percepción desfavorable de la entidad a los usuarios y los entes reguladores.
</t>
  </si>
  <si>
    <t>Posibilidad de afectación económica y reputacional por registro inoportuno en la Historia Clínica  del estado de salud y la atención brindada, debido a la interrupción en la prestación de los servicios tecnológicos de la entidad.</t>
  </si>
  <si>
    <t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t>
  </si>
  <si>
    <t>Posibilidad de afectación económica por no disponibilidad de la información clínica  de los usuarios del  HOMIL, debido a falta de respaldo (copias de seguridad) de la información.</t>
  </si>
  <si>
    <t>Posibilidad de afectación económica y reputacional por fallas en el funcionamiento del sistema de información clínico Dinámica Gerencial Hospitalaria generadas por el indebido control de cambios en la implementación de nuevas versiones del aplicativo.</t>
  </si>
  <si>
    <t>Posibilidad de afectación reputacional por pérdida de credibilidad e impacto negativo en la imagen  de la entidad, debido a publicaciones con datos erróneos o imprecisos en las piezas de comunicación e información dirigida a usuarios externos del HOMIL.</t>
  </si>
  <si>
    <t>Posibilidad de afectación reputacional por pérdida de credibilidad e impacto negativo en la imagen  de la entidad, debido a publicaciones con datos erróneos o imprecisos en las piezas de comunicación e información dirigida a usuarios internos del HOMIL.</t>
  </si>
  <si>
    <t>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t>
  </si>
  <si>
    <t xml:space="preserve">Posibilidad de afectación reputacional por la falta de oportunidad en el inicio o continuidad de la farmacoterapia a los usuarios atendidos por el HOMIL, debido a la no disponibilidad de los medicamentos, por incumplimiento del contratista que provee los mismos.
</t>
  </si>
  <si>
    <t>Posibilidad de afectación reputacional, asociado a la seguridad de paciente, debido a la  dispensación de medicamentos vencidos o diferentes a los prescritos.</t>
  </si>
  <si>
    <t>Posibilidad de afectación reputacional asociado a la seguridad de paciente, por liberación de un medicamento adecuado en la CAM que no corresponde con lo prescrito, producto de errores del personal en la interpretación de la prescripción médica, procesos de producción y liberación de medicamentos, sin cumplir requisitos de calidad.</t>
  </si>
  <si>
    <t xml:space="preserve">Posibilidad de afectación económica y reputacional por contaminación microbiológica en el área de producción de la CAM, debido a falta de adherencia a protocolos de limpieza y desinfección o una externalidad no controlada.
</t>
  </si>
  <si>
    <t>Posibilidad de afectación reputacional por error en el diagnóstico y tratamiento de los usuarios atendido por el HOMIL, debido al no cumplimiento de protocolos, errores de interpretación, lectura, transcripción y validación de los resultados y/o estudios.</t>
  </si>
  <si>
    <t>Posibilidad de afectación reputacional por pérdida de muestras sanguíneas, fluidos, biopsias, especímenes, citologías, debido al incumplimiento de protocolos de toma, transporte, entrega y recepción de muestras.</t>
  </si>
  <si>
    <t>Posibilidad de afectación reputacional por desabastecimiento de insumos  para la realización y procesamiento de estudios y muestras, debido a falta de planeación, aumento o disminución en la demanda de los pacientes y falta de control a las existencias de insumos.</t>
  </si>
  <si>
    <t>Posibilidad de afectación reputacional por aumento de los niveles permitidos de radiación ionizante provocando posibles efectos nocivos para la salud de los trabajadores expuestos, debido al no uso del dosímetro y no uso de los elementos de radio-protección personal.</t>
  </si>
  <si>
    <t>Posibilidad de afectación económica por avería o daño en las tecnologías en salud durante los procesos logísticos de: almacenamiento, distribución, dispensación y uso, debido a externalidades no controladas y de adecuación para su debido uso.</t>
  </si>
  <si>
    <t>Posibilidad de afectación económica y reputacional por no cierre del ciclo de atención de los pacientes atendidos en el servicio de urgencias (asistencial y administrativo), debido a salida de pacientes sin autorización médica. (Fuga)</t>
  </si>
  <si>
    <t>Posibilidad de afectación reputacional por lesión o daño en el paciente durante la prestación del servicio,  por fallas en la manejo y adherencia a las guías, protocolos, procedimientos de gestión ambulatoria por el personal de salud en el sitio de trabajo.</t>
  </si>
  <si>
    <t>Posibilidad de afectación económica y reputacional, asociado a seguridad del paciente, debido a la pérdida de medicamentos e insumos hospitalarios en custodia del servicio de enfermería en consulta externa.</t>
  </si>
  <si>
    <t>Posibilidad de afectación reputacional por cierre de áreas debido a brotes o enfermedades infecciosas que puedan limitar la prestación del servicio a los usuarios atendidos por el HOMIL, debido a fallas de adherencia a guías, protocolos, procedimientos y a la alta rotación del personal de salud en áreas de hospitalización.</t>
  </si>
  <si>
    <t>Posibilidad de afectación reputacional por lesión o daño en el paciente durante la prestación del servicio de salud, debido a  errores en el manejo y adherencia a las guías, protocolos, procedimientos de hospitalización por el personal de salud en el sitio de trabajo.</t>
  </si>
  <si>
    <t>Posibilidad de afectación económica y reputacional por atención inoportuna en la prestación del servicio de salud a los usuarios atendidos por el HOMIL, debido a debilidades en el proceso de programación de cirugía.</t>
  </si>
  <si>
    <t xml:space="preserve">Posibilidad de afectación económica y reputacional por multas, sanciones, PQRSD, glosas y eventos adversos, debido a la falta de adherencia a las guías, procedimientos y protocolos del servicio de enfermería. </t>
  </si>
  <si>
    <t>Posibilidad de afectación económica y reputacional por atención inoportuna en la prestación del servicio de salud a los usuarios atendidos por el HOMIL, debido a la pérdida de medicamentos e insumos hospitalarios en custodia del servicio de enfermería.</t>
  </si>
  <si>
    <t>Posibilidad de afectación económica por disminución en los ingresos de la Escuela de Auxiliares de Enfermería, debido a la baja captación de los aspirantes al programa académico de acuerdo a la capacidad instalada y posible deserción estudiantil.</t>
  </si>
  <si>
    <t>Posibilidad de afectación reputacional por incumplimiento a la normatividad y sanciones del ente regulador llevando a la cancelación del escenario de práctica, debido a autorización de prácticas formativas sin convenio docencia servicio.</t>
  </si>
  <si>
    <t>Posibilidad de afectación económica y reputacional por pérdida de beneficios obtenidos a partir del reconocimiento de la titularidad de la propiedad intelectual, debido a la falta de implementación de medidas necesarias para asegurar la titularidad patrimonial de autor y de derechos de propiedad industrial a favor del HOMIL.</t>
  </si>
  <si>
    <t>Posibilidad de afectación económica y reputacional por desarrollo de proyectos de investigación sin aval institucional, debido a la falta de adherencia a la Política de Investigación Ética e Integridad Científica y procedimiento de investigación académica.</t>
  </si>
  <si>
    <t>Posibilidad de afectación económica y reputacional por sanciones, multas y demandas, debido al incumplimiento de los requisitos legales y/o propios del empleo en los procesos de vinculación de la entidad y/o Militares en comisión.</t>
  </si>
  <si>
    <t>Posibilidad de afectación económica y reputacional por sanciones, multas y demandas, debido al traslado de personal sin verificar idoneidad y/o condiciones de salud para desempeñar el empleo.</t>
  </si>
  <si>
    <t xml:space="preserve">Posibilidad de afectación reputacional, por pérdida de la competencia por parte de la administración, para ejercer la acción disciplinaria por el paso del tiempo, debido a la falta de diligencia para gestionar el proceso disciplinario en los términos otorgados por la ley. </t>
  </si>
  <si>
    <t>Posibilidad de afectación económica y reputacional por sanciones disciplinarias, fiscales y reclamaciones de los usuarios, debido a falta de control en las novedades de personal , fallas en el sistema de Información y falta de verificación de supervivencia del personal pensionado.</t>
  </si>
  <si>
    <t>Posibilidad de afectación económica y reputacional por falta de fortalecimiento de  las competencias y habilidades necesarias para ejecutar el empleo y desmotivación de los servidores públicos., debido a ausencia de identificación de necesidades de capacitación y/o bienestar de los diferentes servicios y áreas del HOMIL y ausencia de seguimiento a las actividades de capacitación y bienestar.</t>
  </si>
  <si>
    <t>Posibilidad de afectación económica y reputacional, por interrupción  permanente y/o parcial  de la prestación de  servicios de la entidad, debido a falta de conocimiento del Plan de Gestión del Riesgo Institucional y el como actuar en caso de una emergencia. (Desastres Naturales, antrópicos y sanitarios).</t>
  </si>
  <si>
    <t xml:space="preserve">Posibilidad de afectación económica y reputacional por existencia de ambientes de trabajo inseguros reportados, debido a la falta de intervención a los controles de los riesgos ocupacionales establecidos en los ambientes de trabajo y falta de verificación de la implementación, generando la posible ocurrencia de accidentes de trabajo. </t>
  </si>
  <si>
    <t>Posibilidad de afectación económica y reputacional, por la no prestación en la atención integral de los servicios de salud a los usuarios atendidos por el HOMIL, debido a la ausencia de mantenimientos oportunos e inadecuada manipulación de los equipos biomédicos por parte del personal asistencial.</t>
  </si>
  <si>
    <t>Posibilidad de afectación económica y reputacional, por suspensión parcial o total de áreas o servicios vitales para la atención en salud a los usuarios atendidos por el HOMIL, debido al incumplimiento normativo en el lavado de tanques de agua potable y alteraciones en el análisis físico - químico y microbiológico de la calidad del agua.</t>
  </si>
  <si>
    <t>Posibilidad de afectación económica y reputacional, por la suspensión parcial o total de áreas o servicios vitales para la atención en salud a los usuarios atendidos por el HOMIL, debido a presencia y falta de continuidad en el proceso de control de vectores de plagas.</t>
  </si>
  <si>
    <t>Posibilidad de afectación económica y reputacional por sanciones y multas de los diferentes entes de control, debido a la inadecuada segregación y disposición final de residuos hospitarios.</t>
  </si>
  <si>
    <t>Posibilidad de afectación económica y reputacional por la no prestación en la atención integral de los servicios de salud a los usuarios atendidos por el HOMIL, debido a fallas en la red del suministro de gases medicinales (oxígeno, aire medicinal y vacío).</t>
  </si>
  <si>
    <t>Posibilidad de afectación económica y reputacional, por la no prestación en la atención integral de los servicios de salud a los usuarios atendidos por el HOMIL y daños en equipos médicos y de cómputo, debido a fallas en el suministro de la red eléctrica de la entidad.</t>
  </si>
  <si>
    <t>Posibilidad de afectación económica y reputacional por deterioro en la calidad de los medicamentos que requieran de una temperatura determinada, afectactando la cadena de frio, debido al daño de los equipos industriales necesarios para este fin. (Neveras, Unidad Manejadora de Aire - UMAS, ventiladores, aire acondicionado y chiller)</t>
  </si>
  <si>
    <t>Posibilidad de afectación económica y reputacional por el cierre de áreas, servicios y sanciones disciplinarias, debido a la pérdida de materiales y herramientas necesarias para el mantenimiento de las instalaciones de la entidad.</t>
  </si>
  <si>
    <t>Posibilidad de afectación económica y reputacional por demandas, multas y no prestación en la atención integral de los servicios de salud a los usuarios atendidos por el HOMIL y médicos residentes, debido al suministro inoportuno de alimentación de acuerdo con los requerimientos nutricionales.</t>
  </si>
  <si>
    <t xml:space="preserve">Posibilidad de afectación reputacional por quejas, reclamos y no prestación en la atención integral de los servicios de salud a los usuarios atendidos por el HOMIL, debido al incumplimiento en el suministro oportuno de ropa hospitalaria para la prestación del servicio en los diferentes procedimientos que requieren los pacientes. </t>
  </si>
  <si>
    <t>Posibilidad de afectación reputacional por quejas, reclamos y complicaciones en la salud del paciente y usuarios, debido al incumplimiento al procedimiento de limpieza y desinfección en la entidad.</t>
  </si>
  <si>
    <t>Posibilidad de afectación económica y reputacional por el cierre de servicios por parte de organismos de vigilancia y control, debido al incumplimiento de la normatividad vigente. (Acreditación y habilitación).</t>
  </si>
  <si>
    <t xml:space="preserve">Posibilidad de afectación económica por multas y sanciones debido a la pérdida y hurto de recursos (dinero) de la caja manual (ventanilla) y para el manejo del dinero con el que se surte el cajero electrónico del parqueadero público. </t>
  </si>
  <si>
    <t>Posibilidad de afectación económica y reputacional por multas, sanciones, demandas y no prestación en la atención integral de los servicios de salud a los usuarios atendidos por el HOMIL, debido a la falta de planeación para el adecuado funcionamiento y prestación del servicio de ambulancias. 
(Medicalizadas y básicas).</t>
  </si>
  <si>
    <t>Posibilidad de afectación económica y reputacional por la no prestación de la atención integral de los servicios de salud a los usuarios atendidos por el HOMIL, debido al 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</si>
  <si>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Posibilidad de afectación económica y reputacional, debido a observaciones, hallazgos, multas o sanciones de entes de control, por pérdida de los bienes activos y bienes de consumo.</t>
  </si>
  <si>
    <t>Posibilidad de afectación económica por limitación en el cumplimiento del objetivo de los procesos del HOMIL, debido daño de los bienes activos derivado del uso negligente de los mismos.</t>
  </si>
  <si>
    <t>Posibilidad de afectación económica y reputacional por sanciones, multas y demandas, debido al incumplimiento de los requisitos legales y/o propios del objeto del contrato en los procesos de selección y vinculación de la entidad. (Vinculación de persona natural)</t>
  </si>
  <si>
    <t xml:space="preserve">Posibilidad de afectación económica y reputacional por limitación en la prestación de servicios de salud por falta de recursos, debido a fallas en la planeación y seguimiento presupuestal.
</t>
  </si>
  <si>
    <t>Posibilidad de afectación económica y reputacional por sanción y no fenecimiento de la cuenta fiscal, debido a inoportunidad o no registro de las transacciones económicas e incumplimiento a normatividad contable vigente.</t>
  </si>
  <si>
    <t>Posibilidad de afectación económica y reputacional por sanción y no fenecimiento de la cuenta fiscal, debido a incluir u omitir datos en el sistema de información, que no respondan a la realidad con respecto a la transacción realizada.</t>
  </si>
  <si>
    <t>Posibilidad de afectación económica, por sanciones económicas y penales, debido realizar dobles pagos frente a una misma obligación, pagos sin cumplimiento de requisitos e incumplimiento en el pago a terceros.</t>
  </si>
  <si>
    <t>Posibilidad de afectación económica por  la inadecuada toma de decisiones frente al comportamiento de un centro de costo o un servicio, debido a incluir u omitir datos en el sistema de información que no respondan a la realidad con respecto a la transacción realizada.</t>
  </si>
  <si>
    <t>Posibilidad de afectación económica por no facturación de los servicios prestados, debido a inoportunidad o no registro de las atenciones en salud prestadas a los pacientes.</t>
  </si>
  <si>
    <t>Posibilidad de afectación económica por inoportunidad en el recaudo de las cuentas por cobrar por prestación de servicios de salud, con los diferentes pagadores del sistema general de seguridad social en salud, debido al agotamiento en el cobro persuasivo.</t>
  </si>
  <si>
    <t>Posibilidad de afectación reputacional por pérdida del patrimonio documental, debido a la inadecuada administración de los documentos por parte del personal y/o incumplimiento de los procedimientos de la gestión documental en la entidad.</t>
  </si>
  <si>
    <t>Posibilidad de afectación reputacional por multas y sanciones por el ente regulador, debido a incumplimiento normativo, a causa de desgregación, deterioro y pérdida del patrimonio documental del archivo central de la entidad.</t>
  </si>
  <si>
    <t>Posibilidad de afectación económica y reputacional por demandas y tutelas por divulgación de información clasificada o reservada de los usuarios atendidos por el HOMIL, debido a falta en el compromiso de confidencialidad y reserva de la información por parte del personal que custodia la información del archivo central.</t>
  </si>
  <si>
    <t>Posibilidad de afectación económica y reputacional por pérdida de correspondencia que ingresa y sale de la entidad, debido al incumplimiento del procedimiento establecido para el control de la correspondencia recibida y enviada, al igual que el no diligenciamiento de las planillas de control de envío de la documentación externa y fallas en la radicación a terceros.</t>
  </si>
  <si>
    <t>Posibilidad de afectación económica y reputacional, por sanciones disciplinarias, administrativas, penales, incumplimiento normativo y pérdida del patrimonio documental, debido a la inadecuada administración de los documentos por parte del personal e inadecuada adherencia al procedimiento para el préstamo de la documentación. (Historias Clínicas)</t>
  </si>
  <si>
    <t>Posibilidad de afectación económica y reputacional por traumatismos en la atención de los pacientes por ausencia de los formatos institucionales, debido a falta de insumos, materia prima y daño en equipos. (Impresoras litográficas y maquinas de corte).</t>
  </si>
  <si>
    <t>Posibilidad de afectación reputacional por selección inadecuada de procesos a evaluar, debido a la falta de aplicación de una herramienta de priorización de auditorías, como insumo para la elaboración del Plan Anual de Auditorias de cada vigencia.</t>
  </si>
  <si>
    <t>Posibilidad de afectación reputacional por pérdida de credibilidad y confianza en la Oficina de Control Interno, debido a inexistencia de información que sustente y respalde el hallazgo de auditoría, deficiencias e interpretación errada de los soportes o ausencia de los mismos.</t>
  </si>
  <si>
    <r>
      <t xml:space="preserve">Posibilidad de afectación económica por vencimiento de tecnologías en salud asociada a no realizar gestión alguna para evitar la materialización del riesgo, debido a falta de control, descuido en los proceso de manejo de productos próximos a vencer.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</si>
  <si>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atención inoportuna  en el servicio de urgencias, debido a clasificación equivocada en la atención médica inmediata (triage) por falta de adherencia al procedimiento de clasificación y valoración,  fallas en la clasificación por demanda de pacientes.
</t>
    </r>
    <r>
      <rPr>
        <b/>
        <sz val="20"/>
        <rFont val="Arial Narrow"/>
        <family val="2"/>
      </rPr>
      <t xml:space="preserve">Nota:
</t>
    </r>
    <r>
      <rPr>
        <sz val="20"/>
        <rFont val="Arial Narrow"/>
        <family val="2"/>
      </rPr>
      <t xml:space="preserve">Se establece un mínimo de tolerancia para evidenciar la materialización del riesgo, este corresponde al 0,08% de clasificación equivocada en la atención médica trimestral (Triage). </t>
    </r>
  </si>
  <si>
    <r>
      <t xml:space="preserve">Posibilidad de afectación económica y reputacional por insatisfacción de los usuarios atendidos por el HOMIL, debido a la asignación de citas con servicios que no correspondan a la orden médica y a la autorización y falta de adherencia al procedimiento de asignación de citas médicas en medios presenciales  (central de citas) y no presenciales (Telefónico y correo electrónico).
</t>
    </r>
    <r>
      <rPr>
        <b/>
        <sz val="20"/>
        <rFont val="Arial Narrow"/>
        <family val="2"/>
      </rPr>
      <t>Nota:</t>
    </r>
    <r>
      <rPr>
        <sz val="20"/>
        <rFont val="Arial Narrow"/>
        <family val="2"/>
      </rPr>
      <t xml:space="preserve">
Se establece un mínimo de tolerancia para evidenciar la materialización del riesgo, este corresponde al 0,16% de errores agendados trimestralmente. </t>
    </r>
  </si>
  <si>
    <r>
      <t xml:space="preserve">Posibilidad de afectación económica y reputacional, recibir o solicitar cualquier dádiva o beneficio a nombre propio o de terceros, debido al manejo de influencias en la asignación de citas médicas y falla en adherencia a los protocolos institucionales por parte de los funcionarios de asignación de citas.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</si>
  <si>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recibir o solicitar cualquier dadiva o beneficio a nombre propio o de terceros, debido a la manipulación del proceso disciplinario en beneficio del investigado.
(La económica se presentaría como consecuencia de un fallo de reparación directa en contra del HOMIL).
</t>
    </r>
    <r>
      <rPr>
        <b/>
        <sz val="20"/>
        <rFont val="Arial Narrow"/>
        <family val="2"/>
      </rPr>
      <t xml:space="preserve">Nota: </t>
    </r>
    <r>
      <rPr>
        <sz val="20"/>
        <rFont val="Arial Narrow"/>
        <family val="2"/>
      </rPr>
      <t xml:space="preserve">La posible materialización de los riesgos de corrupción (fraude Interno) se identificarán por medio del análisis de denuncias, quejas y demandas. </t>
    </r>
  </si>
  <si>
    <r>
      <t xml:space="preserve">Posibilidad de afectación económica y reputacional por 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</si>
  <si>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cualquier dádiva o beneficio a nombre propio o de terceros, con el fin de manipular la información en el  seguimiento y supervisión de los contratos.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t>
    </r>
  </si>
  <si>
    <r>
      <t xml:space="preserve">Posibilidad de afectación económica por recibir o solicitar dádivas o beneficios a nombre propio o de terceros, debido a la modificación indebida de valores a los compromisos contractuales de pagos y cuentas de destino para el pago de recursos.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</si>
  <si>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dádivas ó beneficios a nombre propio o de terceros, debido a adulterar o cambiar información para minimizar el valor a cobrar por la prestación de servicios de salud.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</si>
  <si>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reputacional por recibir o solicitar cualquier dádiva o beneficio a nombre propio o de terceros para alterar a conveniencia propia o de terceros los resultados de informes a cargo de la Oficina de Control Interno.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</si>
  <si>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r>
    <r>
      <rPr>
        <b/>
        <sz val="18"/>
        <color theme="1"/>
        <rFont val="Arial Narrow"/>
        <family val="2"/>
      </rPr>
      <t>Nota:</t>
    </r>
    <r>
      <rPr>
        <sz val="18"/>
        <color theme="1"/>
        <rFont val="Arial Narrow"/>
        <family val="2"/>
      </rPr>
      <t xml:space="preserve"> Teniendo en cuenta que el análisis y el cruce de la información de resultados de los indicadores y actividades estratégicas del PAI en el aplicativo vs formato PL-OAPL-PR-09-FT-02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</si>
  <si>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r>
      <t xml:space="preserve">El profesional de la Oficina Asesora de Planeación realiza mesas de trabajo cada vez que sea requerido, para validar y verificar los resultados trimestrales obtenidos en los indicadores y actividades estratégicas que conforman el Plan de Acción Institucional, con Subdirectores y Jefes de Unidad.
</t>
    </r>
    <r>
      <rPr>
        <b/>
        <sz val="18"/>
        <color theme="1"/>
        <rFont val="Arial Narrow"/>
        <family val="2"/>
      </rPr>
      <t>Soporte:</t>
    </r>
    <r>
      <rPr>
        <sz val="18"/>
        <color theme="1"/>
        <rFont val="Arial Narrow"/>
        <family val="2"/>
      </rPr>
      <t xml:space="preserve"> Actas de reunión.
</t>
    </r>
    <r>
      <rPr>
        <b/>
        <sz val="18"/>
        <color theme="1"/>
        <rFont val="Arial Narrow"/>
        <family val="2"/>
      </rPr>
      <t>Nota:</t>
    </r>
    <r>
      <rPr>
        <sz val="18"/>
        <color theme="1"/>
        <rFont val="Arial Narrow"/>
        <family val="2"/>
      </rPr>
      <t xml:space="preserve"> Teniendo en cuenta que la validación y verificación de los resultados de los indicadores y actividades estratégicas del PAI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</si>
  <si>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t>El líder del área de Gestión de la Infraestructura de las Tecnologías de la Información y Comunicación - GICO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</si>
  <si>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Operativa de los Servicios Tecnológicos - GOST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</si>
  <si>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Gestión de la Infraestructura de las Tecnologías de la Información y Comunicación - GICO, al menos una vez al año realiza un mantenimiento preventivo a la infraestructura de redes y comunicaciones que soporta los servicios tecnológicos, con el fin de asegurar el funcionamiento adecuado de la misma.</t>
  </si>
  <si>
    <t>El líder del área de Gestión Operativa de los Servicios Tecnológicos - GOST, cada vez que se requiera realiza los mantenimientos  correctivos conforme al procedimiento (GT-GERE-PR-01) a los equipos de cómputo de los diferentes servicios asistenciales, con el fin de asegurar el funcionamiento adecuado de los mismos.</t>
  </si>
  <si>
    <r>
      <t xml:space="preserve">Gestión de la Infraestructura de
las Tecnologías de la
Información y Comunicación
</t>
    </r>
    <r>
      <rPr>
        <sz val="20"/>
        <color rgb="FFFF0000"/>
        <rFont val="Arial Narrow"/>
        <family val="2"/>
      </rPr>
      <t xml:space="preserve">
</t>
    </r>
    <r>
      <rPr>
        <sz val="20"/>
        <color theme="1"/>
        <rFont val="Arial Narrow"/>
        <family val="2"/>
      </rPr>
      <t xml:space="preserve">Gestión Operativa de los
Servicios Tecnológicos
</t>
    </r>
  </si>
  <si>
    <t>El área de Gestión Operativa de los Servicios Tecnológicos - GOST, solo crea las cuentas de acceso a las personas que alleguen 100% diligenciado el formato único de solicitud de acceso a servicios informáticos (TI-GESU-PR-01-FT-01)</t>
  </si>
  <si>
    <t>El área de Gestión Operativa de los Servicios Tecnológicos - GOST, configura la fecha de terminación del contrato relacionada en el formato único de solicitud de acceso a servicios informáticos (TI-GESU-PR-01-FT-01). Está configuración se realiza en el directorio activo para que se bloquee de manera automática el día que corresponda.</t>
  </si>
  <si>
    <t xml:space="preserve">El  área de Gestión de la Seguridad y Privacidad de a Información - GSPI, mensualmente realiza campañas de sensibilización en temas de ciber seguridad. Con el fin de concientizar a los usuarios de los riesgos relacionados con el uso seguro de la infraestructura tecnológica que soporta la prestación de los servicios tecnológicos. </t>
  </si>
  <si>
    <t>El administrador de la base de datos del área de Gestión de la Infraestructura de las Tecnologías de la Información y Comunicación - GICO  configura un script automático para deshabilitar usuarios que lleven más de un mes sin ingresar al sistema de información Dinámica Gerencial.</t>
  </si>
  <si>
    <t>El líder del área de Gestión de la Infraestructura de las Tecnologías de la Información y Comunicación - GICO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</si>
  <si>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Gestión de la Infraestructura de las Tecnologías de la Información y Comunicación - GICO, verifica el log de eventos en la herramienta de backup de la entidad que indique la realización y terminación correcta de copias de datos. Con el fin de asegurarse que se tiene una copia de respaldo consistente y disponible para cuando se necesite.</t>
  </si>
  <si>
    <t>Los líderes de módulos del aplicativo Dinámica Gerencial Hospitalaria del área de Gestión Ciclo de Vida de los Sistemas de Información - GCSI,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</si>
  <si>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Gestión Operativa de los Servicios Tecnológicos - GOST de la Unidad Informática, una vez finalizada la actualización de la nueva versión de Dinámica Gerencial Hospitalaria, iniciará un recorrido preventivo por las áreas asistenciales (Desde el piso 12, hasta urgencias y salas de cirugía); revisando la funcionalidad y operatividad del sistema de información. El personal encargado del recorrido firmará la bitácora de recorridos de la UNIN.</t>
  </si>
  <si>
    <t>Gestión Ciclo de Vida de los Sistemas de Información
Gestión Operativa de los Servicios Tecnológicos</t>
  </si>
  <si>
    <t xml:space="preserve">Gestión de la Seguridad y
Privacidad de a Información 
Gestión Operativa de los Servicios Tecnológicos
Gestión de la Infraestructura de las Tecnologías de la Información y Comunicación
</t>
  </si>
  <si>
    <t>El jefe de la Unidad de Apoyo Logístico o delegado de la gestión ambiental, con apoyo de funcionarios de la ARL, realiza capacitaciones mensuales al personal asistencial y administrativo, con el fin de conocer la adherencia al Plan de Gestión Integral de Residuos Generados en la Atención en Salud - PGIRASA.</t>
  </si>
  <si>
    <t>El jefe de la Unidad de Apoyo Logístico o delegado de la gestión ambiental, realiza inspecciones mensuales a los servicios asistenciales que generan residuos hospitalarios, con el fin de medir la adherencia al Plan de Gestión Integral de Residuos Generados en la Atención en Salud - PGIRASA.</t>
  </si>
  <si>
    <r>
      <t xml:space="preserve">La coordinadora de prácticas de la Unidad de Formación Docencia realiza verificación mensual del total de ingresos del personal en formación, mediante el cotejo de (solicitud formal por parte de la institución de educación superior; plataforma institucional de registro de personal en formación; y listados de asistencia del personal en formación programado para el 1er día hábil de cada mes), con el fin de evitar el ingreso de personal en formación no autorizado ni registrado en las bases de datos de la Unidad de Formación Docencia. 
</t>
    </r>
    <r>
      <rPr>
        <b/>
        <sz val="18"/>
        <color theme="1"/>
        <rFont val="Arial Narrow"/>
        <family val="2"/>
      </rPr>
      <t>(Acta de reunión mensual que refleja la verificación realizada del cotejo previamente mencionado).</t>
    </r>
  </si>
  <si>
    <r>
      <t xml:space="preserve">La jefe de Unidad de Formación y Docencia define trimestralmente  el seguimiento y evaluación a los convenios docencia servicio por medio de los comités Docencia servicio con las instituciones educativas, con el fin de administrar adecuadamente la ejecución de los convenios.
</t>
    </r>
    <r>
      <rPr>
        <b/>
        <sz val="18"/>
        <color theme="1"/>
        <rFont val="Arial Narrow"/>
        <family val="2"/>
      </rPr>
      <t>(Acta de comité relación Docencia - Servicio)</t>
    </r>
  </si>
  <si>
    <r>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r>
    <r>
      <rPr>
        <b/>
        <sz val="18"/>
        <color theme="1"/>
        <rFont val="Arial Narrow"/>
        <family val="2"/>
      </rPr>
      <t>(Evidencia fotográfica de la Plataforma Institucional de registro de personal en formación)</t>
    </r>
  </si>
  <si>
    <t>GAAF_16</t>
  </si>
  <si>
    <t>Imágenes Diagnósticas 
(Radiología)</t>
  </si>
  <si>
    <t xml:space="preserve">Posibilidad de afectación económica y reputacional, por sanciones disciplinarias, administrativas, penales, incumplimiento normativo y detrimento patrimonial, debido a la 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
</t>
  </si>
  <si>
    <t>Posibilidad de afectación reputacional por requerimientos de entes de Control sin revisión por parte de la Oficina de Control Interno - OCIN en relación con los  atributos de oportunidad en la entrega, integridad y coherencia, debido a que la Oficina designada por la Dirección para recibir y distribuir  los requerimientos de los entes de control hacia las dependencias responsables de atenderlos según su competencia, no informe a la OCIN sobre los requerimientos allegados junto con la respuesta consolidada.</t>
  </si>
  <si>
    <t>TIN_05</t>
  </si>
  <si>
    <t>Gestión de la Infraestructura de las Tecnologías de la Información y Comunicación</t>
  </si>
  <si>
    <t>Fallos en la configuración y monitoreo de la infraestructura de seguridad digital del HOMIL</t>
  </si>
  <si>
    <t>Fallas en la gestión de procesos de seguridad informática. (Hardware, Software, Malware)</t>
  </si>
  <si>
    <t>Posibilidad de afectación reputacional por fallos en la configuración y monitoreo de la infraestructura de seguridad digital del HOMIL, debido a fallas en la gestión de procesos de seguridad informática.</t>
  </si>
  <si>
    <t>Infraestructura de Seguridad informática</t>
  </si>
  <si>
    <t>El líder del área de Gestión de la Seguridad y Privacidad de la Información - GSPI realiza el  monitoreo 7*24*365  a través de las herramientas de monitoreo seguridad informatica y presentará un informe detallado trimestral, con el fin de verificar el funcionamiento y el estado general de la infraestructura de seguridad digital de la institución, para tomar acciones preventivas y/o correctivas.
Soporte: Informe trimestral</t>
  </si>
  <si>
    <t>Análisis de vulnerabilidades externas.</t>
  </si>
  <si>
    <t>Plan de remediación</t>
  </si>
  <si>
    <t>GCO_06</t>
  </si>
  <si>
    <t xml:space="preserve"> Emitir certificados a estudiantes de la Escuela de Auxiliares de Enfermería</t>
  </si>
  <si>
    <t xml:space="preserve">Incumplimiento de los requisitos para la certificación. </t>
  </si>
  <si>
    <t xml:space="preserve">Posibilidad de afectación reputacional por emitir certificados a estudiantes de la Escuela de Aúxiliares de Enfermería sin dar cumplimiento a los requisitos para la certificación. </t>
  </si>
  <si>
    <t>La coordinadora académica de la Escuela de Auxiliares de Enfermería valida al finalizar cada cohorte el cumplimiento de las actividades descritas en el PROCEDIMIENTO: CERTIFICACION DE ESTUDIANTES CÓDIGO: GC-ESAE-PR-07, con el propósito de identificar incumplimiento por parte de los estudiantes frente a los requisitos de certificación.
Soportes: Paz y salvo de estudiantes para certificación
campo teórico y práctico CÓDIGO: GC-ESAE-PR-07-FT-01.
Acta de Consejo Académico CÓDIGO: PL-CLDD-PR-01-FT-14
Formato de validación de competencias de la práctica formativa Campo entrega de documentos. CÓDIGO: GC-
ESAE-PR-06-FT-08</t>
  </si>
  <si>
    <r>
      <t xml:space="preserve">El responsable del área de Seguridad y Salud en el Trabajo, realiza seguimiento trimestral al cumplimiento de la matriz de capacitaciones que hace parte del Plan de acción Institucional de cada vigencia, el cual es verificado mediante una evaluación de adherencia al conocimiento           frente al Plan Hospitalario de Gestión del Riesgo.
</t>
    </r>
    <r>
      <rPr>
        <b/>
        <sz val="18"/>
        <color theme="1"/>
        <rFont val="Arial Narrow"/>
        <family val="2"/>
      </rPr>
      <t xml:space="preserve">Soporte: 
</t>
    </r>
    <r>
      <rPr>
        <sz val="18"/>
        <color theme="1"/>
        <rFont val="Arial Narrow"/>
        <family val="2"/>
      </rPr>
      <t>Informes de seguimiento al plan de acción Institucional y base de datos de los formularios de evaluación.</t>
    </r>
  </si>
  <si>
    <r>
      <t xml:space="preserve">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
</t>
    </r>
    <r>
      <rPr>
        <b/>
        <sz val="18"/>
        <color theme="1"/>
        <rFont val="Arial Narrow"/>
        <family val="2"/>
      </rPr>
      <t>Soporte:</t>
    </r>
    <r>
      <rPr>
        <sz val="18"/>
        <color theme="1"/>
        <rFont val="Arial Narrow"/>
        <family val="2"/>
      </rPr>
      <t xml:space="preserve"> 
Listados de asistencia a las capacitaciones y evaluaciones de adherencia.</t>
    </r>
  </si>
  <si>
    <r>
      <t xml:space="preserve">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
</t>
    </r>
    <r>
      <rPr>
        <b/>
        <sz val="18"/>
        <color theme="1"/>
        <rFont val="Arial Narrow"/>
        <family val="2"/>
      </rPr>
      <t xml:space="preserve">Soporte: 
</t>
    </r>
    <r>
      <rPr>
        <sz val="18"/>
        <color theme="1"/>
        <rFont val="Arial Narrow"/>
        <family val="2"/>
      </rPr>
      <t>Evaluaciones de adherencia.</t>
    </r>
  </si>
  <si>
    <r>
      <t xml:space="preserve">El responsable del área de Seguridad y Salud en el trabajo, identifica, evalua y analiza anualmente las amenazas y vulnerabilidades de la entidad y  realiza seguimiento a los controles generados del análisis de vulnerabilidad, con el fin de reducir el impacto frente a la ocurrencia de una posible emergencia.
</t>
    </r>
    <r>
      <rPr>
        <b/>
        <sz val="18"/>
        <color theme="1"/>
        <rFont val="Arial Narrow"/>
        <family val="2"/>
      </rPr>
      <t>Soporte:</t>
    </r>
    <r>
      <rPr>
        <sz val="18"/>
        <color theme="1"/>
        <rFont val="Arial Narrow"/>
        <family val="2"/>
      </rPr>
      <t xml:space="preserve"> 
Informe anual de amenazas, vulnerabilidades y listados de asistencia a las capacitaciones.</t>
    </r>
  </si>
  <si>
    <r>
      <t xml:space="preserve">El responsable del área de Seguridad y Salud en el Trabajo establece anualmente  un Plan de acción generado a partir de la matriz de identificación del peligro y valoración del riesgo, con el fin de controlar los riesgos identificados. 
</t>
    </r>
    <r>
      <rPr>
        <b/>
        <sz val="18"/>
        <color theme="1"/>
        <rFont val="Arial Narrow"/>
        <family val="2"/>
      </rPr>
      <t xml:space="preserve">Soporte: 
</t>
    </r>
    <r>
      <rPr>
        <sz val="18"/>
        <color theme="1"/>
        <rFont val="Arial Narrow"/>
        <family val="2"/>
      </rPr>
      <t xml:space="preserve">Cronograma de actividades el cual está incluido en el Plan de Acción Institucional de la vigencia. </t>
    </r>
  </si>
  <si>
    <r>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r>
    <r>
      <rPr>
        <b/>
        <sz val="18"/>
        <color theme="1"/>
        <rFont val="Arial Narrow"/>
        <family val="2"/>
      </rPr>
      <t xml:space="preserve">Soporte: </t>
    </r>
    <r>
      <rPr>
        <sz val="18"/>
        <color theme="1"/>
        <rFont val="Arial Narrow"/>
        <family val="2"/>
      </rPr>
      <t xml:space="preserve">
Cronograma de inspeccciones por vigencia. 
Actas de inspección. 
Informes de inspección.
Solicitudes de inspección realizada por áreas o servicios. </t>
    </r>
  </si>
  <si>
    <r>
      <t xml:space="preserve">El responsable del área de Seguridad y Salud en el Trabajo recepciona, tramita y hace seguimiento mensual a los reportes de condiciones inseguras,  con el objetivo de mitigar el riesgo identificado.
</t>
    </r>
    <r>
      <rPr>
        <b/>
        <sz val="18"/>
        <color theme="1"/>
        <rFont val="Arial Narrow"/>
        <family val="2"/>
      </rPr>
      <t xml:space="preserve">Soporte:
</t>
    </r>
    <r>
      <rPr>
        <sz val="18"/>
        <color theme="1"/>
        <rFont val="Arial Narrow"/>
        <family val="2"/>
      </rPr>
      <t>Reporte de condiciones inseguras.
Base de datos de las condiciones inseguras.
Informe de condiciones inseguras.
Correos electrónicos y oficios.</t>
    </r>
  </si>
  <si>
    <r>
      <t xml:space="preserve">El Jefe del Área de Registro, Correspondencia y Archivo, diseña, implementa y asegura la aplicación de los instrumentos archivísticos, procedimientos estandarizados y lineamientos técnicos para la creación, recepción, distribución, organización, acceso, consulta, conservación y
disposición final de la documentación del Hospital.
</t>
    </r>
    <r>
      <rPr>
        <b/>
        <sz val="18"/>
        <color theme="1"/>
        <rFont val="Arial Narrow"/>
        <family val="2"/>
      </rPr>
      <t xml:space="preserve">Actividades de Control:
- </t>
    </r>
    <r>
      <rPr>
        <sz val="18"/>
        <color theme="1"/>
        <rFont val="Arial Narrow"/>
        <family val="2"/>
      </rPr>
      <t xml:space="preserve">Revisión, validación y actualización de los Instrumentos Archivísticos y aprobación por parte del Comité Institucional de Gestión y Desempeño. </t>
    </r>
    <r>
      <rPr>
        <b/>
        <sz val="18"/>
        <color theme="1"/>
        <rFont val="Arial Narrow"/>
        <family val="2"/>
      </rPr>
      <t>Periodicidad:</t>
    </r>
    <r>
      <rPr>
        <sz val="18"/>
        <color theme="1"/>
        <rFont val="Arial Narrow"/>
        <family val="2"/>
      </rPr>
      <t xml:space="preserve"> Anual. </t>
    </r>
    <r>
      <rPr>
        <b/>
        <sz val="18"/>
        <color theme="1"/>
        <rFont val="Arial Narrow"/>
        <family val="2"/>
      </rPr>
      <t>Soporte:</t>
    </r>
    <r>
      <rPr>
        <sz val="18"/>
        <color theme="1"/>
        <rFont val="Arial Narrow"/>
        <family val="2"/>
      </rPr>
      <t xml:space="preserve">Actas de Comité Institucional de Gestión y Desempeño.
- Monitoreo de condiciones ambientales: Registro de temperatura/humeda d y validación de saneamiento en depósitos. 
</t>
    </r>
    <r>
      <rPr>
        <b/>
        <sz val="18"/>
        <color theme="1"/>
        <rFont val="Arial Narrow"/>
        <family val="2"/>
      </rPr>
      <t>Periodicidad:</t>
    </r>
    <r>
      <rPr>
        <sz val="18"/>
        <color theme="1"/>
        <rFont val="Arial Narrow"/>
        <family val="2"/>
      </rPr>
      <t xml:space="preserve"> Mensual. </t>
    </r>
    <r>
      <rPr>
        <b/>
        <sz val="18"/>
        <color theme="1"/>
        <rFont val="Arial Narrow"/>
        <family val="2"/>
      </rPr>
      <t>Soporte:</t>
    </r>
    <r>
      <rPr>
        <sz val="18"/>
        <color theme="1"/>
        <rFont val="Arial Narrow"/>
        <family val="2"/>
      </rPr>
      <t xml:space="preserve"> Formatos de Control Ambiental.
- Verificación de integridad de respaldos: Ejecución de pruebas de restauración sobre los backups automáticos.
</t>
    </r>
    <r>
      <rPr>
        <b/>
        <sz val="18"/>
        <color theme="1"/>
        <rFont val="Arial Narrow"/>
        <family val="2"/>
      </rPr>
      <t>Periodicidad:</t>
    </r>
    <r>
      <rPr>
        <sz val="18"/>
        <color theme="1"/>
        <rFont val="Arial Narrow"/>
        <family val="2"/>
      </rPr>
      <t xml:space="preserve"> Semestral. </t>
    </r>
    <r>
      <rPr>
        <b/>
        <sz val="18"/>
        <color theme="1"/>
        <rFont val="Arial Narrow"/>
        <family val="2"/>
      </rPr>
      <t>Soporte:</t>
    </r>
    <r>
      <rPr>
        <sz val="18"/>
        <color theme="1"/>
        <rFont val="Arial Narrow"/>
        <family val="2"/>
      </rPr>
      <t xml:space="preserve"> Acta de verificación de prueba de respaldo Implementación del plan de preservación digital.
- Auditoría de tiempos de respuesta: Análisis de trazabilidad para detectar y gestionar radicados vencidos o próximos a vencer.
</t>
    </r>
    <r>
      <rPr>
        <b/>
        <sz val="18"/>
        <color theme="1"/>
        <rFont val="Arial Narrow"/>
        <family val="2"/>
      </rPr>
      <t>Periodicidad:</t>
    </r>
    <r>
      <rPr>
        <sz val="18"/>
        <color theme="1"/>
        <rFont val="Arial Narrow"/>
        <family val="2"/>
      </rPr>
      <t xml:space="preserve"> Mensual. </t>
    </r>
    <r>
      <rPr>
        <b/>
        <sz val="18"/>
        <color theme="1"/>
        <rFont val="Arial Narrow"/>
        <family val="2"/>
      </rPr>
      <t>Soporte:</t>
    </r>
    <r>
      <rPr>
        <sz val="18"/>
        <color theme="1"/>
        <rFont val="Arial Narrow"/>
        <family val="2"/>
      </rPr>
      <t xml:space="preserve"> Reporte de entrega de planillas.
- Auditoría de Préstamos y Devoluciones: Verifica ción de completitud en formatos de préstamo y gestión de recuperación de expedientes.
</t>
    </r>
    <r>
      <rPr>
        <b/>
        <sz val="18"/>
        <color theme="1"/>
        <rFont val="Arial Narrow"/>
        <family val="2"/>
      </rPr>
      <t>Periodicidad:</t>
    </r>
    <r>
      <rPr>
        <sz val="18"/>
        <color theme="1"/>
        <rFont val="Arial Narrow"/>
        <family val="2"/>
      </rPr>
      <t xml:space="preserve"> Mensual. </t>
    </r>
    <r>
      <rPr>
        <b/>
        <sz val="18"/>
        <color theme="1"/>
        <rFont val="Arial Narrow"/>
        <family val="2"/>
      </rPr>
      <t xml:space="preserve">Soporte: </t>
    </r>
    <r>
      <rPr>
        <sz val="18"/>
        <color theme="1"/>
        <rFont val="Arial Narrow"/>
        <family val="2"/>
      </rPr>
      <t xml:space="preserve">Formato de control de préstamo y consulta.
- Inspección física de instalaciones: Recorrido de verificación de estanterías, seguridad física y almacenamiento.
</t>
    </r>
    <r>
      <rPr>
        <b/>
        <sz val="18"/>
        <color theme="1"/>
        <rFont val="Arial Narrow"/>
        <family val="2"/>
      </rPr>
      <t>Periodicidad:</t>
    </r>
    <r>
      <rPr>
        <sz val="18"/>
        <color theme="1"/>
        <rFont val="Arial Narrow"/>
        <family val="2"/>
      </rPr>
      <t xml:space="preserve"> Semestral. </t>
    </r>
    <r>
      <rPr>
        <b/>
        <sz val="18"/>
        <color theme="1"/>
        <rFont val="Arial Narrow"/>
        <family val="2"/>
      </rPr>
      <t>Soporte:</t>
    </r>
    <r>
      <rPr>
        <sz val="18"/>
        <color theme="1"/>
        <rFont val="Arial Narrow"/>
        <family val="2"/>
      </rPr>
      <t xml:space="preserve"> Lista de chequeo de inspecciones y solicitudes de mantenimiento</t>
    </r>
  </si>
  <si>
    <r>
      <t xml:space="preserve">El profesional o técnico contable del área de almacenes (Activos Fijos), realiza cada vez que se requiera, la verificación de la documentación avalada por el supervisor del contrato según el procedimiento (Ingreso y entrega de Bienes activos CODIGO: GA-ALBA-PR-07), en la adquisición, y tomará una muestra registrada en dinámica gerencial.net. Creando la respectiva placa de identificación.
</t>
    </r>
    <r>
      <rPr>
        <b/>
        <sz val="18"/>
        <color theme="1"/>
        <rFont val="Arial Narrow"/>
        <family val="2"/>
      </rPr>
      <t xml:space="preserve">Soporte:
</t>
    </r>
    <r>
      <rPr>
        <sz val="18"/>
        <color theme="1"/>
        <rFont val="Arial Narrow"/>
        <family val="2"/>
      </rPr>
      <t>Factura y registro en Dinámica Gerencial.</t>
    </r>
  </si>
  <si>
    <r>
      <t xml:space="preserve">Los supervisores de contratos entregan al área de almacén (activos fijos), cada vez que se requiera, la totalidad de soportes y de acuerdo a formato INGRESO DE EQUIPOS POR ADQUISICION CÓDIGO: GA-ALBA-PR-07-FT-01, con el fin de generar de manera inmediata los traslados a los responsables de los inventarios.
</t>
    </r>
    <r>
      <rPr>
        <b/>
        <sz val="18"/>
        <color theme="1"/>
        <rFont val="Arial Narrow"/>
        <family val="2"/>
      </rPr>
      <t>Soporte:</t>
    </r>
    <r>
      <rPr>
        <sz val="18"/>
        <color theme="1"/>
        <rFont val="Arial Narrow"/>
        <family val="2"/>
      </rPr>
      <t xml:space="preserve">
Formato ingreso de equipos por adquisición</t>
    </r>
  </si>
  <si>
    <r>
      <t xml:space="preserve">El responsable de Activos Fijos realiza, de manera semestral, la proyección y asignación de los inventarios a los auxiliares del área de Almacenes y Bienes Activos – ALBA. Para cada periodo, se elabora y formaliza el acta correspondiente, la cual es emitida mensualmente y debe contar con las firmas de los funcionarios involucrados.
</t>
    </r>
    <r>
      <rPr>
        <b/>
        <sz val="18"/>
        <color theme="1"/>
        <rFont val="Arial Narrow"/>
        <family val="2"/>
      </rPr>
      <t xml:space="preserve">Soporte:
</t>
    </r>
    <r>
      <rPr>
        <sz val="18"/>
        <color theme="1"/>
        <rFont val="Arial Narrow"/>
        <family val="2"/>
      </rPr>
      <t>Cuadro en Excel (Cronograma)
Actas de reunión</t>
    </r>
  </si>
  <si>
    <r>
      <t xml:space="preserve">Los auxiliares del Área de Selección y Contratación de la Unidad de Compras, Licitaciones y Bienes Activos, verifican la idoneidad del posible contratista, entregada por parte del servicio solicitante a la oficina de selección, cada vez que se requiera y dando cumplimiento a lo establecido en el procedimiento de contratación directa - prestación de servicios profesionales y de apoyo a la gestión, Cód. GA-GECO-MN-01-FT-15, con el fin de dar cumplimiento al procedimiento selección de contratistas por prestación de servicios profesionales y de apoyo a la gestión, contratación por prestación de servicios con personas naturales.
</t>
    </r>
    <r>
      <rPr>
        <b/>
        <sz val="18"/>
        <color theme="1"/>
        <rFont val="Arial Narrow"/>
        <family val="2"/>
      </rPr>
      <t xml:space="preserve">Soportes:
</t>
    </r>
    <r>
      <rPr>
        <sz val="18"/>
        <color theme="1"/>
        <rFont val="Arial Narrow"/>
        <family val="2"/>
      </rPr>
      <t>Certificado de Idoneidad (entregado por parte del servicio solicitante)
Verificación de títulos (correos electrónicos en los cuales se confirma la autenticidad de estudios)
Documentos del posible contratista (con firma y fecha del revisor del área)</t>
    </r>
  </si>
  <si>
    <r>
      <t xml:space="preserve">Los auxiliares del Área de Selección y Contratación de la Unidad de Compras, Licitaciones y Bienes Activos, verifican cada vez que se requiera todos los requisitos del aspirante –, dando cumplimiento a lo establecido en el formato LISTA DE CHEQUEO CONTRATO DE PRESTACIÓN DE SERVICIOS – PERSONAL NUEVO-CARPETA, con el fin de garantizar el cumplimiento de documentos precontractuales y demás normatividad vigente.
</t>
    </r>
    <r>
      <rPr>
        <b/>
        <sz val="18"/>
        <color theme="1"/>
        <rFont val="Arial Narrow"/>
        <family val="2"/>
      </rPr>
      <t xml:space="preserve">Soporte:
</t>
    </r>
    <r>
      <rPr>
        <sz val="18"/>
        <color theme="1"/>
        <rFont val="Arial Narrow"/>
        <family val="2"/>
      </rPr>
      <t>Lista de chequeo (Documentos archivados en el orden de la misma)</t>
    </r>
  </si>
  <si>
    <t>El jefe de la Unidad de Compras Licitaciones y Bienes Activos, gestiona y promociona trimestralmente la disposición de un canal de denuncia por medio del correo mercadeocompras@homil.gov.co, como medio de comunicación confidencial, anónimo y seguro para que los interesados puedan informar posibles situaciones de fraude, irregularidades y conductas antiéticas en el desarrollo del proceso contractual.
Así mismo la oficina de SARLAFT , recepciona mediante los siguientes canales de denuncias
CANALES DE DENUNCIAS SARLAFT
·   Formulario denuncias: https://forms.gle/GoiyZvLRANNBmMcA8
·   Correos electrónicos: denuncias.sarlaft@homil.gov.co
·   Línea telefónica: 601 348 6868 ext. 3012
·   Atención presencial: Oficina de Cumplimiento SARLAFT Ingreso visitantes a mano derecha.</t>
  </si>
  <si>
    <t>El jefe de la Unidad de Apoyo Logístico o delegado de la gestión ambiental realiza el Plan Institucional de Gestión Ambiental - PIGA para la vigencia, en el cual plasma la periodicidad del lavado de tanques de manera semestral, de acuerdo con lo establecido en el artículo 10 del Decreto Decreto 1575 de 2007.</t>
  </si>
  <si>
    <t>El Jefe de la Unidad de Apoyo Logístico o delegado del área de Gestión Ambiental gestiona semestralmente la toma de muestra de agua potable y el análisis físico-químico y microbiológico, con el fin de conocer y garantizar el cumplimiento de la normatividad ambiental vigente, teniendo en cuenta el Protocolo de Lavado y Desinfección de tanques de agua potable generado por el HOMIL.</t>
  </si>
  <si>
    <r>
      <t xml:space="preserve">El responsable del área de Seguridad junto con la empresa de seguridad privada organizan y centralizan diariamente los ingresos y salidas de personas a la entidad, con el fin de llevar un control exhaustivo de los elementos y materiales que salen del hospital, los cuales deben pasar por el escáner.
</t>
    </r>
    <r>
      <rPr>
        <b/>
        <sz val="18"/>
        <color theme="1"/>
        <rFont val="Arial Narrow"/>
        <family val="2"/>
      </rPr>
      <t>Soporte:</t>
    </r>
    <r>
      <rPr>
        <sz val="18"/>
        <color theme="1"/>
        <rFont val="Arial Narrow"/>
        <family val="2"/>
      </rPr>
      <t xml:space="preserve"> Informe a la Subdirección Administrativa cuando se presenten decomisos de medicamentos, insumos hospitalarios y equipos médicos de la entidad, con el fin de reportar de forma efectiva  las actividades inusuales para la toma de acciones a las que haya lugar.
</t>
    </r>
    <r>
      <rPr>
        <b/>
        <sz val="18"/>
        <color theme="1"/>
        <rFont val="Arial Narrow"/>
        <family val="2"/>
      </rPr>
      <t xml:space="preserve">Nota: </t>
    </r>
    <r>
      <rPr>
        <sz val="18"/>
        <color theme="1"/>
        <rFont val="Arial Narrow"/>
        <family val="2"/>
      </rPr>
      <t>El área de seguridad requiere a los diferentes servicios los informes de las novedades presentadas en cuanto al decomiso de medicamentos, insumos hospitalarios y equipos médicos de la entidad con el fin de realizar coordinaciones necesarias e informar al comando superior del Hospital Militar Central.</t>
    </r>
  </si>
  <si>
    <r>
      <t xml:space="preserve">El responsable del área de Seguridad junto con la empresa de seguridad privada controlan diariamente el ingreso y salida de elementos de la entidad, por medio de los formato institucional Código SM-SEGU-FT-01, con el fin prevenir el hurto de equipos médicos, tecnológicos e insumos médicos. 
</t>
    </r>
    <r>
      <rPr>
        <b/>
        <sz val="18"/>
        <color theme="1"/>
        <rFont val="Arial Narrow"/>
        <family val="2"/>
      </rPr>
      <t xml:space="preserve">Soporte: </t>
    </r>
    <r>
      <rPr>
        <sz val="18"/>
        <color theme="1"/>
        <rFont val="Arial Narrow"/>
        <family val="2"/>
      </rPr>
      <t>Formato Autorización para entrada y salida de elementos y equipos.</t>
    </r>
  </si>
  <si>
    <t>MAPA DE RIESGOS INSTITUCIONAL 2025 V.1 - APROBADO MEDIANTE ACTA DE COMITÉ INSTITUCIONAL DE GESTIÓN Y DESEMPAÑO DEL DÍA 27 DE ENERO DE 2025. 
ACTUALIZACIÓN 21 DE MARZO DE 2025 V.2
ACTUALIZACIÓN 29 DE JULIO DE 2025 V.3
ACTUALIZACIÓN  DE 5 DICIEMBRE DE 2025 V.4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</si>
</sst>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4" x14ac:knownFonts="1">
    <font>
      <sz val="11"/>
      <color theme="1"/>
      <name val="Calibri"/>
      <family val="2"/>
      <scheme val="minor"/>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b/>
      <sz val="12"/>
      <color theme="1"/>
      <name val="Arial Narrow"/>
      <family val="2"/>
    </font>
    <font>
      <u/>
      <sz val="11"/>
      <color theme="10"/>
      <name val="Calibri"/>
      <family val="2"/>
      <scheme val="minor"/>
    </font>
    <font>
      <b/>
      <sz val="18"/>
      <color rgb="FF000000"/>
      <name val="Arial Narrow"/>
      <family val="2"/>
    </font>
    <font>
      <sz val="15"/>
      <color theme="1"/>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sz val="26"/>
      <color theme="1"/>
      <name val="Arial Narrow"/>
      <family val="2"/>
    </font>
    <font>
      <sz val="26"/>
      <color theme="1" tint="0.249977111117893"/>
      <name val="Arial Narrow"/>
      <family val="2"/>
    </font>
    <font>
      <b/>
      <i/>
      <sz val="26"/>
      <color theme="1"/>
      <name val="Arial Narrow"/>
      <family val="2"/>
    </font>
    <font>
      <b/>
      <sz val="10"/>
      <color theme="1"/>
      <name val="Arial Narrow"/>
      <family val="2"/>
    </font>
    <font>
      <b/>
      <sz val="24"/>
      <color theme="1"/>
      <name val="Arial Narrow"/>
      <family val="2"/>
    </font>
    <font>
      <b/>
      <sz val="20"/>
      <color theme="1"/>
      <name val="Arial Narrow"/>
      <family val="2"/>
    </font>
    <font>
      <sz val="20"/>
      <color theme="1"/>
      <name val="Arial Narrow"/>
      <family val="2"/>
    </font>
    <font>
      <b/>
      <sz val="20"/>
      <name val="Arial Narrow"/>
      <family val="2"/>
    </font>
    <font>
      <b/>
      <sz val="20"/>
      <color rgb="FFFF0000"/>
      <name val="Arial Narrow"/>
      <family val="2"/>
    </font>
    <font>
      <sz val="20"/>
      <name val="Arial Narrow"/>
      <family val="2"/>
    </font>
    <font>
      <sz val="20"/>
      <color rgb="FFFF0000"/>
      <name val="Arial Narrow"/>
      <family val="2"/>
    </font>
    <font>
      <sz val="20"/>
      <color theme="1"/>
      <name val="Arial"/>
      <family val="2"/>
    </font>
    <font>
      <b/>
      <sz val="20"/>
      <color indexed="53"/>
      <name val="Arial Narrow"/>
      <family val="2"/>
    </font>
    <font>
      <sz val="20"/>
      <color indexed="8"/>
      <name val="Arial Narrow"/>
      <family val="2"/>
    </font>
    <font>
      <b/>
      <sz val="16"/>
      <color indexed="81"/>
      <name val="Tahoma"/>
      <family val="2"/>
    </font>
    <font>
      <i/>
      <u/>
      <sz val="24"/>
      <color theme="1"/>
      <name val="Arial Narrow"/>
      <family val="2"/>
    </font>
    <font>
      <b/>
      <u/>
      <sz val="24"/>
      <color theme="1"/>
      <name val="Arial Narrow"/>
      <family val="2"/>
    </font>
    <font>
      <sz val="18"/>
      <name val="Arial Narrow"/>
      <family val="2"/>
    </font>
    <font>
      <u/>
      <sz val="18"/>
      <color theme="1"/>
      <name val="Arial Narrow"/>
      <family val="2"/>
    </font>
    <font>
      <sz val="18"/>
      <color rgb="FFFF0000"/>
      <name val="Arial Narrow"/>
      <family val="2"/>
    </font>
    <font>
      <i/>
      <sz val="18"/>
      <name val="Arial Narrow"/>
      <family val="2"/>
    </font>
    <font>
      <sz val="18"/>
      <color rgb="FF000000"/>
      <name val="Arial Narrow"/>
      <family val="2"/>
    </font>
    <font>
      <i/>
      <sz val="18"/>
      <color theme="1"/>
      <name val="Arial Narrow"/>
      <family val="2"/>
    </font>
    <font>
      <u/>
      <sz val="18"/>
      <color theme="3" tint="0.39997558519241921"/>
      <name val="Arial Narrow"/>
      <family val="2"/>
    </font>
    <font>
      <sz val="20"/>
      <color theme="1"/>
      <name val="Arial Narrow"/>
      <family val="2"/>
    </font>
  </fonts>
  <fills count="26">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6" tint="0.79998168889431442"/>
        <bgColor indexed="64"/>
      </patternFill>
    </fill>
    <fill>
      <patternFill patternType="solid">
        <fgColor theme="4" tint="0.79998168889431442"/>
        <bgColor indexed="64"/>
      </patternFill>
    </fill>
  </fills>
  <borders count="10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double">
        <color indexed="64"/>
      </right>
      <top style="double">
        <color indexed="64"/>
      </top>
      <bottom style="double">
        <color indexed="64"/>
      </bottom>
      <diagonal/>
    </border>
    <border>
      <left style="medium">
        <color indexed="64"/>
      </left>
      <right style="double">
        <color indexed="64"/>
      </right>
      <top style="medium">
        <color indexed="64"/>
      </top>
      <bottom style="double">
        <color indexed="64"/>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medium">
        <color indexed="64"/>
      </left>
      <right style="double">
        <color indexed="64"/>
      </right>
      <top style="double">
        <color indexed="64"/>
      </top>
      <bottom style="double">
        <color indexed="64"/>
      </bottom>
      <diagonal/>
    </border>
    <border>
      <left style="double">
        <color indexed="64"/>
      </left>
      <right style="medium">
        <color indexed="64"/>
      </right>
      <top style="double">
        <color indexed="64"/>
      </top>
      <bottom style="double">
        <color indexed="64"/>
      </bottom>
      <diagonal/>
    </border>
    <border>
      <left style="medium">
        <color indexed="64"/>
      </left>
      <right style="double">
        <color indexed="64"/>
      </right>
      <top style="double">
        <color indexed="64"/>
      </top>
      <bottom style="medium">
        <color indexed="64"/>
      </bottom>
      <diagonal/>
    </border>
    <border>
      <left style="double">
        <color indexed="64"/>
      </left>
      <right style="double">
        <color indexed="64"/>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double">
        <color indexed="64"/>
      </left>
      <right style="double">
        <color indexed="64"/>
      </right>
      <top style="double">
        <color indexed="64"/>
      </top>
      <bottom/>
      <diagonal/>
    </border>
    <border>
      <left style="medium">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medium">
        <color indexed="64"/>
      </left>
      <right style="double">
        <color indexed="64"/>
      </right>
      <top/>
      <bottom/>
      <diagonal/>
    </border>
    <border>
      <left style="dashed">
        <color indexed="64"/>
      </left>
      <right/>
      <top style="double">
        <color indexed="64"/>
      </top>
      <bottom style="dashed">
        <color theme="9" tint="-0.24994659260841701"/>
      </bottom>
      <diagonal/>
    </border>
    <border>
      <left/>
      <right/>
      <top style="double">
        <color indexed="64"/>
      </top>
      <bottom style="dashed">
        <color theme="9" tint="-0.24994659260841701"/>
      </bottom>
      <diagonal/>
    </border>
    <border>
      <left/>
      <right style="dashed">
        <color theme="9" tint="-0.24994659260841701"/>
      </right>
      <top style="double">
        <color indexed="64"/>
      </top>
      <bottom style="dashed">
        <color theme="9" tint="-0.24994659260841701"/>
      </bottom>
      <diagonal/>
    </border>
  </borders>
  <cellStyleXfs count="6">
    <xf numFmtId="0" fontId="0" fillId="0" borderId="0"/>
    <xf numFmtId="0" fontId="9" fillId="0" borderId="0"/>
    <xf numFmtId="0" fontId="22" fillId="0" borderId="0"/>
    <xf numFmtId="0" fontId="10" fillId="0" borderId="0"/>
    <xf numFmtId="9" fontId="20" fillId="0" borderId="0" applyFont="0" applyFill="0" applyBorder="0" applyAlignment="0" applyProtection="0"/>
    <xf numFmtId="0" fontId="60" fillId="0" borderId="0" applyNumberFormat="0" applyFill="0" applyBorder="0" applyAlignment="0" applyProtection="0"/>
  </cellStyleXfs>
  <cellXfs count="665">
    <xf numFmtId="0" fontId="0" fillId="0" borderId="0" xfId="0"/>
    <xf numFmtId="0" fontId="22" fillId="0" borderId="0" xfId="0" applyFont="1"/>
    <xf numFmtId="0" fontId="26" fillId="0" borderId="54" xfId="0" applyFont="1" applyBorder="1" applyAlignment="1">
      <alignment horizontal="left" vertical="center" wrapText="1" indent="1" readingOrder="1"/>
    </xf>
    <xf numFmtId="0" fontId="3" fillId="0" borderId="0" xfId="0" applyFont="1" applyAlignment="1">
      <alignment horizontal="center" vertical="center" wrapText="1"/>
    </xf>
    <xf numFmtId="0" fontId="27" fillId="3" borderId="0" xfId="0" applyFont="1" applyFill="1" applyAlignment="1">
      <alignment horizontal="center" vertical="center" wrapText="1" readingOrder="1"/>
    </xf>
    <xf numFmtId="0" fontId="28" fillId="4" borderId="55" xfId="0" applyFont="1" applyFill="1" applyBorder="1" applyAlignment="1">
      <alignment horizontal="center" vertical="center" wrapText="1" readingOrder="1"/>
    </xf>
    <xf numFmtId="0" fontId="28" fillId="0" borderId="55" xfId="0" applyFont="1" applyBorder="1" applyAlignment="1">
      <alignment horizontal="justify" vertical="center" wrapText="1" readingOrder="1"/>
    </xf>
    <xf numFmtId="9" fontId="28" fillId="0" borderId="55" xfId="0" applyNumberFormat="1" applyFont="1" applyBorder="1" applyAlignment="1">
      <alignment horizontal="center" vertical="center" wrapText="1" readingOrder="1"/>
    </xf>
    <xf numFmtId="0" fontId="28" fillId="5" borderId="54" xfId="0" applyFont="1" applyFill="1" applyBorder="1" applyAlignment="1">
      <alignment horizontal="center" vertical="center" wrapText="1" readingOrder="1"/>
    </xf>
    <xf numFmtId="0" fontId="28" fillId="0" borderId="54" xfId="0" applyFont="1" applyBorder="1" applyAlignment="1">
      <alignment horizontal="justify" vertical="center" wrapText="1" readingOrder="1"/>
    </xf>
    <xf numFmtId="9" fontId="28" fillId="0" borderId="54" xfId="0" applyNumberFormat="1" applyFont="1" applyBorder="1" applyAlignment="1">
      <alignment horizontal="center" vertical="center" wrapText="1" readingOrder="1"/>
    </xf>
    <xf numFmtId="0" fontId="28" fillId="6" borderId="54" xfId="0" applyFont="1" applyFill="1" applyBorder="1" applyAlignment="1">
      <alignment horizontal="center" vertical="center" wrapText="1" readingOrder="1"/>
    </xf>
    <xf numFmtId="0" fontId="28" fillId="7" borderId="54" xfId="0" applyFont="1" applyFill="1" applyBorder="1" applyAlignment="1">
      <alignment horizontal="center" vertical="center" wrapText="1" readingOrder="1"/>
    </xf>
    <xf numFmtId="0" fontId="29" fillId="8" borderId="54" xfId="0" applyFont="1" applyFill="1" applyBorder="1" applyAlignment="1">
      <alignment horizontal="center" vertical="center" wrapText="1" readingOrder="1"/>
    </xf>
    <xf numFmtId="0" fontId="30" fillId="0" borderId="0" xfId="0" applyFont="1"/>
    <xf numFmtId="0" fontId="21" fillId="0" borderId="0" xfId="0" applyFont="1"/>
    <xf numFmtId="0" fontId="32" fillId="0" borderId="0" xfId="0" applyFont="1" applyAlignment="1">
      <alignment vertical="center"/>
    </xf>
    <xf numFmtId="0" fontId="33" fillId="0" borderId="0" xfId="0" applyFont="1"/>
    <xf numFmtId="0" fontId="23" fillId="0" borderId="0" xfId="0" applyFont="1"/>
    <xf numFmtId="0" fontId="0" fillId="0" borderId="0" xfId="0" pivotButton="1"/>
    <xf numFmtId="0" fontId="34" fillId="0" borderId="0" xfId="0" applyFont="1" applyAlignment="1">
      <alignment horizontal="justify" vertical="center" wrapText="1" readingOrder="1"/>
    </xf>
    <xf numFmtId="0" fontId="35" fillId="0" borderId="0" xfId="0" applyFont="1"/>
    <xf numFmtId="0" fontId="36" fillId="3" borderId="0" xfId="0" applyFont="1" applyFill="1" applyAlignment="1">
      <alignment horizontal="center" vertical="center" wrapText="1" readingOrder="1"/>
    </xf>
    <xf numFmtId="0" fontId="37" fillId="0" borderId="55" xfId="0" applyFont="1" applyBorder="1" applyAlignment="1">
      <alignment horizontal="justify" vertical="center" wrapText="1" readingOrder="1"/>
    </xf>
    <xf numFmtId="0" fontId="37" fillId="0" borderId="54" xfId="0" applyFont="1" applyBorder="1" applyAlignment="1">
      <alignment horizontal="justify" vertical="center" wrapText="1" readingOrder="1"/>
    </xf>
    <xf numFmtId="0" fontId="37" fillId="4" borderId="55" xfId="0" applyFont="1" applyFill="1" applyBorder="1" applyAlignment="1">
      <alignment horizontal="center" vertical="center" wrapText="1" readingOrder="1"/>
    </xf>
    <xf numFmtId="0" fontId="37" fillId="5" borderId="54" xfId="0" applyFont="1" applyFill="1" applyBorder="1" applyAlignment="1">
      <alignment horizontal="center" vertical="center" wrapText="1" readingOrder="1"/>
    </xf>
    <xf numFmtId="0" fontId="37" fillId="6" borderId="54" xfId="0" applyFont="1" applyFill="1" applyBorder="1" applyAlignment="1">
      <alignment horizontal="center" vertical="center" wrapText="1" readingOrder="1"/>
    </xf>
    <xf numFmtId="0" fontId="37" fillId="7" borderId="54" xfId="0" applyFont="1" applyFill="1" applyBorder="1" applyAlignment="1">
      <alignment horizontal="center" vertical="center" wrapText="1" readingOrder="1"/>
    </xf>
    <xf numFmtId="0" fontId="38" fillId="8" borderId="54" xfId="0" applyFont="1" applyFill="1" applyBorder="1" applyAlignment="1">
      <alignment horizontal="center" vertical="center" wrapText="1" readingOrder="1"/>
    </xf>
    <xf numFmtId="0" fontId="37" fillId="0" borderId="55" xfId="0" applyFont="1" applyBorder="1" applyAlignment="1">
      <alignment horizontal="center" vertical="center" wrapText="1" readingOrder="1"/>
    </xf>
    <xf numFmtId="0" fontId="37" fillId="0" borderId="54" xfId="0" applyFont="1" applyBorder="1" applyAlignment="1">
      <alignment horizontal="center" vertical="center" wrapText="1" readingOrder="1"/>
    </xf>
    <xf numFmtId="0" fontId="39" fillId="9" borderId="1" xfId="0" applyFont="1" applyFill="1" applyBorder="1" applyAlignment="1" applyProtection="1">
      <alignment horizontal="center" vertical="center" wrapText="1" readingOrder="1"/>
      <protection hidden="1"/>
    </xf>
    <xf numFmtId="0" fontId="39" fillId="9" borderId="2" xfId="0" applyFont="1" applyFill="1" applyBorder="1" applyAlignment="1" applyProtection="1">
      <alignment horizontal="center" vertical="center" wrapText="1" readingOrder="1"/>
      <protection hidden="1"/>
    </xf>
    <xf numFmtId="0" fontId="39" fillId="9" borderId="3" xfId="0" applyFont="1" applyFill="1" applyBorder="1" applyAlignment="1" applyProtection="1">
      <alignment horizontal="center" vertical="center" wrapText="1" readingOrder="1"/>
      <protection hidden="1"/>
    </xf>
    <xf numFmtId="0" fontId="39" fillId="10" borderId="1" xfId="0" applyFont="1" applyFill="1" applyBorder="1" applyAlignment="1" applyProtection="1">
      <alignment horizontal="center" wrapText="1" readingOrder="1"/>
      <protection hidden="1"/>
    </xf>
    <xf numFmtId="0" fontId="39" fillId="10" borderId="2" xfId="0" applyFont="1" applyFill="1" applyBorder="1" applyAlignment="1" applyProtection="1">
      <alignment horizontal="center" wrapText="1" readingOrder="1"/>
      <protection hidden="1"/>
    </xf>
    <xf numFmtId="0" fontId="39" fillId="10" borderId="3" xfId="0" applyFont="1" applyFill="1" applyBorder="1" applyAlignment="1" applyProtection="1">
      <alignment horizontal="center" wrapText="1" readingOrder="1"/>
      <protection hidden="1"/>
    </xf>
    <xf numFmtId="0" fontId="39" fillId="9" borderId="4" xfId="0" applyFont="1" applyFill="1" applyBorder="1" applyAlignment="1" applyProtection="1">
      <alignment horizontal="center" vertical="center" wrapText="1" readingOrder="1"/>
      <protection hidden="1"/>
    </xf>
    <xf numFmtId="0" fontId="39" fillId="9" borderId="0" xfId="0" applyFont="1" applyFill="1" applyAlignment="1" applyProtection="1">
      <alignment horizontal="center" vertical="center" wrapText="1" readingOrder="1"/>
      <protection hidden="1"/>
    </xf>
    <xf numFmtId="0" fontId="39" fillId="9" borderId="5" xfId="0" applyFont="1" applyFill="1" applyBorder="1" applyAlignment="1" applyProtection="1">
      <alignment horizontal="center" vertical="center" wrapText="1" readingOrder="1"/>
      <protection hidden="1"/>
    </xf>
    <xf numFmtId="0" fontId="39" fillId="10" borderId="4" xfId="0" applyFont="1" applyFill="1" applyBorder="1" applyAlignment="1" applyProtection="1">
      <alignment horizontal="center" wrapText="1" readingOrder="1"/>
      <protection hidden="1"/>
    </xf>
    <xf numFmtId="0" fontId="39" fillId="10" borderId="0" xfId="0" applyFont="1" applyFill="1" applyAlignment="1" applyProtection="1">
      <alignment horizontal="center" wrapText="1" readingOrder="1"/>
      <protection hidden="1"/>
    </xf>
    <xf numFmtId="0" fontId="39" fillId="10" borderId="5" xfId="0" applyFont="1" applyFill="1" applyBorder="1" applyAlignment="1" applyProtection="1">
      <alignment horizontal="center" wrapText="1" readingOrder="1"/>
      <protection hidden="1"/>
    </xf>
    <xf numFmtId="0" fontId="39" fillId="9" borderId="6" xfId="0" applyFont="1" applyFill="1" applyBorder="1" applyAlignment="1" applyProtection="1">
      <alignment horizontal="center" vertical="center" wrapText="1" readingOrder="1"/>
      <protection hidden="1"/>
    </xf>
    <xf numFmtId="0" fontId="39" fillId="9" borderId="7" xfId="0" applyFont="1" applyFill="1" applyBorder="1" applyAlignment="1" applyProtection="1">
      <alignment horizontal="center" vertical="center" wrapText="1" readingOrder="1"/>
      <protection hidden="1"/>
    </xf>
    <xf numFmtId="0" fontId="39" fillId="9" borderId="8" xfId="0" applyFont="1" applyFill="1" applyBorder="1" applyAlignment="1" applyProtection="1">
      <alignment horizontal="center" vertical="center" wrapText="1" readingOrder="1"/>
      <protection hidden="1"/>
    </xf>
    <xf numFmtId="0" fontId="39" fillId="10" borderId="6" xfId="0" applyFont="1" applyFill="1" applyBorder="1" applyAlignment="1" applyProtection="1">
      <alignment horizontal="center" wrapText="1" readingOrder="1"/>
      <protection hidden="1"/>
    </xf>
    <xf numFmtId="0" fontId="39" fillId="10" borderId="7" xfId="0" applyFont="1" applyFill="1" applyBorder="1" applyAlignment="1" applyProtection="1">
      <alignment horizontal="center" wrapText="1" readingOrder="1"/>
      <protection hidden="1"/>
    </xf>
    <xf numFmtId="0" fontId="39" fillId="10" borderId="8" xfId="0" applyFont="1" applyFill="1" applyBorder="1" applyAlignment="1" applyProtection="1">
      <alignment horizontal="center" wrapText="1" readingOrder="1"/>
      <protection hidden="1"/>
    </xf>
    <xf numFmtId="0" fontId="39" fillId="11" borderId="1" xfId="0" applyFont="1" applyFill="1" applyBorder="1" applyAlignment="1" applyProtection="1">
      <alignment horizontal="center" wrapText="1" readingOrder="1"/>
      <protection hidden="1"/>
    </xf>
    <xf numFmtId="0" fontId="39" fillId="11" borderId="2" xfId="0" applyFont="1" applyFill="1" applyBorder="1" applyAlignment="1" applyProtection="1">
      <alignment horizontal="center" wrapText="1" readingOrder="1"/>
      <protection hidden="1"/>
    </xf>
    <xf numFmtId="0" fontId="39" fillId="11" borderId="3" xfId="0" applyFont="1" applyFill="1" applyBorder="1" applyAlignment="1" applyProtection="1">
      <alignment horizontal="center" wrapText="1" readingOrder="1"/>
      <protection hidden="1"/>
    </xf>
    <xf numFmtId="0" fontId="39" fillId="11" borderId="4" xfId="0" applyFont="1" applyFill="1" applyBorder="1" applyAlignment="1" applyProtection="1">
      <alignment horizontal="center" wrapText="1" readingOrder="1"/>
      <protection hidden="1"/>
    </xf>
    <xf numFmtId="0" fontId="39" fillId="11" borderId="0" xfId="0" applyFont="1" applyFill="1" applyAlignment="1" applyProtection="1">
      <alignment horizontal="center" wrapText="1" readingOrder="1"/>
      <protection hidden="1"/>
    </xf>
    <xf numFmtId="0" fontId="39" fillId="11" borderId="5" xfId="0" applyFont="1" applyFill="1" applyBorder="1" applyAlignment="1" applyProtection="1">
      <alignment horizontal="center" wrapText="1" readingOrder="1"/>
      <protection hidden="1"/>
    </xf>
    <xf numFmtId="0" fontId="39" fillId="11" borderId="6" xfId="0" applyFont="1" applyFill="1" applyBorder="1" applyAlignment="1" applyProtection="1">
      <alignment horizontal="center" wrapText="1" readingOrder="1"/>
      <protection hidden="1"/>
    </xf>
    <xf numFmtId="0" fontId="39" fillId="11" borderId="7" xfId="0" applyFont="1" applyFill="1" applyBorder="1" applyAlignment="1" applyProtection="1">
      <alignment horizontal="center" wrapText="1" readingOrder="1"/>
      <protection hidden="1"/>
    </xf>
    <xf numFmtId="0" fontId="39" fillId="11" borderId="8" xfId="0" applyFont="1" applyFill="1" applyBorder="1" applyAlignment="1" applyProtection="1">
      <alignment horizontal="center" wrapText="1" readingOrder="1"/>
      <protection hidden="1"/>
    </xf>
    <xf numFmtId="0" fontId="39" fillId="4" borderId="1" xfId="0" applyFont="1" applyFill="1" applyBorder="1" applyAlignment="1" applyProtection="1">
      <alignment horizontal="center" wrapText="1" readingOrder="1"/>
      <protection hidden="1"/>
    </xf>
    <xf numFmtId="0" fontId="39" fillId="4" borderId="2" xfId="0" applyFont="1" applyFill="1" applyBorder="1" applyAlignment="1" applyProtection="1">
      <alignment horizontal="center" wrapText="1" readingOrder="1"/>
      <protection hidden="1"/>
    </xf>
    <xf numFmtId="0" fontId="39" fillId="4" borderId="3" xfId="0" applyFont="1" applyFill="1" applyBorder="1" applyAlignment="1" applyProtection="1">
      <alignment horizontal="center" wrapText="1" readingOrder="1"/>
      <protection hidden="1"/>
    </xf>
    <xf numFmtId="0" fontId="39" fillId="4" borderId="4" xfId="0" applyFont="1" applyFill="1" applyBorder="1" applyAlignment="1" applyProtection="1">
      <alignment horizontal="center" wrapText="1" readingOrder="1"/>
      <protection hidden="1"/>
    </xf>
    <xf numFmtId="0" fontId="39" fillId="4" borderId="0" xfId="0" applyFont="1" applyFill="1" applyAlignment="1" applyProtection="1">
      <alignment horizontal="center" wrapText="1" readingOrder="1"/>
      <protection hidden="1"/>
    </xf>
    <xf numFmtId="0" fontId="39" fillId="4" borderId="5" xfId="0" applyFont="1" applyFill="1" applyBorder="1" applyAlignment="1" applyProtection="1">
      <alignment horizontal="center" wrapText="1" readingOrder="1"/>
      <protection hidden="1"/>
    </xf>
    <xf numFmtId="0" fontId="39" fillId="4" borderId="6" xfId="0" applyFont="1" applyFill="1" applyBorder="1" applyAlignment="1" applyProtection="1">
      <alignment horizontal="center" wrapText="1" readingOrder="1"/>
      <protection hidden="1"/>
    </xf>
    <xf numFmtId="0" fontId="39" fillId="4" borderId="7" xfId="0" applyFont="1" applyFill="1" applyBorder="1" applyAlignment="1" applyProtection="1">
      <alignment horizontal="center" wrapText="1" readingOrder="1"/>
      <protection hidden="1"/>
    </xf>
    <xf numFmtId="0" fontId="39" fillId="4" borderId="8"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0" fillId="2" borderId="0" xfId="0" applyFill="1"/>
    <xf numFmtId="0" fontId="11" fillId="2" borderId="9" xfId="1" applyFont="1" applyFill="1" applyBorder="1"/>
    <xf numFmtId="0" fontId="11" fillId="2" borderId="10" xfId="1" applyFont="1" applyFill="1" applyBorder="1"/>
    <xf numFmtId="0" fontId="11" fillId="2" borderId="11" xfId="1" applyFont="1" applyFill="1" applyBorder="1"/>
    <xf numFmtId="0" fontId="41" fillId="2" borderId="0" xfId="0" applyFont="1" applyFill="1" applyAlignment="1">
      <alignment vertical="center"/>
    </xf>
    <xf numFmtId="0" fontId="22" fillId="2" borderId="0" xfId="0" applyFont="1" applyFill="1"/>
    <xf numFmtId="0" fontId="42" fillId="2" borderId="0" xfId="0" applyFont="1" applyFill="1"/>
    <xf numFmtId="0" fontId="43" fillId="2" borderId="12" xfId="0" applyFont="1" applyFill="1" applyBorder="1" applyAlignment="1">
      <alignment horizontal="center" vertical="center" wrapText="1" readingOrder="1"/>
    </xf>
    <xf numFmtId="0" fontId="44" fillId="2" borderId="12" xfId="0" applyFont="1" applyFill="1" applyBorder="1" applyAlignment="1">
      <alignment horizontal="justify" vertical="center" wrapText="1" readingOrder="1"/>
    </xf>
    <xf numFmtId="9" fontId="43" fillId="2" borderId="13" xfId="0" applyNumberFormat="1"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4" fillId="2" borderId="14" xfId="0" applyFont="1" applyFill="1" applyBorder="1" applyAlignment="1">
      <alignment horizontal="justify" vertical="center" wrapText="1" readingOrder="1"/>
    </xf>
    <xf numFmtId="9" fontId="43" fillId="2" borderId="15" xfId="0" applyNumberFormat="1" applyFont="1" applyFill="1" applyBorder="1" applyAlignment="1">
      <alignment horizontal="center" vertical="center" wrapText="1" readingOrder="1"/>
    </xf>
    <xf numFmtId="0" fontId="44" fillId="2" borderId="15"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44" fillId="2" borderId="16" xfId="0" applyFont="1" applyFill="1" applyBorder="1" applyAlignment="1">
      <alignment horizontal="justify" vertical="center" wrapText="1" readingOrder="1"/>
    </xf>
    <xf numFmtId="0" fontId="44" fillId="2" borderId="17" xfId="0" applyFont="1" applyFill="1" applyBorder="1" applyAlignment="1">
      <alignment horizontal="center" vertical="center" wrapText="1" readingOrder="1"/>
    </xf>
    <xf numFmtId="0" fontId="45" fillId="2" borderId="0" xfId="0" applyFont="1" applyFill="1"/>
    <xf numFmtId="0" fontId="43" fillId="12" borderId="18" xfId="0" applyFont="1" applyFill="1" applyBorder="1" applyAlignment="1">
      <alignment horizontal="center" vertical="center" wrapText="1" readingOrder="1"/>
    </xf>
    <xf numFmtId="0" fontId="43" fillId="12" borderId="19" xfId="0" applyFont="1" applyFill="1" applyBorder="1" applyAlignment="1">
      <alignment horizontal="center" vertical="center" wrapText="1" readingOrder="1"/>
    </xf>
    <xf numFmtId="0" fontId="21" fillId="2" borderId="0" xfId="0" applyFont="1" applyFill="1"/>
    <xf numFmtId="0" fontId="4" fillId="2" borderId="0" xfId="0" applyFont="1" applyFill="1" applyAlignment="1">
      <alignment horizontal="center" vertical="center" wrapText="1"/>
    </xf>
    <xf numFmtId="0" fontId="34" fillId="2" borderId="0" xfId="0" applyFont="1" applyFill="1" applyAlignment="1">
      <alignment horizontal="justify" vertical="center" wrapText="1" readingOrder="1"/>
    </xf>
    <xf numFmtId="0" fontId="30" fillId="2" borderId="0" xfId="0" applyFont="1" applyFill="1"/>
    <xf numFmtId="0" fontId="31" fillId="2" borderId="0" xfId="0" applyFont="1" applyFill="1" applyAlignment="1">
      <alignment horizontal="left" vertical="center"/>
    </xf>
    <xf numFmtId="0" fontId="11" fillId="2" borderId="4" xfId="1" applyFont="1" applyFill="1" applyBorder="1"/>
    <xf numFmtId="0" fontId="16" fillId="2" borderId="0" xfId="0" applyFont="1" applyFill="1" applyAlignment="1">
      <alignment horizontal="left" vertical="center" wrapText="1"/>
    </xf>
    <xf numFmtId="0" fontId="17" fillId="2" borderId="0" xfId="0" applyFont="1" applyFill="1" applyAlignment="1">
      <alignment horizontal="left" vertical="top" wrapText="1"/>
    </xf>
    <xf numFmtId="0" fontId="11" fillId="2" borderId="0" xfId="1" applyFont="1" applyFill="1"/>
    <xf numFmtId="0" fontId="11" fillId="2" borderId="5" xfId="1" applyFont="1" applyFill="1" applyBorder="1"/>
    <xf numFmtId="0" fontId="11" fillId="2" borderId="6" xfId="1" applyFont="1" applyFill="1" applyBorder="1"/>
    <xf numFmtId="0" fontId="11" fillId="2" borderId="7" xfId="1" applyFont="1" applyFill="1" applyBorder="1"/>
    <xf numFmtId="0" fontId="11" fillId="2" borderId="8" xfId="1" applyFont="1" applyFill="1" applyBorder="1"/>
    <xf numFmtId="0" fontId="1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quotePrefix="1" applyFont="1" applyFill="1" applyAlignment="1">
      <alignment horizontal="left" vertical="center" wrapText="1"/>
    </xf>
    <xf numFmtId="0" fontId="13" fillId="2" borderId="4" xfId="1" quotePrefix="1" applyFont="1" applyFill="1" applyBorder="1" applyAlignment="1">
      <alignment horizontal="left" vertical="top" wrapText="1"/>
    </xf>
    <xf numFmtId="0" fontId="14" fillId="2" borderId="0" xfId="1" quotePrefix="1" applyFont="1" applyFill="1" applyAlignment="1">
      <alignment horizontal="left" vertical="top" wrapText="1"/>
    </xf>
    <xf numFmtId="0" fontId="14" fillId="2" borderId="5" xfId="1" quotePrefix="1" applyFont="1" applyFill="1" applyBorder="1" applyAlignment="1">
      <alignment horizontal="left" vertical="top" wrapText="1"/>
    </xf>
    <xf numFmtId="0" fontId="0" fillId="0" borderId="52" xfId="0" applyBorder="1"/>
    <xf numFmtId="0" fontId="0" fillId="0" borderId="53" xfId="0" applyBorder="1"/>
    <xf numFmtId="0" fontId="0" fillId="0" borderId="4" xfId="0" applyBorder="1"/>
    <xf numFmtId="0" fontId="0" fillId="0" borderId="6" xfId="0" applyBorder="1"/>
    <xf numFmtId="0" fontId="0" fillId="0" borderId="52" xfId="0" applyBorder="1" applyAlignment="1">
      <alignment wrapText="1"/>
    </xf>
    <xf numFmtId="0" fontId="0" fillId="0" borderId="53" xfId="0" applyBorder="1" applyAlignment="1">
      <alignment wrapText="1"/>
    </xf>
    <xf numFmtId="0" fontId="58" fillId="2" borderId="52" xfId="0" applyFont="1" applyFill="1" applyBorder="1"/>
    <xf numFmtId="0" fontId="58" fillId="2" borderId="53" xfId="0" applyFont="1" applyFill="1" applyBorder="1"/>
    <xf numFmtId="0" fontId="24" fillId="0" borderId="0" xfId="0" applyFont="1" applyAlignment="1">
      <alignment vertical="top" wrapText="1"/>
    </xf>
    <xf numFmtId="0" fontId="0" fillId="0" borderId="0" xfId="0" applyAlignment="1">
      <alignment vertical="top" wrapText="1"/>
    </xf>
    <xf numFmtId="0" fontId="0" fillId="0" borderId="69" xfId="0" applyBorder="1" applyAlignment="1">
      <alignment vertical="top" wrapText="1"/>
    </xf>
    <xf numFmtId="0" fontId="0" fillId="0" borderId="68" xfId="0" applyBorder="1" applyAlignment="1">
      <alignment vertical="top" wrapText="1"/>
    </xf>
    <xf numFmtId="0" fontId="0" fillId="0" borderId="66" xfId="0" applyBorder="1" applyAlignment="1">
      <alignment vertical="top" wrapText="1"/>
    </xf>
    <xf numFmtId="0" fontId="0" fillId="0" borderId="72" xfId="0" applyBorder="1" applyAlignment="1">
      <alignment vertical="top" wrapText="1"/>
    </xf>
    <xf numFmtId="0" fontId="0" fillId="0" borderId="71" xfId="0" applyBorder="1" applyAlignment="1">
      <alignment vertical="top" wrapText="1"/>
    </xf>
    <xf numFmtId="0" fontId="0" fillId="0" borderId="74" xfId="0" applyBorder="1" applyAlignment="1">
      <alignment vertical="top" wrapText="1"/>
    </xf>
    <xf numFmtId="0" fontId="0" fillId="0" borderId="75" xfId="0" applyBorder="1" applyAlignment="1">
      <alignment vertical="top" wrapText="1"/>
    </xf>
    <xf numFmtId="0" fontId="24" fillId="0" borderId="0" xfId="0" applyFont="1" applyAlignment="1">
      <alignment horizontal="center" vertical="top" wrapText="1"/>
    </xf>
    <xf numFmtId="0" fontId="0" fillId="0" borderId="0" xfId="0" applyAlignment="1">
      <alignment horizontal="center" vertical="top" wrapText="1"/>
    </xf>
    <xf numFmtId="0" fontId="0" fillId="0" borderId="68" xfId="0" applyBorder="1" applyAlignment="1">
      <alignment horizontal="center" vertical="top" wrapText="1"/>
    </xf>
    <xf numFmtId="0" fontId="0" fillId="0" borderId="70" xfId="0" applyBorder="1" applyAlignment="1">
      <alignment horizontal="center" vertical="top" wrapText="1"/>
    </xf>
    <xf numFmtId="0" fontId="60" fillId="0" borderId="0" xfId="5" quotePrefix="1" applyNumberFormat="1" applyAlignment="1">
      <alignment horizontal="center" vertical="top" wrapText="1"/>
    </xf>
    <xf numFmtId="0" fontId="0" fillId="0" borderId="67" xfId="0" applyBorder="1" applyAlignment="1">
      <alignment horizontal="center" vertical="top" wrapText="1"/>
    </xf>
    <xf numFmtId="0" fontId="0" fillId="0" borderId="71" xfId="0" applyBorder="1" applyAlignment="1">
      <alignment horizontal="center" vertical="top" wrapText="1"/>
    </xf>
    <xf numFmtId="0" fontId="60" fillId="0" borderId="71" xfId="5" quotePrefix="1" applyNumberFormat="1" applyBorder="1"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0" fillId="0" borderId="76" xfId="0" applyBorder="1" applyAlignment="1">
      <alignment horizontal="center" vertical="top" wrapText="1"/>
    </xf>
    <xf numFmtId="0" fontId="25" fillId="0" borderId="0" xfId="0" applyFont="1" applyProtection="1">
      <protection locked="0"/>
    </xf>
    <xf numFmtId="0" fontId="54" fillId="2" borderId="4" xfId="0" applyFont="1" applyFill="1" applyBorder="1" applyAlignment="1">
      <alignment horizontal="center"/>
    </xf>
    <xf numFmtId="0" fontId="54" fillId="2" borderId="0" xfId="0" applyFont="1" applyFill="1" applyAlignment="1">
      <alignment horizontal="center"/>
    </xf>
    <xf numFmtId="0" fontId="55" fillId="2" borderId="0" xfId="0" applyFont="1" applyFill="1" applyAlignment="1">
      <alignment horizontal="center" vertical="center" wrapText="1"/>
    </xf>
    <xf numFmtId="0" fontId="59" fillId="2" borderId="80" xfId="0" applyFont="1" applyFill="1" applyBorder="1"/>
    <xf numFmtId="0" fontId="54" fillId="2" borderId="0" xfId="0" applyFont="1" applyFill="1"/>
    <xf numFmtId="0" fontId="54" fillId="0" borderId="0" xfId="0" applyFont="1"/>
    <xf numFmtId="0" fontId="61" fillId="0" borderId="0" xfId="0" applyFont="1" applyAlignment="1">
      <alignment vertical="center" wrapText="1"/>
    </xf>
    <xf numFmtId="0" fontId="61" fillId="0" borderId="0" xfId="0" applyFont="1" applyAlignment="1">
      <alignment vertical="center"/>
    </xf>
    <xf numFmtId="0" fontId="55" fillId="0" borderId="0" xfId="0" applyFont="1" applyAlignment="1">
      <alignment vertical="center"/>
    </xf>
    <xf numFmtId="0" fontId="62" fillId="2" borderId="0" xfId="0" applyFont="1" applyFill="1"/>
    <xf numFmtId="0" fontId="62" fillId="0" borderId="0" xfId="0" applyFont="1"/>
    <xf numFmtId="0" fontId="25" fillId="2" borderId="0" xfId="0" applyFont="1" applyFill="1"/>
    <xf numFmtId="0" fontId="25" fillId="0" borderId="0" xfId="0" applyFont="1"/>
    <xf numFmtId="0" fontId="25" fillId="2" borderId="0" xfId="0" applyFont="1" applyFill="1" applyAlignment="1">
      <alignment horizontal="center" vertical="center" wrapText="1"/>
    </xf>
    <xf numFmtId="0" fontId="0" fillId="0" borderId="51" xfId="0" applyBorder="1"/>
    <xf numFmtId="0" fontId="0" fillId="0" borderId="5" xfId="0" applyBorder="1"/>
    <xf numFmtId="0" fontId="0" fillId="0" borderId="8" xfId="0" applyBorder="1"/>
    <xf numFmtId="0" fontId="56" fillId="7" borderId="49" xfId="0" applyFont="1" applyFill="1" applyBorder="1" applyAlignment="1">
      <alignment horizontal="center" vertical="center" wrapText="1"/>
    </xf>
    <xf numFmtId="0" fontId="56" fillId="19"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69" fillId="2" borderId="0" xfId="0" applyFont="1" applyFill="1"/>
    <xf numFmtId="0" fontId="54" fillId="2" borderId="0" xfId="0" applyFont="1" applyFill="1" applyProtection="1">
      <protection locked="0"/>
    </xf>
    <xf numFmtId="0" fontId="54" fillId="0" borderId="0" xfId="0" applyFont="1" applyProtection="1">
      <protection locked="0"/>
    </xf>
    <xf numFmtId="0" fontId="61" fillId="0" borderId="0" xfId="0" applyFont="1" applyAlignment="1" applyProtection="1">
      <alignment vertical="center" wrapText="1"/>
      <protection locked="0"/>
    </xf>
    <xf numFmtId="0" fontId="61" fillId="0" borderId="0" xfId="0" applyFont="1" applyAlignment="1" applyProtection="1">
      <alignment vertical="center"/>
      <protection locked="0"/>
    </xf>
    <xf numFmtId="0" fontId="55" fillId="0" borderId="0" xfId="0" applyFont="1" applyAlignment="1" applyProtection="1">
      <alignment vertical="center"/>
      <protection locked="0"/>
    </xf>
    <xf numFmtId="0" fontId="25" fillId="2" borderId="0" xfId="0" applyFont="1" applyFill="1" applyProtection="1">
      <protection locked="0"/>
    </xf>
    <xf numFmtId="0" fontId="54" fillId="2" borderId="0" xfId="0" applyFont="1" applyFill="1" applyProtection="1">
      <protection hidden="1"/>
    </xf>
    <xf numFmtId="0" fontId="63" fillId="0" borderId="15" xfId="0" applyFont="1" applyBorder="1" applyAlignment="1" applyProtection="1">
      <alignment vertical="center"/>
      <protection hidden="1"/>
    </xf>
    <xf numFmtId="0" fontId="54" fillId="2" borderId="4" xfId="0" applyFont="1" applyFill="1" applyBorder="1" applyAlignment="1" applyProtection="1">
      <alignment horizontal="center"/>
      <protection hidden="1"/>
    </xf>
    <xf numFmtId="0" fontId="54" fillId="2" borderId="0" xfId="0" applyFont="1" applyFill="1" applyAlignment="1" applyProtection="1">
      <alignment horizontal="center"/>
      <protection hidden="1"/>
    </xf>
    <xf numFmtId="0" fontId="55" fillId="2" borderId="0" xfId="0" applyFont="1" applyFill="1" applyAlignment="1" applyProtection="1">
      <alignment horizontal="center" vertical="center" wrapText="1"/>
      <protection hidden="1"/>
    </xf>
    <xf numFmtId="0" fontId="25" fillId="2" borderId="0" xfId="0" applyFont="1" applyFill="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63" fillId="0" borderId="15" xfId="0" applyFont="1" applyBorder="1" applyAlignment="1">
      <alignment vertical="center"/>
    </xf>
    <xf numFmtId="0" fontId="0" fillId="0" borderId="52" xfId="0" applyFill="1" applyBorder="1"/>
    <xf numFmtId="0" fontId="24" fillId="0" borderId="80" xfId="0" applyFont="1" applyBorder="1"/>
    <xf numFmtId="0" fontId="24" fillId="0" borderId="80" xfId="0" applyFont="1" applyBorder="1" applyAlignment="1">
      <alignment vertical="center"/>
    </xf>
    <xf numFmtId="0" fontId="53" fillId="2" borderId="0" xfId="0" applyFont="1" applyFill="1" applyProtection="1">
      <protection hidden="1"/>
    </xf>
    <xf numFmtId="0" fontId="53" fillId="0" borderId="0" xfId="0" applyFont="1" applyProtection="1">
      <protection hidden="1"/>
    </xf>
    <xf numFmtId="0" fontId="53" fillId="2" borderId="0" xfId="0" applyFont="1" applyFill="1" applyAlignment="1" applyProtection="1">
      <alignment horizontal="center" vertical="center"/>
      <protection hidden="1"/>
    </xf>
    <xf numFmtId="0" fontId="53" fillId="0" borderId="0" xfId="0" applyFont="1" applyAlignment="1" applyProtection="1">
      <alignment horizontal="center" vertical="center"/>
      <protection hidden="1"/>
    </xf>
    <xf numFmtId="0" fontId="75" fillId="0" borderId="0" xfId="0" applyFont="1" applyProtection="1">
      <protection hidden="1"/>
    </xf>
    <xf numFmtId="0" fontId="75" fillId="2" borderId="0" xfId="0" applyFont="1" applyFill="1" applyProtection="1">
      <protection hidden="1"/>
    </xf>
    <xf numFmtId="0" fontId="75" fillId="2" borderId="0" xfId="0" applyFont="1" applyFill="1" applyAlignment="1" applyProtection="1">
      <alignment horizontal="center" vertical="center"/>
      <protection hidden="1"/>
    </xf>
    <xf numFmtId="0" fontId="75" fillId="2" borderId="0" xfId="0" applyFont="1" applyFill="1" applyAlignment="1" applyProtection="1">
      <alignment horizontal="center" vertical="center" wrapText="1"/>
      <protection hidden="1"/>
    </xf>
    <xf numFmtId="0" fontId="75" fillId="2" borderId="0" xfId="0" applyFont="1" applyFill="1" applyAlignment="1" applyProtection="1">
      <alignment horizontal="center"/>
      <protection hidden="1"/>
    </xf>
    <xf numFmtId="0" fontId="75" fillId="0" borderId="0" xfId="0" applyFont="1" applyAlignment="1" applyProtection="1">
      <alignment horizontal="center" vertical="center"/>
      <protection hidden="1"/>
    </xf>
    <xf numFmtId="0" fontId="75" fillId="0" borderId="90" xfId="0" applyFont="1" applyBorder="1" applyAlignment="1" applyProtection="1">
      <alignment horizontal="center" vertical="center" textRotation="90"/>
      <protection hidden="1"/>
    </xf>
    <xf numFmtId="9" fontId="75" fillId="0" borderId="90" xfId="0" applyNumberFormat="1" applyFont="1" applyBorder="1" applyAlignment="1" applyProtection="1">
      <alignment horizontal="center" vertical="center"/>
      <protection hidden="1"/>
    </xf>
    <xf numFmtId="164" fontId="75" fillId="0" borderId="90" xfId="4" applyNumberFormat="1" applyFont="1" applyBorder="1" applyAlignment="1" applyProtection="1">
      <alignment horizontal="center" vertical="center"/>
      <protection hidden="1"/>
    </xf>
    <xf numFmtId="0" fontId="74" fillId="0" borderId="90" xfId="0" applyFont="1" applyBorder="1" applyAlignment="1" applyProtection="1">
      <alignment horizontal="center" vertical="center" textRotation="90" wrapText="1"/>
      <protection hidden="1"/>
    </xf>
    <xf numFmtId="0" fontId="74" fillId="0" borderId="90" xfId="0" applyFont="1" applyBorder="1" applyAlignment="1" applyProtection="1">
      <alignment horizontal="center" vertical="center" textRotation="90"/>
      <protection hidden="1"/>
    </xf>
    <xf numFmtId="0" fontId="75" fillId="2" borderId="0" xfId="0" applyFont="1" applyFill="1" applyAlignment="1" applyProtection="1">
      <alignment vertical="center"/>
      <protection hidden="1"/>
    </xf>
    <xf numFmtId="0" fontId="75" fillId="0" borderId="0" xfId="0" applyFont="1" applyAlignment="1" applyProtection="1">
      <alignment vertical="center"/>
      <protection hidden="1"/>
    </xf>
    <xf numFmtId="0" fontId="75" fillId="2" borderId="90" xfId="0" applyFont="1" applyFill="1" applyBorder="1" applyAlignment="1" applyProtection="1">
      <alignment horizontal="center" vertical="center" textRotation="90"/>
      <protection hidden="1"/>
    </xf>
    <xf numFmtId="9" fontId="75" fillId="2" borderId="90" xfId="0" applyNumberFormat="1" applyFont="1" applyFill="1" applyBorder="1" applyAlignment="1" applyProtection="1">
      <alignment horizontal="center" vertical="center"/>
      <protection hidden="1"/>
    </xf>
    <xf numFmtId="164" fontId="75" fillId="2" borderId="90" xfId="4" applyNumberFormat="1" applyFont="1" applyFill="1" applyBorder="1" applyAlignment="1" applyProtection="1">
      <alignment horizontal="center" vertical="center"/>
      <protection hidden="1"/>
    </xf>
    <xf numFmtId="0" fontId="74" fillId="2" borderId="90" xfId="0" applyFont="1" applyFill="1" applyBorder="1" applyAlignment="1" applyProtection="1">
      <alignment horizontal="center" vertical="center" textRotation="90" wrapText="1"/>
      <protection hidden="1"/>
    </xf>
    <xf numFmtId="0" fontId="74" fillId="2" borderId="90" xfId="0" applyFont="1" applyFill="1" applyBorder="1" applyAlignment="1" applyProtection="1">
      <alignment horizontal="center" vertical="center" textRotation="90"/>
      <protection hidden="1"/>
    </xf>
    <xf numFmtId="0" fontId="75" fillId="0" borderId="50" xfId="0" applyFont="1" applyBorder="1" applyAlignment="1" applyProtection="1">
      <alignment horizontal="center" vertical="center" textRotation="90"/>
      <protection hidden="1"/>
    </xf>
    <xf numFmtId="0" fontId="75" fillId="0" borderId="0" xfId="0" applyFont="1" applyAlignment="1" applyProtection="1">
      <alignment wrapText="1"/>
      <protection hidden="1"/>
    </xf>
    <xf numFmtId="0" fontId="74" fillId="0" borderId="0" xfId="0" applyFont="1" applyAlignment="1" applyProtection="1">
      <alignment horizontal="left" vertical="center"/>
      <protection hidden="1"/>
    </xf>
    <xf numFmtId="0" fontId="75" fillId="0" borderId="0" xfId="0" applyFont="1" applyAlignment="1" applyProtection="1">
      <alignment horizontal="center" vertical="center" wrapText="1"/>
      <protection hidden="1"/>
    </xf>
    <xf numFmtId="0" fontId="75" fillId="0" borderId="0" xfId="0" applyFont="1" applyAlignment="1" applyProtection="1">
      <alignment horizontal="center"/>
      <protection hidden="1"/>
    </xf>
    <xf numFmtId="0" fontId="74" fillId="2" borderId="0" xfId="0" applyFont="1" applyFill="1" applyProtection="1">
      <protection hidden="1"/>
    </xf>
    <xf numFmtId="0" fontId="74" fillId="0" borderId="0" xfId="0" applyFont="1" applyProtection="1">
      <protection hidden="1"/>
    </xf>
    <xf numFmtId="0" fontId="73" fillId="21" borderId="90" xfId="0" applyFont="1" applyFill="1" applyBorder="1" applyAlignment="1" applyProtection="1">
      <alignment horizontal="center" vertical="center" textRotation="90"/>
      <protection hidden="1"/>
    </xf>
    <xf numFmtId="0" fontId="73" fillId="21" borderId="90" xfId="0" applyFont="1" applyFill="1" applyBorder="1" applyAlignment="1" applyProtection="1">
      <alignment horizontal="center" vertical="center" textRotation="90" wrapText="1"/>
      <protection hidden="1"/>
    </xf>
    <xf numFmtId="0" fontId="73" fillId="25" borderId="90" xfId="0" applyFont="1" applyFill="1" applyBorder="1" applyAlignment="1" applyProtection="1">
      <alignment horizontal="center" vertical="center" textRotation="90"/>
      <protection hidden="1"/>
    </xf>
    <xf numFmtId="0" fontId="54" fillId="0" borderId="90" xfId="0" applyFont="1" applyBorder="1" applyAlignment="1" applyProtection="1">
      <alignment horizontal="justify" vertical="center" wrapText="1"/>
      <protection hidden="1"/>
    </xf>
    <xf numFmtId="0" fontId="86" fillId="0" borderId="90" xfId="0" applyFont="1" applyBorder="1" applyAlignment="1" applyProtection="1">
      <alignment horizontal="justify" vertical="center" wrapText="1"/>
      <protection hidden="1"/>
    </xf>
    <xf numFmtId="0" fontId="54" fillId="0" borderId="90" xfId="0" applyFont="1" applyFill="1" applyBorder="1" applyAlignment="1" applyProtection="1">
      <alignment horizontal="justify" vertical="center" wrapText="1"/>
      <protection hidden="1"/>
    </xf>
    <xf numFmtId="0" fontId="54" fillId="0" borderId="90" xfId="0" applyFont="1" applyBorder="1" applyAlignment="1" applyProtection="1">
      <alignment horizontal="justify" vertical="center"/>
      <protection hidden="1"/>
    </xf>
    <xf numFmtId="0" fontId="90" fillId="0" borderId="90" xfId="0" applyFont="1" applyBorder="1" applyAlignment="1" applyProtection="1">
      <alignment horizontal="justify" vertical="center" wrapText="1"/>
      <protection hidden="1"/>
    </xf>
    <xf numFmtId="0" fontId="54" fillId="0" borderId="90" xfId="0" applyFont="1" applyFill="1" applyBorder="1" applyAlignment="1" applyProtection="1">
      <alignment vertical="center" wrapText="1"/>
      <protection hidden="1"/>
    </xf>
    <xf numFmtId="0" fontId="54" fillId="2" borderId="90" xfId="0" applyFont="1" applyFill="1" applyBorder="1" applyAlignment="1" applyProtection="1">
      <alignment horizontal="justify" vertical="center" wrapText="1"/>
      <protection hidden="1"/>
    </xf>
    <xf numFmtId="0" fontId="54" fillId="0" borderId="0" xfId="0" applyFont="1" applyProtection="1">
      <protection hidden="1"/>
    </xf>
    <xf numFmtId="0" fontId="75" fillId="0" borderId="99" xfId="0" applyFont="1" applyFill="1" applyBorder="1" applyAlignment="1" applyProtection="1">
      <alignment horizontal="center" vertical="center" wrapText="1"/>
      <protection hidden="1"/>
    </xf>
    <xf numFmtId="0" fontId="75" fillId="0" borderId="99" xfId="0" applyFont="1" applyFill="1" applyBorder="1" applyAlignment="1" applyProtection="1">
      <alignment horizontal="justify" vertical="center" wrapText="1"/>
      <protection hidden="1"/>
    </xf>
    <xf numFmtId="0" fontId="78" fillId="0" borderId="99" xfId="0" applyFont="1" applyFill="1" applyBorder="1" applyAlignment="1" applyProtection="1">
      <alignment horizontal="justify" vertical="center" wrapText="1"/>
      <protection hidden="1"/>
    </xf>
    <xf numFmtId="9" fontId="75" fillId="2" borderId="50" xfId="0" applyNumberFormat="1" applyFont="1" applyFill="1" applyBorder="1" applyAlignment="1" applyProtection="1">
      <alignment horizontal="center" vertical="center"/>
      <protection hidden="1"/>
    </xf>
    <xf numFmtId="0" fontId="75" fillId="0" borderId="50" xfId="0" applyFont="1" applyBorder="1" applyAlignment="1" applyProtection="1">
      <alignment horizontal="center" vertical="center" textRotation="90" wrapText="1"/>
      <protection hidden="1"/>
    </xf>
    <xf numFmtId="0" fontId="54" fillId="2" borderId="0" xfId="0" applyFont="1" applyFill="1" applyAlignment="1" applyProtection="1">
      <alignment horizontal="justify" vertical="center"/>
      <protection hidden="1"/>
    </xf>
    <xf numFmtId="0" fontId="54" fillId="2" borderId="0" xfId="0" applyFont="1" applyFill="1" applyAlignment="1" applyProtection="1">
      <alignment horizontal="justify" vertical="center"/>
      <protection locked="0" hidden="1"/>
    </xf>
    <xf numFmtId="0" fontId="54" fillId="0" borderId="0" xfId="0" applyFont="1" applyAlignment="1" applyProtection="1">
      <alignment horizontal="justify" vertical="center"/>
      <protection locked="0" hidden="1"/>
    </xf>
    <xf numFmtId="0" fontId="61" fillId="0" borderId="0" xfId="0" applyFont="1" applyAlignment="1" applyProtection="1">
      <alignment horizontal="justify" vertical="center" wrapText="1"/>
      <protection locked="0" hidden="1"/>
    </xf>
    <xf numFmtId="0" fontId="63" fillId="0" borderId="15" xfId="0" applyFont="1" applyBorder="1" applyAlignment="1" applyProtection="1">
      <alignment horizontal="justify" vertical="center"/>
      <protection hidden="1"/>
    </xf>
    <xf numFmtId="0" fontId="61" fillId="0" borderId="0" xfId="0" applyFont="1" applyAlignment="1" applyProtection="1">
      <alignment horizontal="justify" vertical="center"/>
      <protection locked="0" hidden="1"/>
    </xf>
    <xf numFmtId="0" fontId="55" fillId="0" borderId="0" xfId="0" applyFont="1" applyAlignment="1" applyProtection="1">
      <alignment horizontal="justify" vertical="center"/>
      <protection locked="0" hidden="1"/>
    </xf>
    <xf numFmtId="0" fontId="54" fillId="2" borderId="4" xfId="0" applyFont="1" applyFill="1" applyBorder="1" applyAlignment="1" applyProtection="1">
      <alignment horizontal="justify" vertical="center"/>
      <protection hidden="1"/>
    </xf>
    <xf numFmtId="0" fontId="55" fillId="2" borderId="0" xfId="0" applyFont="1" applyFill="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62" fillId="2" borderId="0" xfId="0" applyFont="1" applyFill="1" applyAlignment="1" applyProtection="1">
      <alignment horizontal="justify" vertical="center"/>
      <protection locked="0" hidden="1"/>
    </xf>
    <xf numFmtId="0" fontId="62" fillId="0" borderId="0" xfId="0" applyFont="1" applyAlignment="1" applyProtection="1">
      <alignment horizontal="justify" vertical="center"/>
      <protection locked="0" hidden="1"/>
    </xf>
    <xf numFmtId="0" fontId="25" fillId="2" borderId="0" xfId="0" applyFont="1" applyFill="1" applyAlignment="1" applyProtection="1">
      <alignment horizontal="justify" vertical="center"/>
      <protection locked="0" hidden="1"/>
    </xf>
    <xf numFmtId="0" fontId="25" fillId="0" borderId="0" xfId="0" applyFont="1" applyAlignment="1" applyProtection="1">
      <alignment horizontal="justify" vertical="center"/>
      <protection locked="0" hidden="1"/>
    </xf>
    <xf numFmtId="0" fontId="75" fillId="0" borderId="90" xfId="0" applyFont="1" applyBorder="1" applyAlignment="1" applyProtection="1">
      <alignment vertical="center" wrapText="1"/>
      <protection hidden="1"/>
    </xf>
    <xf numFmtId="0" fontId="74" fillId="0" borderId="100" xfId="0" applyFont="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8" fillId="0" borderId="99" xfId="0" applyFont="1" applyBorder="1" applyAlignment="1" applyProtection="1">
      <alignment horizontal="center" vertical="center" wrapText="1"/>
      <protection hidden="1"/>
    </xf>
    <xf numFmtId="0" fontId="76" fillId="0" borderId="99"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74" fillId="0" borderId="99" xfId="0" applyFont="1" applyBorder="1" applyAlignment="1" applyProtection="1">
      <alignment horizontal="center" vertical="center" wrapText="1"/>
      <protection hidden="1"/>
    </xf>
    <xf numFmtId="9" fontId="75" fillId="0" borderId="99" xfId="0" applyNumberFormat="1" applyFont="1" applyBorder="1" applyAlignment="1" applyProtection="1">
      <alignment horizontal="center" vertical="center" wrapText="1"/>
      <protection hidden="1"/>
    </xf>
    <xf numFmtId="0" fontId="76"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4" fillId="0" borderId="94" xfId="0" applyFont="1" applyBorder="1" applyAlignment="1" applyProtection="1">
      <alignment horizontal="center" vertical="center"/>
      <protection hidden="1"/>
    </xf>
    <xf numFmtId="14" fontId="75" fillId="0" borderId="90" xfId="0" applyNumberFormat="1" applyFont="1" applyBorder="1" applyAlignment="1" applyProtection="1">
      <alignment horizontal="center" vertical="center"/>
      <protection hidden="1"/>
    </xf>
    <xf numFmtId="0" fontId="75" fillId="0" borderId="90" xfId="0" applyFont="1" applyBorder="1" applyAlignment="1" applyProtection="1">
      <alignment horizontal="center" vertical="center" wrapText="1"/>
      <protection hidden="1"/>
    </xf>
    <xf numFmtId="0" fontId="75" fillId="0" borderId="95" xfId="0" applyFont="1" applyBorder="1" applyAlignment="1" applyProtection="1">
      <alignment horizontal="center" vertical="center"/>
      <protection hidden="1"/>
    </xf>
    <xf numFmtId="0" fontId="75" fillId="2" borderId="90" xfId="0" applyFont="1" applyFill="1" applyBorder="1" applyAlignment="1" applyProtection="1">
      <alignment horizontal="center" vertical="center"/>
      <protection hidden="1"/>
    </xf>
    <xf numFmtId="0" fontId="78"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0" fontId="74" fillId="0" borderId="90" xfId="0" applyFont="1" applyBorder="1" applyAlignment="1" applyProtection="1">
      <alignment horizontal="center" vertical="center"/>
      <protection hidden="1"/>
    </xf>
    <xf numFmtId="0" fontId="75" fillId="2" borderId="0" xfId="0" applyFont="1" applyFill="1" applyAlignment="1" applyProtection="1">
      <alignment horizontal="left" vertical="center"/>
      <protection hidden="1"/>
    </xf>
    <xf numFmtId="0" fontId="75" fillId="0" borderId="90" xfId="0" applyFont="1" applyBorder="1" applyAlignment="1" applyProtection="1">
      <alignment horizontal="justify" vertical="center" wrapText="1"/>
      <protection hidden="1"/>
    </xf>
    <xf numFmtId="0" fontId="78" fillId="0" borderId="90" xfId="0" applyFont="1" applyBorder="1" applyAlignment="1" applyProtection="1">
      <alignment horizontal="justify" vertical="center" wrapText="1"/>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75" fillId="21" borderId="90" xfId="0" applyFont="1" applyFill="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0" fontId="78" fillId="2" borderId="90" xfId="0" applyFont="1" applyFill="1" applyBorder="1" applyAlignment="1" applyProtection="1">
      <alignment horizontal="center" vertical="center"/>
      <protection hidden="1"/>
    </xf>
    <xf numFmtId="0" fontId="75" fillId="0" borderId="90" xfId="0" applyFont="1" applyFill="1" applyBorder="1" applyAlignment="1" applyProtection="1">
      <alignment horizontal="center" vertical="center"/>
      <protection hidden="1"/>
    </xf>
    <xf numFmtId="0" fontId="75" fillId="0" borderId="99" xfId="0" applyFont="1" applyFill="1" applyBorder="1" applyAlignment="1" applyProtection="1">
      <alignment horizontal="center" vertical="center"/>
      <protection hidden="1"/>
    </xf>
    <xf numFmtId="17" fontId="75" fillId="0" borderId="90" xfId="0" applyNumberFormat="1" applyFont="1" applyBorder="1" applyAlignment="1" applyProtection="1">
      <alignment horizontal="center" vertical="center"/>
      <protection hidden="1"/>
    </xf>
    <xf numFmtId="0" fontId="74" fillId="2" borderId="90" xfId="0" applyFont="1" applyFill="1" applyBorder="1" applyAlignment="1" applyProtection="1">
      <alignment horizontal="center" vertical="center"/>
      <protection hidden="1"/>
    </xf>
    <xf numFmtId="0" fontId="93" fillId="0" borderId="99" xfId="0" applyFont="1" applyFill="1" applyBorder="1" applyAlignment="1" applyProtection="1">
      <alignment horizontal="center" vertical="center" wrapText="1"/>
      <protection hidden="1"/>
    </xf>
    <xf numFmtId="0" fontId="17" fillId="2" borderId="20" xfId="1" applyFont="1" applyFill="1" applyBorder="1" applyAlignment="1">
      <alignment horizontal="justify" vertical="center" wrapText="1"/>
    </xf>
    <xf numFmtId="0" fontId="17" fillId="2" borderId="21" xfId="1" applyFont="1" applyFill="1" applyBorder="1" applyAlignment="1">
      <alignment horizontal="justify" vertical="center" wrapText="1"/>
    </xf>
    <xf numFmtId="0" fontId="16" fillId="2" borderId="36"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11" fillId="2" borderId="4" xfId="1" applyFont="1" applyFill="1" applyBorder="1" applyAlignment="1">
      <alignment horizontal="left" vertical="top" wrapText="1"/>
    </xf>
    <xf numFmtId="0" fontId="11" fillId="2" borderId="0" xfId="1" applyFont="1" applyFill="1" applyAlignment="1">
      <alignment horizontal="left" vertical="top" wrapText="1"/>
    </xf>
    <xf numFmtId="0" fontId="11" fillId="2" borderId="5" xfId="1" applyFont="1" applyFill="1" applyBorder="1" applyAlignment="1">
      <alignment horizontal="left" vertical="top" wrapText="1"/>
    </xf>
    <xf numFmtId="0" fontId="16" fillId="2" borderId="30" xfId="0" applyFont="1" applyFill="1" applyBorder="1" applyAlignment="1">
      <alignment horizontal="left" vertical="center" wrapText="1"/>
    </xf>
    <xf numFmtId="0" fontId="16" fillId="2" borderId="31"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2" borderId="39" xfId="0" applyFont="1" applyFill="1" applyBorder="1" applyAlignment="1">
      <alignment horizontal="left" vertical="center" wrapText="1"/>
    </xf>
    <xf numFmtId="0" fontId="17" fillId="2" borderId="40" xfId="0" applyFont="1" applyFill="1" applyBorder="1" applyAlignment="1">
      <alignment horizontal="justify" vertical="center" wrapText="1"/>
    </xf>
    <xf numFmtId="0" fontId="17" fillId="2" borderId="41" xfId="0" applyFont="1" applyFill="1" applyBorder="1" applyAlignment="1">
      <alignment horizontal="justify" vertical="center" wrapText="1"/>
    </xf>
    <xf numFmtId="0" fontId="16" fillId="2" borderId="32" xfId="3" applyFont="1" applyFill="1" applyBorder="1" applyAlignment="1">
      <alignment horizontal="left" vertical="top" wrapText="1" readingOrder="1"/>
    </xf>
    <xf numFmtId="0" fontId="16" fillId="2" borderId="33" xfId="3" applyFont="1" applyFill="1" applyBorder="1" applyAlignment="1">
      <alignment horizontal="left" vertical="top" wrapText="1" readingOrder="1"/>
    </xf>
    <xf numFmtId="0" fontId="17" fillId="2" borderId="34" xfId="1" applyFont="1" applyFill="1" applyBorder="1" applyAlignment="1">
      <alignment horizontal="justify" vertical="center" wrapText="1"/>
    </xf>
    <xf numFmtId="0" fontId="17" fillId="2" borderId="35" xfId="1" applyFont="1" applyFill="1" applyBorder="1" applyAlignment="1">
      <alignment horizontal="justify" vertical="center" wrapText="1"/>
    </xf>
    <xf numFmtId="0" fontId="12" fillId="13" borderId="22" xfId="1" applyFont="1" applyFill="1" applyBorder="1" applyAlignment="1">
      <alignment horizontal="center" vertical="center" wrapText="1"/>
    </xf>
    <xf numFmtId="0" fontId="12" fillId="13" borderId="23" xfId="1" applyFont="1" applyFill="1" applyBorder="1" applyAlignment="1">
      <alignment horizontal="center" vertical="center" wrapText="1"/>
    </xf>
    <xf numFmtId="0" fontId="12" fillId="13" borderId="24" xfId="1" applyFont="1" applyFill="1" applyBorder="1" applyAlignment="1">
      <alignment horizontal="center" vertical="center" wrapText="1"/>
    </xf>
    <xf numFmtId="0" fontId="11" fillId="0" borderId="4" xfId="1" quotePrefix="1" applyFont="1" applyBorder="1" applyAlignment="1">
      <alignment horizontal="left" vertical="center" wrapText="1"/>
    </xf>
    <xf numFmtId="0" fontId="11" fillId="0" borderId="0" xfId="1" quotePrefix="1" applyFont="1" applyAlignment="1">
      <alignment horizontal="left" vertical="center" wrapText="1"/>
    </xf>
    <xf numFmtId="0" fontId="11" fillId="0" borderId="5" xfId="1" quotePrefix="1" applyFont="1" applyBorder="1" applyAlignment="1">
      <alignment horizontal="left" vertical="center" wrapText="1"/>
    </xf>
    <xf numFmtId="0" fontId="11" fillId="0" borderId="25" xfId="1" quotePrefix="1" applyFont="1" applyBorder="1" applyAlignment="1">
      <alignment horizontal="left" vertical="center" wrapText="1"/>
    </xf>
    <xf numFmtId="0" fontId="11" fillId="0" borderId="26" xfId="1" quotePrefix="1" applyFont="1" applyBorder="1" applyAlignment="1">
      <alignment horizontal="left" vertical="center" wrapText="1"/>
    </xf>
    <xf numFmtId="0" fontId="11" fillId="0" borderId="27" xfId="1" quotePrefix="1" applyFont="1" applyBorder="1" applyAlignment="1">
      <alignment horizontal="left" vertical="center" wrapText="1"/>
    </xf>
    <xf numFmtId="0" fontId="13" fillId="2" borderId="9" xfId="1" quotePrefix="1" applyFont="1" applyFill="1" applyBorder="1" applyAlignment="1">
      <alignment horizontal="left" vertical="top" wrapText="1"/>
    </xf>
    <xf numFmtId="0" fontId="14" fillId="2" borderId="10" xfId="1" quotePrefix="1" applyFont="1" applyFill="1" applyBorder="1" applyAlignment="1">
      <alignment horizontal="left" vertical="top" wrapText="1"/>
    </xf>
    <xf numFmtId="0" fontId="14" fillId="2" borderId="11" xfId="1" quotePrefix="1" applyFont="1" applyFill="1" applyBorder="1" applyAlignment="1">
      <alignment horizontal="left" vertical="top" wrapText="1"/>
    </xf>
    <xf numFmtId="0" fontId="11" fillId="0" borderId="4" xfId="1" quotePrefix="1" applyFont="1" applyBorder="1" applyAlignment="1">
      <alignment horizontal="left" vertical="top" wrapText="1"/>
    </xf>
    <xf numFmtId="0" fontId="11" fillId="0" borderId="0" xfId="1" quotePrefix="1" applyFont="1" applyAlignment="1">
      <alignment horizontal="left" vertical="top" wrapText="1"/>
    </xf>
    <xf numFmtId="0" fontId="11" fillId="0" borderId="5" xfId="1" quotePrefix="1" applyFont="1" applyBorder="1" applyAlignment="1">
      <alignment horizontal="left" vertical="top" wrapText="1"/>
    </xf>
    <xf numFmtId="0" fontId="16" fillId="13" borderId="28" xfId="3" applyFont="1" applyFill="1" applyBorder="1" applyAlignment="1">
      <alignment horizontal="center" vertical="center" wrapText="1"/>
    </xf>
    <xf numFmtId="0" fontId="16" fillId="13" borderId="56" xfId="3" applyFont="1" applyFill="1" applyBorder="1" applyAlignment="1">
      <alignment horizontal="center" vertical="center" wrapText="1"/>
    </xf>
    <xf numFmtId="0" fontId="16" fillId="13" borderId="57" xfId="1" applyFont="1" applyFill="1" applyBorder="1" applyAlignment="1">
      <alignment horizontal="center" vertical="center"/>
    </xf>
    <xf numFmtId="0" fontId="16" fillId="13" borderId="29" xfId="1" applyFont="1" applyFill="1" applyBorder="1" applyAlignment="1">
      <alignment horizontal="center" vertical="center"/>
    </xf>
    <xf numFmtId="0" fontId="1" fillId="2" borderId="25" xfId="1" quotePrefix="1" applyFont="1" applyFill="1" applyBorder="1" applyAlignment="1">
      <alignment horizontal="justify" vertical="center" wrapText="1"/>
    </xf>
    <xf numFmtId="0" fontId="1" fillId="2" borderId="26" xfId="1" quotePrefix="1" applyFont="1" applyFill="1" applyBorder="1" applyAlignment="1">
      <alignment horizontal="justify" vertical="center" wrapText="1"/>
    </xf>
    <xf numFmtId="0" fontId="1" fillId="2" borderId="27" xfId="1" quotePrefix="1" applyFont="1" applyFill="1" applyBorder="1" applyAlignment="1">
      <alignment horizontal="justify" vertical="center" wrapText="1"/>
    </xf>
    <xf numFmtId="9" fontId="75" fillId="0" borderId="99" xfId="0" applyNumberFormat="1" applyFont="1" applyBorder="1" applyAlignment="1" applyProtection="1">
      <alignment horizontal="center" vertical="center" wrapText="1"/>
      <protection hidden="1"/>
    </xf>
    <xf numFmtId="9" fontId="75" fillId="0" borderId="101" xfId="0" applyNumberFormat="1" applyFont="1" applyBorder="1" applyAlignment="1" applyProtection="1">
      <alignment horizontal="center" vertical="center" wrapText="1"/>
      <protection hidden="1"/>
    </xf>
    <xf numFmtId="9" fontId="75" fillId="0" borderId="102" xfId="0" applyNumberFormat="1" applyFont="1" applyBorder="1" applyAlignment="1" applyProtection="1">
      <alignment horizontal="center" vertical="center" wrapText="1"/>
      <protection hidden="1"/>
    </xf>
    <xf numFmtId="0" fontId="74" fillId="0" borderId="90" xfId="0" applyFont="1" applyBorder="1" applyAlignment="1" applyProtection="1">
      <alignment horizontal="center" vertical="center"/>
      <protection hidden="1"/>
    </xf>
    <xf numFmtId="0" fontId="74" fillId="0" borderId="94" xfId="0" applyFont="1" applyBorder="1" applyAlignment="1" applyProtection="1">
      <alignment horizontal="center" vertical="center"/>
      <protection hidden="1"/>
    </xf>
    <xf numFmtId="0" fontId="75" fillId="0" borderId="90" xfId="0" applyFont="1" applyFill="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5" fillId="0" borderId="101" xfId="0" applyFont="1" applyBorder="1" applyAlignment="1" applyProtection="1">
      <alignment horizontal="center" vertical="center" wrapText="1"/>
      <protection hidden="1"/>
    </xf>
    <xf numFmtId="0" fontId="75" fillId="0" borderId="102"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8" fillId="2" borderId="90" xfId="0" applyFont="1" applyFill="1" applyBorder="1" applyAlignment="1" applyProtection="1">
      <alignment horizontal="center"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76"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5" fillId="2" borderId="90" xfId="0" applyFont="1" applyFill="1" applyBorder="1" applyAlignment="1" applyProtection="1">
      <alignment horizontal="justify" vertical="center" wrapText="1"/>
      <protection hidden="1"/>
    </xf>
    <xf numFmtId="0" fontId="76" fillId="2" borderId="90" xfId="0" applyFont="1" applyFill="1" applyBorder="1" applyAlignment="1" applyProtection="1">
      <alignment horizontal="center" vertical="center" wrapText="1"/>
      <protection hidden="1"/>
    </xf>
    <xf numFmtId="0" fontId="75" fillId="2" borderId="90" xfId="0" applyFont="1" applyFill="1" applyBorder="1" applyAlignment="1" applyProtection="1">
      <alignment horizontal="center" vertical="center" wrapText="1"/>
      <protection hidden="1"/>
    </xf>
    <xf numFmtId="0" fontId="75" fillId="2" borderId="90" xfId="0" applyFont="1" applyFill="1" applyBorder="1" applyAlignment="1" applyProtection="1">
      <alignment horizontal="center" vertical="center"/>
      <protection hidden="1"/>
    </xf>
    <xf numFmtId="0" fontId="74" fillId="2" borderId="90" xfId="0" applyFont="1" applyFill="1" applyBorder="1" applyAlignment="1" applyProtection="1">
      <alignment horizontal="center" vertical="center" wrapText="1"/>
      <protection hidden="1"/>
    </xf>
    <xf numFmtId="9" fontId="75" fillId="2" borderId="90" xfId="0" applyNumberFormat="1" applyFont="1" applyFill="1" applyBorder="1" applyAlignment="1" applyProtection="1">
      <alignment horizontal="center" vertical="center" wrapText="1"/>
      <protection hidden="1"/>
    </xf>
    <xf numFmtId="0" fontId="74" fillId="2" borderId="90" xfId="0" applyFont="1" applyFill="1" applyBorder="1" applyAlignment="1" applyProtection="1">
      <alignment horizontal="center" vertical="center"/>
      <protection hidden="1"/>
    </xf>
    <xf numFmtId="0" fontId="75" fillId="21" borderId="90" xfId="0" applyFont="1" applyFill="1" applyBorder="1" applyAlignment="1" applyProtection="1">
      <alignment horizontal="center" vertical="center" wrapText="1"/>
      <protection hidden="1"/>
    </xf>
    <xf numFmtId="0" fontId="75" fillId="0" borderId="90" xfId="0" applyFont="1" applyBorder="1" applyAlignment="1" applyProtection="1">
      <alignment horizontal="justify" vertical="center" wrapText="1"/>
      <protection hidden="1"/>
    </xf>
    <xf numFmtId="0" fontId="78" fillId="0" borderId="90" xfId="0" applyFont="1" applyBorder="1" applyAlignment="1" applyProtection="1">
      <alignment horizontal="justify" vertical="center" wrapText="1"/>
      <protection hidden="1"/>
    </xf>
    <xf numFmtId="17" fontId="75" fillId="0" borderId="90" xfId="0" applyNumberFormat="1" applyFont="1" applyBorder="1" applyAlignment="1" applyProtection="1">
      <alignment horizontal="center" vertical="center"/>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14" fontId="75" fillId="0" borderId="90" xfId="0" applyNumberFormat="1" applyFont="1" applyBorder="1" applyAlignment="1" applyProtection="1">
      <alignment horizontal="center" vertical="center" wrapText="1"/>
      <protection hidden="1"/>
    </xf>
    <xf numFmtId="0" fontId="80" fillId="2" borderId="90" xfId="0" applyFont="1" applyFill="1" applyBorder="1" applyAlignment="1" applyProtection="1">
      <alignment horizontal="center" vertical="center" wrapText="1"/>
      <protection hidden="1"/>
    </xf>
    <xf numFmtId="14" fontId="80" fillId="0" borderId="90" xfId="0" applyNumberFormat="1" applyFont="1" applyBorder="1" applyAlignment="1" applyProtection="1">
      <alignment horizontal="center" vertical="center" wrapText="1"/>
      <protection hidden="1"/>
    </xf>
    <xf numFmtId="14" fontId="80" fillId="0" borderId="90" xfId="0" applyNumberFormat="1" applyFont="1" applyBorder="1" applyAlignment="1" applyProtection="1">
      <alignment horizontal="center" vertical="center"/>
      <protection hidden="1"/>
    </xf>
    <xf numFmtId="0" fontId="80" fillId="0" borderId="90" xfId="0" applyFont="1" applyBorder="1" applyAlignment="1" applyProtection="1">
      <alignment horizontal="center" vertical="center" wrapText="1"/>
      <protection hidden="1"/>
    </xf>
    <xf numFmtId="0" fontId="80" fillId="0" borderId="95" xfId="0" applyFont="1" applyBorder="1" applyAlignment="1" applyProtection="1">
      <alignment horizontal="center" vertical="center"/>
      <protection hidden="1"/>
    </xf>
    <xf numFmtId="49" fontId="75" fillId="0" borderId="90" xfId="0" applyNumberFormat="1" applyFont="1" applyBorder="1" applyAlignment="1" applyProtection="1">
      <alignment horizontal="center" vertical="center"/>
      <protection hidden="1"/>
    </xf>
    <xf numFmtId="49" fontId="75" fillId="0" borderId="90" xfId="0" applyNumberFormat="1" applyFont="1" applyBorder="1" applyAlignment="1" applyProtection="1">
      <alignment horizontal="center" vertical="center" wrapText="1"/>
      <protection hidden="1"/>
    </xf>
    <xf numFmtId="0" fontId="75" fillId="0" borderId="99" xfId="0" applyFont="1" applyFill="1" applyBorder="1" applyAlignment="1" applyProtection="1">
      <alignment horizontal="center" vertical="center"/>
      <protection hidden="1"/>
    </xf>
    <xf numFmtId="0" fontId="75" fillId="0" borderId="102" xfId="0" applyFont="1" applyFill="1" applyBorder="1" applyAlignment="1" applyProtection="1">
      <alignment horizontal="center" vertical="center"/>
      <protection hidden="1"/>
    </xf>
    <xf numFmtId="0" fontId="74" fillId="0" borderId="99" xfId="0" applyFont="1" applyBorder="1" applyAlignment="1" applyProtection="1">
      <alignment horizontal="center" vertical="center" wrapText="1"/>
      <protection hidden="1"/>
    </xf>
    <xf numFmtId="0" fontId="74" fillId="0" borderId="101" xfId="0" applyFont="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0" fontId="74" fillId="0" borderId="101" xfId="0" applyFont="1" applyBorder="1" applyAlignment="1" applyProtection="1">
      <alignment horizontal="center" vertical="center"/>
      <protection hidden="1"/>
    </xf>
    <xf numFmtId="0" fontId="73" fillId="15" borderId="90" xfId="0" applyFont="1" applyFill="1" applyBorder="1" applyAlignment="1" applyProtection="1">
      <alignment horizontal="center" vertical="center" wrapText="1"/>
      <protection hidden="1"/>
    </xf>
    <xf numFmtId="0" fontId="73" fillId="22" borderId="90" xfId="0" applyFont="1" applyFill="1" applyBorder="1" applyAlignment="1" applyProtection="1">
      <alignment horizontal="center" vertical="center" wrapText="1"/>
      <protection hidden="1"/>
    </xf>
    <xf numFmtId="0" fontId="76" fillId="0" borderId="92" xfId="0" applyFont="1" applyBorder="1" applyAlignment="1" applyProtection="1">
      <alignment horizontal="center" vertical="center"/>
      <protection hidden="1"/>
    </xf>
    <xf numFmtId="0" fontId="76" fillId="0" borderId="93" xfId="0" applyFont="1" applyBorder="1" applyAlignment="1" applyProtection="1">
      <alignment horizontal="center" vertical="center"/>
      <protection hidden="1"/>
    </xf>
    <xf numFmtId="0" fontId="76" fillId="0" borderId="90" xfId="0" applyFont="1" applyBorder="1" applyAlignment="1" applyProtection="1">
      <alignment horizontal="center" vertical="center"/>
      <protection hidden="1"/>
    </xf>
    <xf numFmtId="0" fontId="76" fillId="0" borderId="95" xfId="0" applyFont="1" applyBorder="1" applyAlignment="1" applyProtection="1">
      <alignment horizontal="center" vertical="center"/>
      <protection hidden="1"/>
    </xf>
    <xf numFmtId="0" fontId="76" fillId="0" borderId="97" xfId="0" applyFont="1" applyBorder="1" applyAlignment="1" applyProtection="1">
      <alignment horizontal="center" vertical="center"/>
      <protection hidden="1"/>
    </xf>
    <xf numFmtId="0" fontId="76" fillId="0" borderId="98" xfId="0" applyFont="1" applyBorder="1" applyAlignment="1" applyProtection="1">
      <alignment horizontal="center" vertical="center"/>
      <protection hidden="1"/>
    </xf>
    <xf numFmtId="0" fontId="74" fillId="0" borderId="92" xfId="0" applyFont="1" applyBorder="1" applyAlignment="1" applyProtection="1">
      <alignment horizontal="center" vertical="center"/>
      <protection hidden="1"/>
    </xf>
    <xf numFmtId="0" fontId="74" fillId="0" borderId="97" xfId="0" applyFont="1" applyBorder="1" applyAlignment="1" applyProtection="1">
      <alignment horizontal="center" vertical="center" wrapText="1"/>
      <protection hidden="1"/>
    </xf>
    <xf numFmtId="0" fontId="75" fillId="0" borderId="94" xfId="0" applyFont="1" applyBorder="1" applyAlignment="1" applyProtection="1">
      <alignment horizontal="center" vertical="center"/>
      <protection hidden="1"/>
    </xf>
    <xf numFmtId="0" fontId="75" fillId="0" borderId="96" xfId="0" applyFont="1" applyBorder="1" applyAlignment="1" applyProtection="1">
      <alignment horizontal="center" vertical="center"/>
      <protection hidden="1"/>
    </xf>
    <xf numFmtId="0" fontId="75" fillId="0" borderId="97" xfId="0" applyFont="1" applyBorder="1" applyAlignment="1" applyProtection="1">
      <alignment horizontal="center" vertical="center"/>
      <protection hidden="1"/>
    </xf>
    <xf numFmtId="0" fontId="74" fillId="0" borderId="91" xfId="0" applyFont="1" applyBorder="1" applyAlignment="1" applyProtection="1">
      <alignment horizontal="center" vertical="center" wrapText="1"/>
      <protection hidden="1"/>
    </xf>
    <xf numFmtId="0" fontId="74" fillId="0" borderId="92" xfId="0" applyFont="1" applyBorder="1" applyAlignment="1" applyProtection="1">
      <alignment horizontal="center" vertical="center" wrapText="1"/>
      <protection hidden="1"/>
    </xf>
    <xf numFmtId="0" fontId="75" fillId="2" borderId="97" xfId="0" applyFont="1" applyFill="1" applyBorder="1" applyAlignment="1" applyProtection="1">
      <alignment horizontal="left" vertical="center" wrapText="1"/>
      <protection hidden="1"/>
    </xf>
    <xf numFmtId="0" fontId="75" fillId="2" borderId="98" xfId="0" applyFont="1" applyFill="1" applyBorder="1" applyAlignment="1" applyProtection="1">
      <alignment horizontal="left" vertical="center" wrapText="1"/>
      <protection hidden="1"/>
    </xf>
    <xf numFmtId="0" fontId="73" fillId="22" borderId="90" xfId="0" applyFont="1" applyFill="1" applyBorder="1" applyAlignment="1" applyProtection="1">
      <alignment horizontal="center" vertical="center"/>
      <protection hidden="1"/>
    </xf>
    <xf numFmtId="0" fontId="73" fillId="15" borderId="90" xfId="0" applyFont="1" applyFill="1" applyBorder="1" applyAlignment="1" applyProtection="1">
      <alignment horizontal="center" vertical="center"/>
      <protection hidden="1"/>
    </xf>
    <xf numFmtId="0" fontId="75" fillId="0" borderId="104" xfId="0" applyFont="1" applyBorder="1" applyAlignment="1" applyProtection="1">
      <alignment horizontal="left" vertical="center" wrapText="1"/>
      <protection hidden="1"/>
    </xf>
    <xf numFmtId="0" fontId="75" fillId="0" borderId="105" xfId="0" applyFont="1" applyBorder="1" applyAlignment="1" applyProtection="1">
      <alignment horizontal="left" vertical="center" wrapText="1"/>
      <protection hidden="1"/>
    </xf>
    <xf numFmtId="0" fontId="75" fillId="0" borderId="106" xfId="0" applyFont="1" applyBorder="1" applyAlignment="1" applyProtection="1">
      <alignment horizontal="left" vertical="center" wrapText="1"/>
      <protection hidden="1"/>
    </xf>
    <xf numFmtId="0" fontId="78" fillId="0" borderId="90" xfId="0" applyFont="1" applyBorder="1" applyAlignment="1" applyProtection="1">
      <alignment horizontal="center" vertical="center" wrapText="1"/>
      <protection hidden="1"/>
    </xf>
    <xf numFmtId="0" fontId="74" fillId="2" borderId="91" xfId="0" applyFont="1" applyFill="1" applyBorder="1" applyAlignment="1" applyProtection="1">
      <alignment horizontal="left" vertical="center"/>
      <protection hidden="1"/>
    </xf>
    <xf numFmtId="0" fontId="74" fillId="2" borderId="92" xfId="0" applyFont="1" applyFill="1" applyBorder="1" applyAlignment="1" applyProtection="1">
      <alignment horizontal="left" vertical="center"/>
      <protection hidden="1"/>
    </xf>
    <xf numFmtId="0" fontId="74" fillId="2" borderId="94" xfId="0" applyFont="1" applyFill="1" applyBorder="1" applyAlignment="1" applyProtection="1">
      <alignment horizontal="left" vertical="center" wrapText="1"/>
      <protection hidden="1"/>
    </xf>
    <xf numFmtId="0" fontId="74" fillId="2" borderId="90" xfId="0" applyFont="1" applyFill="1" applyBorder="1" applyAlignment="1" applyProtection="1">
      <alignment horizontal="left" vertical="center" wrapText="1"/>
      <protection hidden="1"/>
    </xf>
    <xf numFmtId="0" fontId="74" fillId="2" borderId="96" xfId="0" applyFont="1" applyFill="1" applyBorder="1" applyAlignment="1" applyProtection="1">
      <alignment horizontal="left" vertical="center"/>
      <protection hidden="1"/>
    </xf>
    <xf numFmtId="0" fontId="74" fillId="2" borderId="97" xfId="0" applyFont="1" applyFill="1" applyBorder="1" applyAlignment="1" applyProtection="1">
      <alignment horizontal="left" vertical="center"/>
      <protection hidden="1"/>
    </xf>
    <xf numFmtId="0" fontId="73" fillId="2" borderId="92" xfId="0" applyFont="1" applyFill="1" applyBorder="1" applyAlignment="1" applyProtection="1">
      <alignment horizontal="left" vertical="center" wrapText="1"/>
      <protection hidden="1"/>
    </xf>
    <xf numFmtId="0" fontId="73" fillId="2" borderId="92" xfId="0" applyFont="1" applyFill="1" applyBorder="1" applyAlignment="1" applyProtection="1">
      <alignment horizontal="left" vertical="center"/>
      <protection hidden="1"/>
    </xf>
    <xf numFmtId="0" fontId="73" fillId="2" borderId="93" xfId="0" applyFont="1" applyFill="1" applyBorder="1" applyAlignment="1" applyProtection="1">
      <alignment horizontal="left" vertical="center"/>
      <protection hidden="1"/>
    </xf>
    <xf numFmtId="0" fontId="75" fillId="2" borderId="90" xfId="0" applyFont="1" applyFill="1" applyBorder="1" applyAlignment="1" applyProtection="1">
      <alignment horizontal="left" vertical="center" wrapText="1"/>
      <protection hidden="1"/>
    </xf>
    <xf numFmtId="0" fontId="75" fillId="2" borderId="95" xfId="0" applyFont="1" applyFill="1" applyBorder="1" applyAlignment="1" applyProtection="1">
      <alignment horizontal="left" vertical="center" wrapText="1"/>
      <protection hidden="1"/>
    </xf>
    <xf numFmtId="0" fontId="73" fillId="15" borderId="94" xfId="0" applyFont="1" applyFill="1" applyBorder="1" applyAlignment="1" applyProtection="1">
      <alignment horizontal="center" vertical="center" textRotation="90"/>
      <protection hidden="1"/>
    </xf>
    <xf numFmtId="0" fontId="73" fillId="21" borderId="90" xfId="0" applyFont="1" applyFill="1" applyBorder="1" applyAlignment="1" applyProtection="1">
      <alignment horizontal="center" vertical="center" wrapText="1"/>
      <protection hidden="1"/>
    </xf>
    <xf numFmtId="0" fontId="73" fillId="21" borderId="90" xfId="0" applyFont="1" applyFill="1" applyBorder="1" applyAlignment="1" applyProtection="1">
      <alignment horizontal="center" vertical="center"/>
      <protection hidden="1"/>
    </xf>
    <xf numFmtId="0" fontId="75" fillId="2" borderId="0" xfId="0" applyFont="1" applyFill="1" applyAlignment="1" applyProtection="1">
      <alignment horizontal="left" vertical="center"/>
      <protection hidden="1"/>
    </xf>
    <xf numFmtId="0" fontId="73" fillId="24" borderId="90" xfId="0" applyFont="1" applyFill="1" applyBorder="1" applyAlignment="1" applyProtection="1">
      <alignment horizontal="center" vertical="center" textRotation="90" wrapText="1"/>
      <protection hidden="1"/>
    </xf>
    <xf numFmtId="0" fontId="73" fillId="25" borderId="90" xfId="0" applyFont="1" applyFill="1" applyBorder="1" applyAlignment="1" applyProtection="1">
      <alignment horizontal="center" vertical="center" wrapText="1"/>
      <protection hidden="1"/>
    </xf>
    <xf numFmtId="0" fontId="73" fillId="24" borderId="92" xfId="0" applyFont="1" applyFill="1" applyBorder="1" applyAlignment="1" applyProtection="1">
      <alignment horizontal="center" vertical="center"/>
      <protection hidden="1"/>
    </xf>
    <xf numFmtId="0" fontId="73" fillId="23" borderId="90" xfId="0" applyFont="1" applyFill="1" applyBorder="1" applyAlignment="1" applyProtection="1">
      <alignment horizontal="center" vertical="center" wrapText="1"/>
      <protection hidden="1"/>
    </xf>
    <xf numFmtId="0" fontId="73" fillId="23" borderId="92" xfId="0" applyFont="1" applyFill="1" applyBorder="1" applyAlignment="1" applyProtection="1">
      <alignment horizontal="center" vertical="center"/>
      <protection hidden="1"/>
    </xf>
    <xf numFmtId="0" fontId="73" fillId="23" borderId="93" xfId="0" applyFont="1" applyFill="1" applyBorder="1" applyAlignment="1" applyProtection="1">
      <alignment horizontal="center" vertical="center"/>
      <protection hidden="1"/>
    </xf>
    <xf numFmtId="0" fontId="73" fillId="15" borderId="91" xfId="0" applyFont="1" applyFill="1" applyBorder="1" applyAlignment="1" applyProtection="1">
      <alignment horizontal="center" vertical="center"/>
      <protection hidden="1"/>
    </xf>
    <xf numFmtId="0" fontId="73" fillId="15" borderId="92" xfId="0" applyFont="1" applyFill="1" applyBorder="1" applyAlignment="1" applyProtection="1">
      <alignment horizontal="center" vertical="center"/>
      <protection hidden="1"/>
    </xf>
    <xf numFmtId="0" fontId="73" fillId="22" borderId="92" xfId="0" applyFont="1" applyFill="1" applyBorder="1" applyAlignment="1" applyProtection="1">
      <alignment horizontal="center" vertical="center"/>
      <protection hidden="1"/>
    </xf>
    <xf numFmtId="0" fontId="73" fillId="25" borderId="92" xfId="0" applyFont="1" applyFill="1" applyBorder="1" applyAlignment="1" applyProtection="1">
      <alignment horizontal="center" vertical="center"/>
      <protection hidden="1"/>
    </xf>
    <xf numFmtId="0" fontId="77" fillId="2" borderId="0" xfId="0" applyFont="1" applyFill="1" applyAlignment="1" applyProtection="1">
      <alignment horizontal="left"/>
      <protection hidden="1"/>
    </xf>
    <xf numFmtId="0" fontId="73" fillId="23" borderId="95" xfId="0" applyFont="1" applyFill="1" applyBorder="1" applyAlignment="1" applyProtection="1">
      <alignment horizontal="center" vertical="center" wrapText="1"/>
      <protection hidden="1"/>
    </xf>
    <xf numFmtId="0" fontId="73" fillId="25" borderId="90" xfId="0" applyFont="1" applyFill="1" applyBorder="1" applyAlignment="1" applyProtection="1">
      <alignment horizontal="center" vertical="center" textRotation="90" wrapText="1"/>
      <protection hidden="1"/>
    </xf>
    <xf numFmtId="0" fontId="74" fillId="0" borderId="100" xfId="0" applyFont="1" applyBorder="1" applyAlignment="1" applyProtection="1">
      <alignment horizontal="center" vertical="center"/>
      <protection hidden="1"/>
    </xf>
    <xf numFmtId="0" fontId="74" fillId="0" borderId="103" xfId="0" applyFont="1" applyBorder="1" applyAlignment="1" applyProtection="1">
      <alignment horizontal="center" vertical="center"/>
      <protection hidden="1"/>
    </xf>
    <xf numFmtId="0" fontId="75" fillId="2" borderId="99" xfId="0" applyFont="1" applyFill="1" applyBorder="1" applyAlignment="1" applyProtection="1">
      <alignment horizontal="center" vertical="center"/>
      <protection hidden="1"/>
    </xf>
    <xf numFmtId="0" fontId="75" fillId="2" borderId="101" xfId="0" applyFont="1" applyFill="1" applyBorder="1" applyAlignment="1" applyProtection="1">
      <alignment horizontal="center" vertical="center"/>
      <protection hidden="1"/>
    </xf>
    <xf numFmtId="0" fontId="78" fillId="0" borderId="99" xfId="0" applyFont="1" applyBorder="1" applyAlignment="1" applyProtection="1">
      <alignment horizontal="center" vertical="center" wrapText="1"/>
      <protection hidden="1"/>
    </xf>
    <xf numFmtId="0" fontId="78" fillId="0" borderId="101" xfId="0" applyFont="1" applyBorder="1" applyAlignment="1" applyProtection="1">
      <alignment horizontal="center" vertical="center" wrapText="1"/>
      <protection hidden="1"/>
    </xf>
    <xf numFmtId="0" fontId="76" fillId="0" borderId="99" xfId="0" applyFont="1" applyBorder="1" applyAlignment="1" applyProtection="1">
      <alignment horizontal="center" vertical="center" wrapText="1"/>
      <protection hidden="1"/>
    </xf>
    <xf numFmtId="0" fontId="76" fillId="0" borderId="101"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75" fillId="0" borderId="101" xfId="0" applyFont="1" applyBorder="1" applyAlignment="1" applyProtection="1">
      <alignment horizontal="center" vertical="center"/>
      <protection hidden="1"/>
    </xf>
    <xf numFmtId="0" fontId="70" fillId="20" borderId="49" xfId="0" applyFont="1" applyFill="1" applyBorder="1" applyAlignment="1" applyProtection="1">
      <alignment horizontal="justify" vertical="center" wrapText="1"/>
      <protection locked="0" hidden="1"/>
    </xf>
    <xf numFmtId="14" fontId="67" fillId="17" borderId="49" xfId="0" applyNumberFormat="1" applyFont="1" applyFill="1" applyBorder="1" applyAlignment="1" applyProtection="1">
      <alignment horizontal="justify" vertical="center" wrapText="1"/>
      <protection hidden="1"/>
    </xf>
    <xf numFmtId="0" fontId="56"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locked="0" hidden="1"/>
    </xf>
    <xf numFmtId="0" fontId="55" fillId="0" borderId="77" xfId="0" applyFont="1" applyBorder="1" applyAlignment="1" applyProtection="1">
      <alignment horizontal="justify" vertical="center" wrapText="1"/>
      <protection hidden="1"/>
    </xf>
    <xf numFmtId="0" fontId="55" fillId="0" borderId="78" xfId="0" applyFont="1" applyBorder="1" applyAlignment="1" applyProtection="1">
      <alignment horizontal="justify" vertical="center" wrapText="1"/>
      <protection hidden="1"/>
    </xf>
    <xf numFmtId="0" fontId="63" fillId="0" borderId="79" xfId="0" applyFont="1" applyBorder="1" applyAlignment="1" applyProtection="1">
      <alignment horizontal="justify" vertical="center" wrapText="1"/>
      <protection hidden="1"/>
    </xf>
    <xf numFmtId="0" fontId="63" fillId="0" borderId="15" xfId="0" applyFont="1" applyBorder="1" applyAlignment="1" applyProtection="1">
      <alignment horizontal="justify" vertical="center" wrapText="1"/>
      <protection hidden="1"/>
    </xf>
    <xf numFmtId="0" fontId="55" fillId="0" borderId="47" xfId="0" applyFont="1" applyBorder="1" applyAlignment="1" applyProtection="1">
      <alignment horizontal="justify" vertical="center" wrapText="1"/>
      <protection hidden="1"/>
    </xf>
    <xf numFmtId="0" fontId="55" fillId="0" borderId="14" xfId="0" applyFont="1" applyBorder="1" applyAlignment="1" applyProtection="1">
      <alignment horizontal="justify" vertical="center" wrapText="1"/>
      <protection hidden="1"/>
    </xf>
    <xf numFmtId="0" fontId="55" fillId="0" borderId="48" xfId="0" applyFont="1" applyBorder="1" applyAlignment="1" applyProtection="1">
      <alignment horizontal="justify" vertical="center" wrapText="1"/>
      <protection hidden="1"/>
    </xf>
    <xf numFmtId="0" fontId="55" fillId="0" borderId="16" xfId="0" applyFont="1" applyBorder="1" applyAlignment="1" applyProtection="1">
      <alignment horizontal="justify" vertical="center" wrapText="1"/>
      <protection hidden="1"/>
    </xf>
    <xf numFmtId="0" fontId="55" fillId="0" borderId="17" xfId="0" applyFont="1" applyBorder="1" applyAlignment="1" applyProtection="1">
      <alignment horizontal="justify" vertical="center" wrapText="1"/>
      <protection hidden="1"/>
    </xf>
    <xf numFmtId="14" fontId="68" fillId="17" borderId="49" xfId="0" applyNumberFormat="1" applyFont="1" applyFill="1" applyBorder="1" applyAlignment="1" applyProtection="1">
      <alignment horizontal="justify" vertical="center" wrapText="1"/>
      <protection hidden="1"/>
    </xf>
    <xf numFmtId="0" fontId="68" fillId="17" borderId="49" xfId="0" applyFont="1" applyFill="1" applyBorder="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55" fillId="0" borderId="81" xfId="0" applyFont="1" applyBorder="1" applyAlignment="1" applyProtection="1">
      <alignment horizontal="justify" vertical="center"/>
      <protection hidden="1"/>
    </xf>
    <xf numFmtId="0" fontId="55" fillId="0" borderId="10" xfId="0" applyFont="1" applyBorder="1" applyAlignment="1" applyProtection="1">
      <alignment horizontal="justify" vertical="center"/>
      <protection hidden="1"/>
    </xf>
    <xf numFmtId="0" fontId="55" fillId="0" borderId="82" xfId="0" applyFont="1" applyBorder="1" applyAlignment="1" applyProtection="1">
      <alignment horizontal="justify" vertical="center"/>
      <protection hidden="1"/>
    </xf>
    <xf numFmtId="0" fontId="55" fillId="0" borderId="83" xfId="0" applyFont="1" applyBorder="1" applyAlignment="1" applyProtection="1">
      <alignment horizontal="justify" vertical="center"/>
      <protection hidden="1"/>
    </xf>
    <xf numFmtId="0" fontId="55" fillId="0" borderId="26" xfId="0" applyFont="1" applyBorder="1" applyAlignment="1" applyProtection="1">
      <alignment horizontal="justify" vertical="center"/>
      <protection hidden="1"/>
    </xf>
    <xf numFmtId="0" fontId="55" fillId="0" borderId="84" xfId="0" applyFont="1" applyBorder="1" applyAlignment="1" applyProtection="1">
      <alignment horizontal="justify" vertical="center"/>
      <protection hidden="1"/>
    </xf>
    <xf numFmtId="0" fontId="55" fillId="0" borderId="85" xfId="0" applyFont="1" applyBorder="1" applyAlignment="1" applyProtection="1">
      <alignment horizontal="justify" vertical="center"/>
      <protection hidden="1"/>
    </xf>
    <xf numFmtId="0" fontId="55" fillId="0" borderId="23" xfId="0" applyFont="1" applyBorder="1" applyAlignment="1" applyProtection="1">
      <alignment horizontal="justify" vertical="center"/>
      <protection hidden="1"/>
    </xf>
    <xf numFmtId="0" fontId="55" fillId="0" borderId="86" xfId="0" applyFont="1" applyBorder="1" applyAlignment="1" applyProtection="1">
      <alignment horizontal="justify" vertical="center"/>
      <protection hidden="1"/>
    </xf>
    <xf numFmtId="0" fontId="55" fillId="0" borderId="87" xfId="0" applyFont="1" applyBorder="1" applyAlignment="1" applyProtection="1">
      <alignment horizontal="justify" vertical="center" wrapText="1"/>
      <protection hidden="1"/>
    </xf>
    <xf numFmtId="0" fontId="55" fillId="0" borderId="88" xfId="0" applyFont="1" applyBorder="1" applyAlignment="1" applyProtection="1">
      <alignment horizontal="justify" vertical="center" wrapText="1"/>
      <protection hidden="1"/>
    </xf>
    <xf numFmtId="0" fontId="55" fillId="0" borderId="89" xfId="0" applyFont="1" applyBorder="1" applyAlignment="1" applyProtection="1">
      <alignment horizontal="justify" vertical="center" wrapText="1"/>
      <protection hidden="1"/>
    </xf>
    <xf numFmtId="0" fontId="55" fillId="0" borderId="87" xfId="0" applyFont="1" applyBorder="1" applyAlignment="1" applyProtection="1">
      <alignment horizontal="justify" vertical="center"/>
      <protection hidden="1"/>
    </xf>
    <xf numFmtId="0" fontId="55" fillId="0" borderId="88" xfId="0" applyFont="1" applyBorder="1" applyAlignment="1" applyProtection="1">
      <alignment horizontal="justify" vertical="center"/>
      <protection hidden="1"/>
    </xf>
    <xf numFmtId="0" fontId="55" fillId="0" borderId="89" xfId="0" applyFont="1" applyBorder="1" applyAlignment="1" applyProtection="1">
      <alignment horizontal="justify" vertical="center"/>
      <protection hidden="1"/>
    </xf>
    <xf numFmtId="0" fontId="70" fillId="20" borderId="49" xfId="0" applyFont="1" applyFill="1" applyBorder="1" applyAlignment="1" applyProtection="1">
      <alignment horizontal="center" wrapText="1"/>
      <protection locked="0" hidden="1"/>
    </xf>
    <xf numFmtId="0" fontId="56" fillId="20" borderId="49" xfId="0" applyFont="1" applyFill="1" applyBorder="1" applyAlignment="1" applyProtection="1">
      <alignment horizontal="center" vertical="center" wrapText="1"/>
      <protection hidden="1"/>
    </xf>
    <xf numFmtId="0" fontId="69" fillId="20" borderId="49" xfId="0" applyFont="1" applyFill="1" applyBorder="1" applyAlignment="1" applyProtection="1">
      <alignment horizontal="center" vertical="center" wrapText="1"/>
      <protection hidden="1"/>
    </xf>
    <xf numFmtId="0" fontId="69" fillId="20" borderId="49" xfId="0" applyFont="1" applyFill="1" applyBorder="1" applyAlignment="1" applyProtection="1">
      <alignment horizontal="center" vertical="center" wrapText="1"/>
      <protection locked="0"/>
    </xf>
    <xf numFmtId="0" fontId="69" fillId="20" borderId="49" xfId="0" applyFont="1" applyFill="1" applyBorder="1" applyAlignment="1" applyProtection="1">
      <alignment horizontal="center" vertical="center" wrapText="1"/>
      <protection locked="0" hidden="1"/>
    </xf>
    <xf numFmtId="0" fontId="55" fillId="0" borderId="85" xfId="0" applyFont="1" applyBorder="1" applyAlignment="1" applyProtection="1">
      <alignment horizontal="center" vertical="center"/>
      <protection hidden="1"/>
    </xf>
    <xf numFmtId="0" fontId="55" fillId="0" borderId="23" xfId="0" applyFont="1" applyBorder="1" applyAlignment="1" applyProtection="1">
      <alignment horizontal="center" vertical="center"/>
      <protection hidden="1"/>
    </xf>
    <xf numFmtId="0" fontId="55" fillId="0" borderId="86" xfId="0" applyFont="1" applyBorder="1" applyAlignment="1" applyProtection="1">
      <alignment horizontal="center" vertical="center"/>
      <protection hidden="1"/>
    </xf>
    <xf numFmtId="0" fontId="55" fillId="0" borderId="81" xfId="0" applyFont="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55" fillId="0" borderId="82" xfId="0" applyFont="1" applyBorder="1" applyAlignment="1" applyProtection="1">
      <alignment horizontal="center" vertical="center"/>
      <protection hidden="1"/>
    </xf>
    <xf numFmtId="0" fontId="55" fillId="0" borderId="83" xfId="0" applyFont="1" applyBorder="1" applyAlignment="1" applyProtection="1">
      <alignment horizontal="center" vertical="center"/>
      <protection hidden="1"/>
    </xf>
    <xf numFmtId="0" fontId="55" fillId="0" borderId="26" xfId="0" applyFont="1" applyBorder="1" applyAlignment="1" applyProtection="1">
      <alignment horizontal="center" vertical="center"/>
      <protection hidden="1"/>
    </xf>
    <xf numFmtId="0" fontId="55" fillId="0" borderId="84" xfId="0" applyFont="1" applyBorder="1" applyAlignment="1" applyProtection="1">
      <alignment horizontal="center" vertical="center"/>
      <protection hidden="1"/>
    </xf>
    <xf numFmtId="0" fontId="55" fillId="0" borderId="87" xfId="0" applyFont="1" applyBorder="1" applyAlignment="1" applyProtection="1">
      <alignment horizontal="center" vertical="center"/>
      <protection hidden="1"/>
    </xf>
    <xf numFmtId="0" fontId="55" fillId="0" borderId="88" xfId="0" applyFont="1" applyBorder="1" applyAlignment="1" applyProtection="1">
      <alignment horizontal="center" vertical="center"/>
      <protection hidden="1"/>
    </xf>
    <xf numFmtId="0" fontId="55" fillId="0" borderId="89" xfId="0" applyFont="1" applyBorder="1" applyAlignment="1" applyProtection="1">
      <alignment horizontal="center" vertical="center"/>
      <protection hidden="1"/>
    </xf>
    <xf numFmtId="0" fontId="55" fillId="0" borderId="87" xfId="0" applyFont="1" applyBorder="1" applyAlignment="1" applyProtection="1">
      <alignment horizontal="center" vertical="center" wrapText="1"/>
      <protection hidden="1"/>
    </xf>
    <xf numFmtId="0" fontId="55" fillId="0" borderId="88" xfId="0" applyFont="1" applyBorder="1" applyAlignment="1" applyProtection="1">
      <alignment horizontal="center" vertical="center" wrapText="1"/>
      <protection hidden="1"/>
    </xf>
    <xf numFmtId="0" fontId="55" fillId="0" borderId="89" xfId="0" applyFont="1" applyBorder="1" applyAlignment="1" applyProtection="1">
      <alignment horizontal="center" vertical="center" wrapText="1"/>
      <protection hidden="1"/>
    </xf>
    <xf numFmtId="0" fontId="55" fillId="0" borderId="77" xfId="0" applyFont="1" applyBorder="1" applyAlignment="1" applyProtection="1">
      <alignment horizontal="center" vertical="center" wrapText="1"/>
      <protection hidden="1"/>
    </xf>
    <xf numFmtId="0" fontId="55" fillId="0" borderId="78" xfId="0" applyFont="1" applyBorder="1" applyAlignment="1" applyProtection="1">
      <alignment horizontal="center" vertical="center" wrapText="1"/>
      <protection hidden="1"/>
    </xf>
    <xf numFmtId="0" fontId="63" fillId="0" borderId="79" xfId="0" applyFont="1" applyBorder="1" applyAlignment="1" applyProtection="1">
      <alignment horizontal="left" vertical="center" wrapText="1"/>
      <protection hidden="1"/>
    </xf>
    <xf numFmtId="0" fontId="63" fillId="0" borderId="15" xfId="0" applyFont="1" applyBorder="1" applyAlignment="1" applyProtection="1">
      <alignment horizontal="left" vertical="center" wrapText="1"/>
      <protection hidden="1"/>
    </xf>
    <xf numFmtId="0" fontId="55" fillId="0" borderId="47" xfId="0" applyFont="1" applyBorder="1" applyAlignment="1" applyProtection="1">
      <alignment horizontal="center" vertical="center" wrapText="1"/>
      <protection hidden="1"/>
    </xf>
    <xf numFmtId="0" fontId="55" fillId="0" borderId="14" xfId="0" applyFont="1" applyBorder="1" applyAlignment="1" applyProtection="1">
      <alignment horizontal="center" vertical="center" wrapText="1"/>
      <protection hidden="1"/>
    </xf>
    <xf numFmtId="0" fontId="55" fillId="0" borderId="48" xfId="0" applyFont="1" applyBorder="1" applyAlignment="1" applyProtection="1">
      <alignment horizontal="center" vertical="center" wrapText="1"/>
      <protection hidden="1"/>
    </xf>
    <xf numFmtId="0" fontId="55" fillId="0" borderId="16" xfId="0" applyFont="1" applyBorder="1" applyAlignment="1" applyProtection="1">
      <alignment horizontal="center" vertical="center" wrapText="1"/>
      <protection hidden="1"/>
    </xf>
    <xf numFmtId="0" fontId="55" fillId="0" borderId="17" xfId="0" applyFont="1" applyBorder="1" applyAlignment="1" applyProtection="1">
      <alignment horizontal="center" vertical="center" wrapText="1"/>
      <protection hidden="1"/>
    </xf>
    <xf numFmtId="14" fontId="68" fillId="18" borderId="49" xfId="0" applyNumberFormat="1" applyFont="1" applyFill="1" applyBorder="1" applyAlignment="1" applyProtection="1">
      <alignment horizontal="center" vertical="center" wrapText="1"/>
      <protection hidden="1"/>
    </xf>
    <xf numFmtId="0" fontId="68" fillId="18" borderId="49" xfId="0" applyFont="1" applyFill="1" applyBorder="1" applyAlignment="1" applyProtection="1">
      <alignment horizontal="center" vertical="center"/>
      <protection hidden="1"/>
    </xf>
    <xf numFmtId="0" fontId="56" fillId="18" borderId="49" xfId="0" applyFont="1" applyFill="1" applyBorder="1" applyAlignment="1" applyProtection="1">
      <alignment horizontal="center" vertical="center" wrapText="1"/>
      <protection hidden="1"/>
    </xf>
    <xf numFmtId="14" fontId="67" fillId="18" borderId="49" xfId="0" applyNumberFormat="1" applyFont="1" applyFill="1" applyBorder="1" applyAlignment="1" applyProtection="1">
      <alignment horizontal="center" vertical="center" wrapText="1"/>
      <protection hidden="1"/>
    </xf>
    <xf numFmtId="0" fontId="56" fillId="20" borderId="49" xfId="0" applyFont="1" applyFill="1" applyBorder="1" applyAlignment="1">
      <alignment horizontal="center" vertical="center" wrapText="1"/>
    </xf>
    <xf numFmtId="0" fontId="69" fillId="20" borderId="49" xfId="0" applyFont="1" applyFill="1" applyBorder="1" applyAlignment="1">
      <alignment horizontal="center" vertical="center" wrapText="1"/>
    </xf>
    <xf numFmtId="0" fontId="56" fillId="7" borderId="49" xfId="0" applyFont="1" applyFill="1" applyBorder="1" applyAlignment="1">
      <alignment horizontal="center" vertical="center" wrapText="1"/>
    </xf>
    <xf numFmtId="0" fontId="55" fillId="0" borderId="85" xfId="0" applyFont="1" applyBorder="1" applyAlignment="1">
      <alignment horizontal="center" vertical="center"/>
    </xf>
    <xf numFmtId="0" fontId="55" fillId="0" borderId="23" xfId="0" applyFont="1" applyBorder="1" applyAlignment="1">
      <alignment horizontal="center" vertical="center"/>
    </xf>
    <xf numFmtId="0" fontId="55" fillId="0" borderId="86" xfId="0" applyFont="1" applyBorder="1" applyAlignment="1">
      <alignment horizontal="center" vertical="center"/>
    </xf>
    <xf numFmtId="0" fontId="55" fillId="0" borderId="81" xfId="0" applyFont="1" applyBorder="1" applyAlignment="1">
      <alignment horizontal="center" vertical="center"/>
    </xf>
    <xf numFmtId="0" fontId="55" fillId="0" borderId="10" xfId="0" applyFont="1" applyBorder="1" applyAlignment="1">
      <alignment horizontal="center" vertical="center"/>
    </xf>
    <xf numFmtId="0" fontId="55" fillId="0" borderId="82" xfId="0" applyFont="1" applyBorder="1" applyAlignment="1">
      <alignment horizontal="center" vertical="center"/>
    </xf>
    <xf numFmtId="0" fontId="55" fillId="0" borderId="83" xfId="0" applyFont="1" applyBorder="1" applyAlignment="1">
      <alignment horizontal="center" vertical="center"/>
    </xf>
    <xf numFmtId="0" fontId="55" fillId="0" borderId="26" xfId="0" applyFont="1" applyBorder="1" applyAlignment="1">
      <alignment horizontal="center" vertical="center"/>
    </xf>
    <xf numFmtId="0" fontId="55" fillId="0" borderId="84" xfId="0" applyFont="1" applyBorder="1" applyAlignment="1">
      <alignment horizontal="center" vertical="center"/>
    </xf>
    <xf numFmtId="0" fontId="55" fillId="0" borderId="87" xfId="0" applyFont="1" applyBorder="1" applyAlignment="1">
      <alignment horizontal="center" vertical="center"/>
    </xf>
    <xf numFmtId="0" fontId="55" fillId="0" borderId="88" xfId="0" applyFont="1" applyBorder="1" applyAlignment="1">
      <alignment horizontal="center" vertical="center"/>
    </xf>
    <xf numFmtId="0" fontId="55" fillId="0" borderId="89" xfId="0" applyFont="1" applyBorder="1" applyAlignment="1">
      <alignment horizontal="center" vertical="center"/>
    </xf>
    <xf numFmtId="0" fontId="55" fillId="0" borderId="87" xfId="0" applyFont="1" applyBorder="1" applyAlignment="1">
      <alignment horizontal="center" vertical="center" wrapText="1"/>
    </xf>
    <xf numFmtId="0" fontId="55" fillId="0" borderId="88" xfId="0" applyFont="1" applyBorder="1" applyAlignment="1">
      <alignment horizontal="center" vertical="center" wrapText="1"/>
    </xf>
    <xf numFmtId="0" fontId="55" fillId="0" borderId="89" xfId="0" applyFont="1" applyBorder="1" applyAlignment="1">
      <alignment horizontal="center" vertical="center" wrapText="1"/>
    </xf>
    <xf numFmtId="0" fontId="55" fillId="0" borderId="77" xfId="0" applyFont="1" applyBorder="1" applyAlignment="1">
      <alignment horizontal="center" vertical="center" wrapText="1"/>
    </xf>
    <xf numFmtId="0" fontId="55" fillId="0" borderId="78" xfId="0" applyFont="1" applyBorder="1" applyAlignment="1">
      <alignment horizontal="center" vertical="center" wrapText="1"/>
    </xf>
    <xf numFmtId="0" fontId="63" fillId="0" borderId="79" xfId="0" applyFont="1" applyBorder="1" applyAlignment="1">
      <alignment horizontal="left" vertical="center" wrapText="1"/>
    </xf>
    <xf numFmtId="0" fontId="63" fillId="0" borderId="15" xfId="0" applyFont="1" applyBorder="1" applyAlignment="1">
      <alignment horizontal="left" vertical="center" wrapText="1"/>
    </xf>
    <xf numFmtId="0" fontId="55" fillId="0" borderId="47" xfId="0" applyFont="1" applyBorder="1" applyAlignment="1">
      <alignment horizontal="center" vertical="center" wrapText="1"/>
    </xf>
    <xf numFmtId="0" fontId="55" fillId="0" borderId="14" xfId="0" applyFont="1" applyBorder="1" applyAlignment="1">
      <alignment horizontal="center" vertical="center" wrapText="1"/>
    </xf>
    <xf numFmtId="0" fontId="55" fillId="0" borderId="48"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17" xfId="0" applyFont="1" applyBorder="1" applyAlignment="1">
      <alignment horizontal="center" vertical="center" wrapText="1"/>
    </xf>
    <xf numFmtId="14" fontId="68" fillId="7" borderId="49" xfId="0" applyNumberFormat="1" applyFont="1" applyFill="1" applyBorder="1" applyAlignment="1">
      <alignment horizontal="center" vertical="center" wrapText="1"/>
    </xf>
    <xf numFmtId="0" fontId="68" fillId="7" borderId="49" xfId="0" applyFont="1" applyFill="1" applyBorder="1" applyAlignment="1">
      <alignment horizontal="center" vertical="center"/>
    </xf>
    <xf numFmtId="14" fontId="67" fillId="7" borderId="49" xfId="0" applyNumberFormat="1"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4" xfId="0" applyFont="1" applyBorder="1" applyAlignment="1">
      <alignment horizontal="center" vertical="center"/>
    </xf>
    <xf numFmtId="0" fontId="49" fillId="0" borderId="0" xfId="0" applyFont="1" applyAlignment="1">
      <alignment horizontal="center" vertical="center"/>
    </xf>
    <xf numFmtId="0" fontId="49" fillId="0" borderId="5" xfId="0" applyFont="1" applyBorder="1" applyAlignment="1">
      <alignment horizontal="center" vertical="center"/>
    </xf>
    <xf numFmtId="0" fontId="49" fillId="0" borderId="6"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7" fillId="9" borderId="0" xfId="0" applyFont="1" applyFill="1" applyAlignment="1" applyProtection="1">
      <alignment horizontal="center" vertical="center" wrapText="1" readingOrder="1"/>
      <protection hidden="1"/>
    </xf>
    <xf numFmtId="0" fontId="47" fillId="9" borderId="5"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textRotation="90" wrapText="1" readingOrder="1"/>
    </xf>
    <xf numFmtId="0" fontId="48" fillId="14" borderId="5" xfId="0" applyFont="1" applyFill="1" applyBorder="1" applyAlignment="1">
      <alignment horizontal="center" vertical="center" textRotation="90" wrapText="1" readingOrder="1"/>
    </xf>
    <xf numFmtId="0" fontId="47" fillId="11" borderId="2" xfId="0" applyFont="1" applyFill="1" applyBorder="1" applyAlignment="1" applyProtection="1">
      <alignment horizontal="center" wrapText="1" readingOrder="1"/>
      <protection hidden="1"/>
    </xf>
    <xf numFmtId="0" fontId="47" fillId="11" borderId="0" xfId="0" applyFont="1" applyFill="1" applyAlignment="1" applyProtection="1">
      <alignment horizontal="center" wrapText="1" readingOrder="1"/>
      <protection hidden="1"/>
    </xf>
    <xf numFmtId="0" fontId="47" fillId="11" borderId="3" xfId="0" applyFont="1" applyFill="1" applyBorder="1" applyAlignment="1" applyProtection="1">
      <alignment horizontal="center" wrapText="1" readingOrder="1"/>
      <protection hidden="1"/>
    </xf>
    <xf numFmtId="0" fontId="47" fillId="11" borderId="5" xfId="0" applyFont="1" applyFill="1" applyBorder="1" applyAlignment="1" applyProtection="1">
      <alignment horizontal="center" wrapText="1" readingOrder="1"/>
      <protection hidden="1"/>
    </xf>
    <xf numFmtId="0" fontId="47" fillId="11" borderId="4" xfId="0" applyFont="1" applyFill="1" applyBorder="1" applyAlignment="1" applyProtection="1">
      <alignment horizontal="center" wrapText="1" readingOrder="1"/>
      <protection hidden="1"/>
    </xf>
    <xf numFmtId="0" fontId="47" fillId="11" borderId="1" xfId="0" applyFont="1" applyFill="1" applyBorder="1" applyAlignment="1" applyProtection="1">
      <alignment horizontal="center" wrapText="1" readingOrder="1"/>
      <protection hidden="1"/>
    </xf>
    <xf numFmtId="0" fontId="50" fillId="10" borderId="58" xfId="0" applyFont="1" applyFill="1" applyBorder="1" applyAlignment="1">
      <alignment horizontal="center" vertical="center" wrapText="1" readingOrder="1"/>
    </xf>
    <xf numFmtId="0" fontId="50" fillId="10" borderId="59" xfId="0" applyFont="1" applyFill="1" applyBorder="1" applyAlignment="1">
      <alignment horizontal="center" vertical="center" wrapText="1" readingOrder="1"/>
    </xf>
    <xf numFmtId="0" fontId="50" fillId="10" borderId="60" xfId="0" applyFont="1" applyFill="1" applyBorder="1" applyAlignment="1">
      <alignment horizontal="center" vertical="center" wrapText="1" readingOrder="1"/>
    </xf>
    <xf numFmtId="0" fontId="50" fillId="10" borderId="61" xfId="0" applyFont="1" applyFill="1" applyBorder="1" applyAlignment="1">
      <alignment horizontal="center" vertical="center" wrapText="1" readingOrder="1"/>
    </xf>
    <xf numFmtId="0" fontId="50" fillId="10" borderId="0" xfId="0" applyFont="1" applyFill="1" applyAlignment="1">
      <alignment horizontal="center" vertical="center" wrapText="1" readingOrder="1"/>
    </xf>
    <xf numFmtId="0" fontId="50" fillId="10" borderId="62" xfId="0" applyFont="1" applyFill="1" applyBorder="1" applyAlignment="1">
      <alignment horizontal="center" vertical="center" wrapText="1" readingOrder="1"/>
    </xf>
    <xf numFmtId="0" fontId="50" fillId="10" borderId="63" xfId="0" applyFont="1" applyFill="1" applyBorder="1" applyAlignment="1">
      <alignment horizontal="center" vertical="center" wrapText="1" readingOrder="1"/>
    </xf>
    <xf numFmtId="0" fontId="50" fillId="10" borderId="64" xfId="0" applyFont="1" applyFill="1" applyBorder="1" applyAlignment="1">
      <alignment horizontal="center" vertical="center" wrapText="1" readingOrder="1"/>
    </xf>
    <xf numFmtId="0" fontId="50" fillId="10" borderId="65" xfId="0" applyFont="1" applyFill="1" applyBorder="1" applyAlignment="1">
      <alignment horizontal="center" vertical="center" wrapText="1" readingOrder="1"/>
    </xf>
    <xf numFmtId="0" fontId="50" fillId="9" borderId="58" xfId="0" applyFont="1" applyFill="1" applyBorder="1" applyAlignment="1">
      <alignment horizontal="center" vertical="center" wrapText="1" readingOrder="1"/>
    </xf>
    <xf numFmtId="0" fontId="50" fillId="9" borderId="59" xfId="0" applyFont="1" applyFill="1" applyBorder="1" applyAlignment="1">
      <alignment horizontal="center" vertical="center" wrapText="1" readingOrder="1"/>
    </xf>
    <xf numFmtId="0" fontId="50" fillId="9" borderId="60" xfId="0" applyFont="1" applyFill="1" applyBorder="1" applyAlignment="1">
      <alignment horizontal="center" vertical="center" wrapText="1" readingOrder="1"/>
    </xf>
    <xf numFmtId="0" fontId="50" fillId="9" borderId="61" xfId="0" applyFont="1" applyFill="1" applyBorder="1" applyAlignment="1">
      <alignment horizontal="center" vertical="center" wrapText="1" readingOrder="1"/>
    </xf>
    <xf numFmtId="0" fontId="50" fillId="9" borderId="0" xfId="0" applyFont="1" applyFill="1" applyAlignment="1">
      <alignment horizontal="center" vertical="center" wrapText="1" readingOrder="1"/>
    </xf>
    <xf numFmtId="0" fontId="50" fillId="9" borderId="62" xfId="0" applyFont="1" applyFill="1" applyBorder="1" applyAlignment="1">
      <alignment horizontal="center" vertical="center" wrapText="1" readingOrder="1"/>
    </xf>
    <xf numFmtId="0" fontId="50" fillId="9" borderId="63" xfId="0" applyFont="1" applyFill="1" applyBorder="1" applyAlignment="1">
      <alignment horizontal="center" vertical="center" wrapText="1" readingOrder="1"/>
    </xf>
    <xf numFmtId="0" fontId="50" fillId="9" borderId="64" xfId="0" applyFont="1" applyFill="1" applyBorder="1" applyAlignment="1">
      <alignment horizontal="center" vertical="center" wrapText="1" readingOrder="1"/>
    </xf>
    <xf numFmtId="0" fontId="50" fillId="9" borderId="65" xfId="0" applyFont="1" applyFill="1" applyBorder="1" applyAlignment="1">
      <alignment horizontal="center" vertical="center" wrapText="1" readingOrder="1"/>
    </xf>
    <xf numFmtId="0" fontId="50" fillId="11" borderId="58" xfId="0" applyFont="1" applyFill="1" applyBorder="1" applyAlignment="1">
      <alignment horizontal="center" vertical="center" wrapText="1" readingOrder="1"/>
    </xf>
    <xf numFmtId="0" fontId="50" fillId="11" borderId="59" xfId="0" applyFont="1" applyFill="1" applyBorder="1" applyAlignment="1">
      <alignment horizontal="center" vertical="center" wrapText="1" readingOrder="1"/>
    </xf>
    <xf numFmtId="0" fontId="50" fillId="11" borderId="60" xfId="0" applyFont="1" applyFill="1" applyBorder="1" applyAlignment="1">
      <alignment horizontal="center" vertical="center" wrapText="1" readingOrder="1"/>
    </xf>
    <xf numFmtId="0" fontId="50" fillId="11" borderId="61" xfId="0" applyFont="1" applyFill="1" applyBorder="1" applyAlignment="1">
      <alignment horizontal="center" vertical="center" wrapText="1" readingOrder="1"/>
    </xf>
    <xf numFmtId="0" fontId="50" fillId="11" borderId="0" xfId="0" applyFont="1" applyFill="1" applyAlignment="1">
      <alignment horizontal="center" vertical="center" wrapText="1" readingOrder="1"/>
    </xf>
    <xf numFmtId="0" fontId="50" fillId="11" borderId="62" xfId="0" applyFont="1" applyFill="1" applyBorder="1" applyAlignment="1">
      <alignment horizontal="center" vertical="center" wrapText="1" readingOrder="1"/>
    </xf>
    <xf numFmtId="0" fontId="50" fillId="11" borderId="63" xfId="0" applyFont="1" applyFill="1" applyBorder="1" applyAlignment="1">
      <alignment horizontal="center" vertical="center" wrapText="1" readingOrder="1"/>
    </xf>
    <xf numFmtId="0" fontId="50" fillId="11" borderId="64" xfId="0" applyFont="1" applyFill="1" applyBorder="1" applyAlignment="1">
      <alignment horizontal="center" vertical="center" wrapText="1" readingOrder="1"/>
    </xf>
    <xf numFmtId="0" fontId="50" fillId="11" borderId="65" xfId="0" applyFont="1" applyFill="1" applyBorder="1" applyAlignment="1">
      <alignment horizontal="center" vertical="center" wrapText="1" readingOrder="1"/>
    </xf>
    <xf numFmtId="0" fontId="50" fillId="4" borderId="58" xfId="0" applyFont="1" applyFill="1" applyBorder="1" applyAlignment="1">
      <alignment horizontal="center" vertical="center" wrapText="1" readingOrder="1"/>
    </xf>
    <xf numFmtId="0" fontId="50" fillId="4" borderId="59" xfId="0" applyFont="1" applyFill="1" applyBorder="1" applyAlignment="1">
      <alignment horizontal="center" vertical="center" wrapText="1" readingOrder="1"/>
    </xf>
    <xf numFmtId="0" fontId="50" fillId="4" borderId="60" xfId="0" applyFont="1" applyFill="1" applyBorder="1" applyAlignment="1">
      <alignment horizontal="center" vertical="center" wrapText="1" readingOrder="1"/>
    </xf>
    <xf numFmtId="0" fontId="50" fillId="4" borderId="61" xfId="0" applyFont="1" applyFill="1" applyBorder="1" applyAlignment="1">
      <alignment horizontal="center" vertical="center" wrapText="1" readingOrder="1"/>
    </xf>
    <xf numFmtId="0" fontId="50" fillId="4" borderId="0" xfId="0" applyFont="1" applyFill="1" applyAlignment="1">
      <alignment horizontal="center" vertical="center" wrapText="1" readingOrder="1"/>
    </xf>
    <xf numFmtId="0" fontId="50" fillId="4" borderId="62" xfId="0" applyFont="1" applyFill="1" applyBorder="1" applyAlignment="1">
      <alignment horizontal="center" vertical="center" wrapText="1" readingOrder="1"/>
    </xf>
    <xf numFmtId="0" fontId="50" fillId="4" borderId="63" xfId="0" applyFont="1" applyFill="1" applyBorder="1" applyAlignment="1">
      <alignment horizontal="center" vertical="center" wrapText="1" readingOrder="1"/>
    </xf>
    <xf numFmtId="0" fontId="50" fillId="4" borderId="64" xfId="0" applyFont="1" applyFill="1" applyBorder="1" applyAlignment="1">
      <alignment horizontal="center" vertical="center" wrapText="1" readingOrder="1"/>
    </xf>
    <xf numFmtId="0" fontId="50" fillId="4" borderId="65" xfId="0" applyFont="1" applyFill="1" applyBorder="1" applyAlignment="1">
      <alignment horizontal="center" vertical="center" wrapText="1" readingOrder="1"/>
    </xf>
    <xf numFmtId="0" fontId="47" fillId="9" borderId="1" xfId="0" applyFont="1" applyFill="1" applyBorder="1" applyAlignment="1" applyProtection="1">
      <alignment horizontal="center" vertical="center" wrapText="1" readingOrder="1"/>
      <protection hidden="1"/>
    </xf>
    <xf numFmtId="0" fontId="47" fillId="9" borderId="2" xfId="0" applyFont="1" applyFill="1" applyBorder="1" applyAlignment="1" applyProtection="1">
      <alignment horizontal="center" vertical="center" wrapText="1" readingOrder="1"/>
      <protection hidden="1"/>
    </xf>
    <xf numFmtId="0" fontId="47" fillId="9" borderId="4" xfId="0" applyFont="1" applyFill="1" applyBorder="1" applyAlignment="1" applyProtection="1">
      <alignment horizontal="center" vertical="center" wrapText="1" readingOrder="1"/>
      <protection hidden="1"/>
    </xf>
    <xf numFmtId="0" fontId="47" fillId="9" borderId="3"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wrapText="1" readingOrder="1"/>
    </xf>
    <xf numFmtId="0" fontId="49" fillId="0" borderId="2" xfId="0" applyFont="1" applyBorder="1" applyAlignment="1">
      <alignment horizontal="center" vertical="center" wrapText="1"/>
    </xf>
    <xf numFmtId="0" fontId="47" fillId="9" borderId="6" xfId="0" applyFont="1" applyFill="1" applyBorder="1" applyAlignment="1" applyProtection="1">
      <alignment horizontal="center" vertical="center" wrapText="1" readingOrder="1"/>
      <protection hidden="1"/>
    </xf>
    <xf numFmtId="0" fontId="47" fillId="9" borderId="7" xfId="0" applyFont="1" applyFill="1" applyBorder="1" applyAlignment="1" applyProtection="1">
      <alignment horizontal="center" vertical="center" wrapText="1" readingOrder="1"/>
      <protection hidden="1"/>
    </xf>
    <xf numFmtId="0" fontId="47" fillId="9" borderId="8" xfId="0" applyFont="1" applyFill="1" applyBorder="1" applyAlignment="1" applyProtection="1">
      <alignment horizontal="center" vertical="center" wrapText="1" readingOrder="1"/>
      <protection hidden="1"/>
    </xf>
    <xf numFmtId="0" fontId="47" fillId="10" borderId="4" xfId="0" applyFont="1" applyFill="1" applyBorder="1" applyAlignment="1" applyProtection="1">
      <alignment horizontal="center" wrapText="1" readingOrder="1"/>
      <protection hidden="1"/>
    </xf>
    <xf numFmtId="0" fontId="47" fillId="10" borderId="0" xfId="0" applyFont="1" applyFill="1" applyAlignment="1" applyProtection="1">
      <alignment horizontal="center" wrapText="1" readingOrder="1"/>
      <protection hidden="1"/>
    </xf>
    <xf numFmtId="0" fontId="47" fillId="10" borderId="5" xfId="0" applyFont="1" applyFill="1" applyBorder="1" applyAlignment="1" applyProtection="1">
      <alignment horizontal="center" wrapText="1" readingOrder="1"/>
      <protection hidden="1"/>
    </xf>
    <xf numFmtId="0" fontId="47" fillId="10" borderId="6" xfId="0" applyFont="1" applyFill="1" applyBorder="1" applyAlignment="1" applyProtection="1">
      <alignment horizontal="center" wrapText="1" readingOrder="1"/>
      <protection hidden="1"/>
    </xf>
    <xf numFmtId="0" fontId="47" fillId="10" borderId="7" xfId="0" applyFont="1" applyFill="1" applyBorder="1" applyAlignment="1" applyProtection="1">
      <alignment horizontal="center" wrapText="1" readingOrder="1"/>
      <protection hidden="1"/>
    </xf>
    <xf numFmtId="0" fontId="47" fillId="10" borderId="8" xfId="0" applyFont="1" applyFill="1" applyBorder="1" applyAlignment="1" applyProtection="1">
      <alignment horizontal="center" wrapText="1" readingOrder="1"/>
      <protection hidden="1"/>
    </xf>
    <xf numFmtId="0" fontId="47" fillId="10" borderId="1" xfId="0" applyFont="1" applyFill="1" applyBorder="1" applyAlignment="1" applyProtection="1">
      <alignment horizontal="center" wrapText="1" readingOrder="1"/>
      <protection hidden="1"/>
    </xf>
    <xf numFmtId="0" fontId="47" fillId="10" borderId="2" xfId="0" applyFont="1" applyFill="1" applyBorder="1" applyAlignment="1" applyProtection="1">
      <alignment horizontal="center" wrapText="1" readingOrder="1"/>
      <protection hidden="1"/>
    </xf>
    <xf numFmtId="0" fontId="47" fillId="10" borderId="3" xfId="0" applyFont="1" applyFill="1" applyBorder="1" applyAlignment="1" applyProtection="1">
      <alignment horizontal="center" wrapText="1" readingOrder="1"/>
      <protection hidden="1"/>
    </xf>
    <xf numFmtId="0" fontId="47" fillId="11" borderId="6" xfId="0" applyFont="1" applyFill="1" applyBorder="1" applyAlignment="1" applyProtection="1">
      <alignment horizontal="center" wrapText="1" readingOrder="1"/>
      <protection hidden="1"/>
    </xf>
    <xf numFmtId="0" fontId="47" fillId="11" borderId="7" xfId="0" applyFont="1" applyFill="1" applyBorder="1" applyAlignment="1" applyProtection="1">
      <alignment horizontal="center" wrapText="1" readingOrder="1"/>
      <protection hidden="1"/>
    </xf>
    <xf numFmtId="0" fontId="47" fillId="11" borderId="8" xfId="0" applyFont="1" applyFill="1" applyBorder="1" applyAlignment="1" applyProtection="1">
      <alignment horizontal="center" wrapText="1" readingOrder="1"/>
      <protection hidden="1"/>
    </xf>
    <xf numFmtId="0" fontId="47" fillId="4" borderId="0" xfId="0" applyFont="1" applyFill="1" applyAlignment="1" applyProtection="1">
      <alignment horizontal="center" wrapText="1" readingOrder="1"/>
      <protection hidden="1"/>
    </xf>
    <xf numFmtId="0" fontId="47" fillId="4" borderId="5" xfId="0" applyFont="1" applyFill="1" applyBorder="1" applyAlignment="1" applyProtection="1">
      <alignment horizontal="center" wrapText="1" readingOrder="1"/>
      <protection hidden="1"/>
    </xf>
    <xf numFmtId="0" fontId="47" fillId="4" borderId="4" xfId="0" applyFont="1" applyFill="1" applyBorder="1" applyAlignment="1" applyProtection="1">
      <alignment horizontal="center" wrapText="1" readingOrder="1"/>
      <protection hidden="1"/>
    </xf>
    <xf numFmtId="0" fontId="47" fillId="4" borderId="6" xfId="0" applyFont="1" applyFill="1" applyBorder="1" applyAlignment="1" applyProtection="1">
      <alignment horizontal="center" wrapText="1" readingOrder="1"/>
      <protection hidden="1"/>
    </xf>
    <xf numFmtId="0" fontId="47" fillId="4" borderId="7" xfId="0" applyFont="1" applyFill="1" applyBorder="1" applyAlignment="1" applyProtection="1">
      <alignment horizontal="center" wrapText="1" readingOrder="1"/>
      <protection hidden="1"/>
    </xf>
    <xf numFmtId="0" fontId="47" fillId="4" borderId="8" xfId="0" applyFont="1" applyFill="1" applyBorder="1" applyAlignment="1" applyProtection="1">
      <alignment horizontal="center" wrapText="1" readingOrder="1"/>
      <protection hidden="1"/>
    </xf>
    <xf numFmtId="0" fontId="47" fillId="4" borderId="1" xfId="0" applyFont="1" applyFill="1" applyBorder="1" applyAlignment="1" applyProtection="1">
      <alignment horizontal="center" wrapText="1" readingOrder="1"/>
      <protection hidden="1"/>
    </xf>
    <xf numFmtId="0" fontId="47" fillId="4" borderId="2" xfId="0" applyFont="1" applyFill="1" applyBorder="1" applyAlignment="1" applyProtection="1">
      <alignment horizontal="center" wrapText="1" readingOrder="1"/>
      <protection hidden="1"/>
    </xf>
    <xf numFmtId="0" fontId="47" fillId="4" borderId="3" xfId="0" applyFont="1" applyFill="1" applyBorder="1" applyAlignment="1" applyProtection="1">
      <alignment horizontal="center" wrapText="1" readingOrder="1"/>
      <protection hidden="1"/>
    </xf>
    <xf numFmtId="0" fontId="46" fillId="0" borderId="0" xfId="0" applyFont="1" applyAlignment="1">
      <alignment horizontal="center" vertical="center" wrapText="1"/>
    </xf>
    <xf numFmtId="0" fontId="52" fillId="0" borderId="1" xfId="0" applyFont="1" applyBorder="1" applyAlignment="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4" xfId="0" applyFont="1" applyBorder="1" applyAlignment="1">
      <alignment horizontal="center" vertical="center" wrapText="1"/>
    </xf>
    <xf numFmtId="0" fontId="52" fillId="0" borderId="0" xfId="0" applyFont="1" applyAlignment="1">
      <alignment horizontal="center" vertical="center"/>
    </xf>
    <xf numFmtId="0" fontId="52" fillId="0" borderId="5" xfId="0" applyFont="1" applyBorder="1" applyAlignment="1">
      <alignment horizontal="center" vertical="center"/>
    </xf>
    <xf numFmtId="0" fontId="52" fillId="0" borderId="4" xfId="0" applyFont="1" applyBorder="1" applyAlignment="1">
      <alignment horizontal="center" vertical="center"/>
    </xf>
    <xf numFmtId="0" fontId="52" fillId="0" borderId="6" xfId="0" applyFont="1" applyBorder="1" applyAlignment="1">
      <alignment horizontal="center" vertical="center"/>
    </xf>
    <xf numFmtId="0" fontId="52" fillId="0" borderId="7" xfId="0" applyFont="1" applyBorder="1" applyAlignment="1">
      <alignment horizontal="center" vertical="center"/>
    </xf>
    <xf numFmtId="0" fontId="52" fillId="0" borderId="8" xfId="0" applyFont="1" applyBorder="1" applyAlignment="1">
      <alignment horizontal="center" vertical="center"/>
    </xf>
    <xf numFmtId="0" fontId="51" fillId="10" borderId="58" xfId="0" applyFont="1" applyFill="1" applyBorder="1" applyAlignment="1">
      <alignment horizontal="center" vertical="center" wrapText="1" readingOrder="1"/>
    </xf>
    <xf numFmtId="0" fontId="51" fillId="10" borderId="59" xfId="0" applyFont="1" applyFill="1" applyBorder="1" applyAlignment="1">
      <alignment horizontal="center" vertical="center" wrapText="1" readingOrder="1"/>
    </xf>
    <xf numFmtId="0" fontId="51" fillId="10" borderId="60" xfId="0" applyFont="1" applyFill="1" applyBorder="1" applyAlignment="1">
      <alignment horizontal="center" vertical="center" wrapText="1" readingOrder="1"/>
    </xf>
    <xf numFmtId="0" fontId="51" fillId="10" borderId="61"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2" xfId="0" applyFont="1" applyFill="1" applyBorder="1" applyAlignment="1">
      <alignment horizontal="center" vertical="center" wrapText="1" readingOrder="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1" fillId="4" borderId="58" xfId="0" applyFont="1" applyFill="1" applyBorder="1" applyAlignment="1">
      <alignment horizontal="center" vertical="center" wrapText="1" readingOrder="1"/>
    </xf>
    <xf numFmtId="0" fontId="51" fillId="4" borderId="59" xfId="0" applyFont="1" applyFill="1" applyBorder="1" applyAlignment="1">
      <alignment horizontal="center" vertical="center" wrapText="1" readingOrder="1"/>
    </xf>
    <xf numFmtId="0" fontId="51" fillId="4" borderId="60" xfId="0" applyFont="1" applyFill="1" applyBorder="1" applyAlignment="1">
      <alignment horizontal="center" vertical="center" wrapText="1" readingOrder="1"/>
    </xf>
    <xf numFmtId="0" fontId="51" fillId="4" borderId="61"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2"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9" borderId="58" xfId="0" applyFont="1" applyFill="1" applyBorder="1" applyAlignment="1">
      <alignment horizontal="center" vertical="center" wrapText="1" readingOrder="1"/>
    </xf>
    <xf numFmtId="0" fontId="51" fillId="9" borderId="59" xfId="0" applyFont="1" applyFill="1" applyBorder="1" applyAlignment="1">
      <alignment horizontal="center" vertical="center" wrapText="1" readingOrder="1"/>
    </xf>
    <xf numFmtId="0" fontId="51" fillId="9" borderId="60" xfId="0" applyFont="1" applyFill="1" applyBorder="1" applyAlignment="1">
      <alignment horizontal="center" vertical="center" wrapText="1" readingOrder="1"/>
    </xf>
    <xf numFmtId="0" fontId="51" fillId="9" borderId="61"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2"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11" borderId="58" xfId="0" applyFont="1" applyFill="1" applyBorder="1" applyAlignment="1">
      <alignment horizontal="center" vertical="center" wrapText="1" readingOrder="1"/>
    </xf>
    <xf numFmtId="0" fontId="51" fillId="11" borderId="59" xfId="0" applyFont="1" applyFill="1" applyBorder="1" applyAlignment="1">
      <alignment horizontal="center" vertical="center" wrapText="1" readingOrder="1"/>
    </xf>
    <xf numFmtId="0" fontId="51" fillId="11" borderId="60" xfId="0" applyFont="1" applyFill="1" applyBorder="1" applyAlignment="1">
      <alignment horizontal="center" vertical="center" wrapText="1" readingOrder="1"/>
    </xf>
    <xf numFmtId="0" fontId="51" fillId="11" borderId="61"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2"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2" fillId="0" borderId="2" xfId="0" applyFont="1" applyBorder="1" applyAlignment="1">
      <alignment horizontal="center" vertical="center" wrapText="1"/>
    </xf>
    <xf numFmtId="0" fontId="55" fillId="0" borderId="0" xfId="0" applyFont="1" applyAlignment="1">
      <alignment horizontal="center" vertical="center"/>
    </xf>
    <xf numFmtId="14" fontId="67" fillId="19" borderId="49" xfId="0" applyNumberFormat="1" applyFont="1" applyFill="1" applyBorder="1" applyAlignment="1">
      <alignment horizontal="center" vertical="center" wrapText="1"/>
    </xf>
    <xf numFmtId="14" fontId="68" fillId="19" borderId="49" xfId="0" applyNumberFormat="1" applyFont="1" applyFill="1" applyBorder="1" applyAlignment="1">
      <alignment horizontal="center" vertical="center" wrapText="1"/>
    </xf>
    <xf numFmtId="0" fontId="68" fillId="19" borderId="49" xfId="0" applyFont="1" applyFill="1" applyBorder="1" applyAlignment="1">
      <alignment horizontal="center" vertical="center"/>
    </xf>
    <xf numFmtId="0" fontId="56" fillId="19" borderId="49" xfId="0" applyFont="1" applyFill="1" applyBorder="1" applyAlignment="1">
      <alignment horizontal="center" vertical="center" wrapText="1"/>
    </xf>
    <xf numFmtId="14" fontId="67" fillId="16" borderId="49" xfId="0" applyNumberFormat="1" applyFont="1" applyFill="1" applyBorder="1" applyAlignment="1">
      <alignment horizontal="center" vertical="center" wrapText="1"/>
    </xf>
    <xf numFmtId="14" fontId="68" fillId="16" borderId="49" xfId="0" applyNumberFormat="1" applyFont="1" applyFill="1" applyBorder="1" applyAlignment="1">
      <alignment horizontal="center" vertical="center" wrapText="1"/>
    </xf>
    <xf numFmtId="0" fontId="68" fillId="16" borderId="49" xfId="0" applyFont="1" applyFill="1" applyBorder="1" applyAlignment="1">
      <alignment horizontal="center" vertical="center"/>
    </xf>
    <xf numFmtId="0" fontId="66" fillId="16"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56" fillId="0" borderId="0" xfId="0" applyFont="1" applyAlignment="1">
      <alignment horizontal="center" vertical="center"/>
    </xf>
    <xf numFmtId="0" fontId="57" fillId="12" borderId="42" xfId="0" applyFont="1" applyFill="1" applyBorder="1" applyAlignment="1">
      <alignment horizontal="center" vertical="center" wrapText="1" readingOrder="1"/>
    </xf>
    <xf numFmtId="0" fontId="57" fillId="12" borderId="43" xfId="0" applyFont="1" applyFill="1" applyBorder="1" applyAlignment="1">
      <alignment horizontal="center" vertical="center" wrapText="1" readingOrder="1"/>
    </xf>
    <xf numFmtId="0" fontId="57" fillId="12" borderId="44" xfId="0" applyFont="1" applyFill="1" applyBorder="1" applyAlignment="1">
      <alignment horizontal="center" vertical="center" wrapText="1" readingOrder="1"/>
    </xf>
    <xf numFmtId="0" fontId="58" fillId="2" borderId="0" xfId="0" applyFont="1" applyFill="1" applyAlignment="1">
      <alignment horizontal="justify" vertical="center" wrapText="1"/>
    </xf>
    <xf numFmtId="0" fontId="43" fillId="12" borderId="45" xfId="0" applyFont="1" applyFill="1" applyBorder="1" applyAlignment="1">
      <alignment horizontal="center" vertical="center" wrapText="1" readingOrder="1"/>
    </xf>
    <xf numFmtId="0" fontId="43" fillId="12" borderId="18" xfId="0" applyFont="1" applyFill="1" applyBorder="1" applyAlignment="1">
      <alignment horizontal="center" vertical="center" wrapText="1" readingOrder="1"/>
    </xf>
    <xf numFmtId="0" fontId="43" fillId="2" borderId="46" xfId="0" applyFont="1" applyFill="1" applyBorder="1" applyAlignment="1">
      <alignment horizontal="center" vertical="center" wrapText="1" readingOrder="1"/>
    </xf>
    <xf numFmtId="0" fontId="43" fillId="2" borderId="47" xfId="0" applyFont="1" applyFill="1" applyBorder="1" applyAlignment="1">
      <alignment horizontal="center" vertical="center" wrapText="1" readingOrder="1"/>
    </xf>
    <xf numFmtId="0" fontId="43" fillId="2" borderId="12" xfId="0"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3" fillId="2" borderId="48"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cellXfs>
  <cellStyles count="6">
    <cellStyle name="Hipervínculo" xfId="5" builtinId="8"/>
    <cellStyle name="Normal" xfId="0" builtinId="0"/>
    <cellStyle name="Normal - Style1 2" xfId="1"/>
    <cellStyle name="Normal 2" xfId="2"/>
    <cellStyle name="Normal 2 2" xfId="3"/>
    <cellStyle name="Porcentaje" xfId="4" builtinId="5"/>
  </cellStyles>
  <dxfs count="198">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pivotCacheDefinition" Target="pivotCache/pivotCacheDefinition1.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3</xdr:col>
      <xdr:colOff>2170957</xdr:colOff>
      <xdr:row>4</xdr:row>
      <xdr:rowOff>484909</xdr:rowOff>
    </xdr:to>
    <xdr:pic>
      <xdr:nvPicPr>
        <xdr:cNvPr id="3" name="Imagen 2">
          <a:extLst>
            <a:ext uri="{FF2B5EF4-FFF2-40B4-BE49-F238E27FC236}">
              <a16:creationId xmlns="" xmlns:a16="http://schemas.microsoft.com/office/drawing/2014/main"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Tecnolog&#237;as_de_la_informaci&#243;n_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Tecnolog&#237;as_de_la_Informaci&#243;n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Luisa.Moreno\Downloads\Mapa_de_Riesgos_Gesti&#243;n_de_Apoyo_Asistencial_y_Famac&#233;utico_2023%2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RIESGOS%202024\2024\Mapa_de_Riesgos_por_Proceso_2024\MR_Gesti&#243;n_Log&#237;stica.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nicolas.corredor\Downloads\MR_Gesti&#243;n_de_Adquisiciones_2024%2019012024%20final.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Financiera_202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Evaluaci&#243;n_mejoramiento_y_seguimiento_202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i%20unidad/HOMIL%20-NCR/ADMINISTRACI&#211;N%20DE%20RIESGOS/2024/RIESGOS%202024/Mapa_de_Riesgos_por_Proceso_2024/MR_Gesti&#243;n_Humana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Gesti&#243;n_Financiera_2023.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Mapa_de_Riesgos_Tecnolog&#237;as_de_la_Informaci&#243;n_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row r="221">
          <cell r="B221" t="e">
            <v>#NAME?</v>
          </cell>
        </row>
      </sheetData>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7"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197" dataDxfId="196">
  <autoFilter ref="B209:C219"/>
  <tableColumns count="2">
    <tableColumn id="1" name="Criterios" dataDxfId="195"/>
    <tableColumn id="2" name="Subcriterios" dataDxfId="194"/>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284" t="s">
        <v>0</v>
      </c>
      <c r="C2" s="285"/>
      <c r="D2" s="285"/>
      <c r="E2" s="285"/>
      <c r="F2" s="285"/>
      <c r="G2" s="285"/>
      <c r="H2" s="286"/>
    </row>
    <row r="3" spans="2:8" x14ac:dyDescent="0.25">
      <c r="B3" s="70"/>
      <c r="C3" s="71"/>
      <c r="D3" s="71"/>
      <c r="E3" s="71"/>
      <c r="F3" s="71"/>
      <c r="G3" s="71"/>
      <c r="H3" s="72"/>
    </row>
    <row r="4" spans="2:8" ht="63" customHeight="1" x14ac:dyDescent="0.25">
      <c r="B4" s="287" t="s">
        <v>1</v>
      </c>
      <c r="C4" s="288"/>
      <c r="D4" s="288"/>
      <c r="E4" s="288"/>
      <c r="F4" s="288"/>
      <c r="G4" s="288"/>
      <c r="H4" s="289"/>
    </row>
    <row r="5" spans="2:8" ht="63" customHeight="1" x14ac:dyDescent="0.25">
      <c r="B5" s="290"/>
      <c r="C5" s="291"/>
      <c r="D5" s="291"/>
      <c r="E5" s="291"/>
      <c r="F5" s="291"/>
      <c r="G5" s="291"/>
      <c r="H5" s="292"/>
    </row>
    <row r="6" spans="2:8" ht="16.5" x14ac:dyDescent="0.25">
      <c r="B6" s="293" t="s">
        <v>2</v>
      </c>
      <c r="C6" s="294"/>
      <c r="D6" s="294"/>
      <c r="E6" s="294"/>
      <c r="F6" s="294"/>
      <c r="G6" s="294"/>
      <c r="H6" s="295"/>
    </row>
    <row r="7" spans="2:8" ht="95.25" customHeight="1" x14ac:dyDescent="0.25">
      <c r="B7" s="303" t="s">
        <v>3</v>
      </c>
      <c r="C7" s="304"/>
      <c r="D7" s="304"/>
      <c r="E7" s="304"/>
      <c r="F7" s="304"/>
      <c r="G7" s="304"/>
      <c r="H7" s="305"/>
    </row>
    <row r="8" spans="2:8" ht="16.5" x14ac:dyDescent="0.25">
      <c r="B8" s="105"/>
      <c r="C8" s="106"/>
      <c r="D8" s="106"/>
      <c r="E8" s="106"/>
      <c r="F8" s="106"/>
      <c r="G8" s="106"/>
      <c r="H8" s="107"/>
    </row>
    <row r="9" spans="2:8" ht="16.5" customHeight="1" x14ac:dyDescent="0.25">
      <c r="B9" s="296" t="s">
        <v>4</v>
      </c>
      <c r="C9" s="297"/>
      <c r="D9" s="297"/>
      <c r="E9" s="297"/>
      <c r="F9" s="297"/>
      <c r="G9" s="297"/>
      <c r="H9" s="298"/>
    </row>
    <row r="10" spans="2:8" ht="44.25" customHeight="1" x14ac:dyDescent="0.25">
      <c r="B10" s="296"/>
      <c r="C10" s="297"/>
      <c r="D10" s="297"/>
      <c r="E10" s="297"/>
      <c r="F10" s="297"/>
      <c r="G10" s="297"/>
      <c r="H10" s="298"/>
    </row>
    <row r="11" spans="2:8" ht="15.75" thickBot="1" x14ac:dyDescent="0.3">
      <c r="B11" s="94"/>
      <c r="C11" s="97"/>
      <c r="D11" s="102"/>
      <c r="E11" s="103"/>
      <c r="F11" s="103"/>
      <c r="G11" s="104"/>
      <c r="H11" s="98"/>
    </row>
    <row r="12" spans="2:8" ht="15.75" thickTop="1" x14ac:dyDescent="0.25">
      <c r="B12" s="94"/>
      <c r="C12" s="299" t="s">
        <v>5</v>
      </c>
      <c r="D12" s="300"/>
      <c r="E12" s="301" t="s">
        <v>6</v>
      </c>
      <c r="F12" s="302"/>
      <c r="G12" s="97"/>
      <c r="H12" s="98"/>
    </row>
    <row r="13" spans="2:8" ht="35.25" customHeight="1" x14ac:dyDescent="0.25">
      <c r="B13" s="94"/>
      <c r="C13" s="280" t="s">
        <v>7</v>
      </c>
      <c r="D13" s="281"/>
      <c r="E13" s="282" t="s">
        <v>8</v>
      </c>
      <c r="F13" s="283"/>
      <c r="G13" s="97"/>
      <c r="H13" s="98"/>
    </row>
    <row r="14" spans="2:8" ht="17.25" customHeight="1" x14ac:dyDescent="0.25">
      <c r="B14" s="94"/>
      <c r="C14" s="280" t="s">
        <v>9</v>
      </c>
      <c r="D14" s="281"/>
      <c r="E14" s="282" t="s">
        <v>10</v>
      </c>
      <c r="F14" s="283"/>
      <c r="G14" s="97"/>
      <c r="H14" s="98"/>
    </row>
    <row r="15" spans="2:8" ht="19.5" customHeight="1" x14ac:dyDescent="0.25">
      <c r="B15" s="94"/>
      <c r="C15" s="280" t="s">
        <v>11</v>
      </c>
      <c r="D15" s="281"/>
      <c r="E15" s="282" t="s">
        <v>12</v>
      </c>
      <c r="F15" s="283"/>
      <c r="G15" s="97"/>
      <c r="H15" s="98"/>
    </row>
    <row r="16" spans="2:8" ht="69.75" customHeight="1" x14ac:dyDescent="0.25">
      <c r="B16" s="94"/>
      <c r="C16" s="280" t="s">
        <v>13</v>
      </c>
      <c r="D16" s="281"/>
      <c r="E16" s="282" t="s">
        <v>14</v>
      </c>
      <c r="F16" s="283"/>
      <c r="G16" s="97"/>
      <c r="H16" s="98"/>
    </row>
    <row r="17" spans="2:8" ht="34.5" customHeight="1" x14ac:dyDescent="0.25">
      <c r="B17" s="94"/>
      <c r="C17" s="269" t="s">
        <v>15</v>
      </c>
      <c r="D17" s="270"/>
      <c r="E17" s="267" t="s">
        <v>16</v>
      </c>
      <c r="F17" s="268"/>
      <c r="G17" s="97"/>
      <c r="H17" s="98"/>
    </row>
    <row r="18" spans="2:8" ht="27.75" customHeight="1" x14ac:dyDescent="0.25">
      <c r="B18" s="94"/>
      <c r="C18" s="269" t="s">
        <v>17</v>
      </c>
      <c r="D18" s="270"/>
      <c r="E18" s="267" t="s">
        <v>18</v>
      </c>
      <c r="F18" s="268"/>
      <c r="G18" s="97"/>
      <c r="H18" s="98"/>
    </row>
    <row r="19" spans="2:8" ht="28.5" customHeight="1" x14ac:dyDescent="0.25">
      <c r="B19" s="94"/>
      <c r="C19" s="269" t="s">
        <v>19</v>
      </c>
      <c r="D19" s="270"/>
      <c r="E19" s="267" t="s">
        <v>20</v>
      </c>
      <c r="F19" s="268"/>
      <c r="G19" s="97"/>
      <c r="H19" s="98"/>
    </row>
    <row r="20" spans="2:8" ht="72.75" customHeight="1" x14ac:dyDescent="0.25">
      <c r="B20" s="94"/>
      <c r="C20" s="269" t="s">
        <v>21</v>
      </c>
      <c r="D20" s="270"/>
      <c r="E20" s="267" t="s">
        <v>22</v>
      </c>
      <c r="F20" s="268"/>
      <c r="G20" s="97"/>
      <c r="H20" s="98"/>
    </row>
    <row r="21" spans="2:8" ht="64.5" customHeight="1" x14ac:dyDescent="0.25">
      <c r="B21" s="94"/>
      <c r="C21" s="269" t="s">
        <v>23</v>
      </c>
      <c r="D21" s="270"/>
      <c r="E21" s="267" t="s">
        <v>24</v>
      </c>
      <c r="F21" s="268"/>
      <c r="G21" s="97"/>
      <c r="H21" s="98"/>
    </row>
    <row r="22" spans="2:8" ht="71.25" customHeight="1" x14ac:dyDescent="0.25">
      <c r="B22" s="94"/>
      <c r="C22" s="269" t="s">
        <v>25</v>
      </c>
      <c r="D22" s="270"/>
      <c r="E22" s="267" t="s">
        <v>26</v>
      </c>
      <c r="F22" s="268"/>
      <c r="G22" s="97"/>
      <c r="H22" s="98"/>
    </row>
    <row r="23" spans="2:8" ht="55.5" customHeight="1" x14ac:dyDescent="0.25">
      <c r="B23" s="94"/>
      <c r="C23" s="274" t="s">
        <v>27</v>
      </c>
      <c r="D23" s="275"/>
      <c r="E23" s="267" t="s">
        <v>28</v>
      </c>
      <c r="F23" s="268"/>
      <c r="G23" s="97"/>
      <c r="H23" s="98"/>
    </row>
    <row r="24" spans="2:8" ht="42" customHeight="1" x14ac:dyDescent="0.25">
      <c r="B24" s="94"/>
      <c r="C24" s="274" t="s">
        <v>29</v>
      </c>
      <c r="D24" s="275"/>
      <c r="E24" s="267" t="s">
        <v>30</v>
      </c>
      <c r="F24" s="268"/>
      <c r="G24" s="97"/>
      <c r="H24" s="98"/>
    </row>
    <row r="25" spans="2:8" ht="59.25" customHeight="1" x14ac:dyDescent="0.25">
      <c r="B25" s="94"/>
      <c r="C25" s="274" t="s">
        <v>31</v>
      </c>
      <c r="D25" s="275"/>
      <c r="E25" s="267" t="s">
        <v>32</v>
      </c>
      <c r="F25" s="268"/>
      <c r="G25" s="97"/>
      <c r="H25" s="98"/>
    </row>
    <row r="26" spans="2:8" ht="23.25" customHeight="1" x14ac:dyDescent="0.25">
      <c r="B26" s="94"/>
      <c r="C26" s="274" t="s">
        <v>33</v>
      </c>
      <c r="D26" s="275"/>
      <c r="E26" s="267" t="s">
        <v>34</v>
      </c>
      <c r="F26" s="268"/>
      <c r="G26" s="97"/>
      <c r="H26" s="98"/>
    </row>
    <row r="27" spans="2:8" ht="30.75" customHeight="1" x14ac:dyDescent="0.25">
      <c r="B27" s="94"/>
      <c r="C27" s="274" t="s">
        <v>35</v>
      </c>
      <c r="D27" s="275"/>
      <c r="E27" s="267" t="s">
        <v>36</v>
      </c>
      <c r="F27" s="268"/>
      <c r="G27" s="97"/>
      <c r="H27" s="98"/>
    </row>
    <row r="28" spans="2:8" ht="35.25" customHeight="1" x14ac:dyDescent="0.25">
      <c r="B28" s="94"/>
      <c r="C28" s="274" t="s">
        <v>37</v>
      </c>
      <c r="D28" s="275"/>
      <c r="E28" s="267" t="s">
        <v>38</v>
      </c>
      <c r="F28" s="268"/>
      <c r="G28" s="97"/>
      <c r="H28" s="98"/>
    </row>
    <row r="29" spans="2:8" ht="33" customHeight="1" x14ac:dyDescent="0.25">
      <c r="B29" s="94"/>
      <c r="C29" s="274" t="s">
        <v>37</v>
      </c>
      <c r="D29" s="275"/>
      <c r="E29" s="267" t="s">
        <v>38</v>
      </c>
      <c r="F29" s="268"/>
      <c r="G29" s="97"/>
      <c r="H29" s="98"/>
    </row>
    <row r="30" spans="2:8" ht="30" customHeight="1" x14ac:dyDescent="0.25">
      <c r="B30" s="94"/>
      <c r="C30" s="274" t="s">
        <v>39</v>
      </c>
      <c r="D30" s="275"/>
      <c r="E30" s="267" t="s">
        <v>40</v>
      </c>
      <c r="F30" s="268"/>
      <c r="G30" s="97"/>
      <c r="H30" s="98"/>
    </row>
    <row r="31" spans="2:8" ht="35.25" customHeight="1" x14ac:dyDescent="0.25">
      <c r="B31" s="94"/>
      <c r="C31" s="274" t="s">
        <v>41</v>
      </c>
      <c r="D31" s="275"/>
      <c r="E31" s="267" t="s">
        <v>42</v>
      </c>
      <c r="F31" s="268"/>
      <c r="G31" s="97"/>
      <c r="H31" s="98"/>
    </row>
    <row r="32" spans="2:8" ht="31.5" customHeight="1" x14ac:dyDescent="0.25">
      <c r="B32" s="94"/>
      <c r="C32" s="274" t="s">
        <v>43</v>
      </c>
      <c r="D32" s="275"/>
      <c r="E32" s="267" t="s">
        <v>44</v>
      </c>
      <c r="F32" s="268"/>
      <c r="G32" s="97"/>
      <c r="H32" s="98"/>
    </row>
    <row r="33" spans="2:8" ht="35.25" customHeight="1" x14ac:dyDescent="0.25">
      <c r="B33" s="94"/>
      <c r="C33" s="274" t="s">
        <v>45</v>
      </c>
      <c r="D33" s="275"/>
      <c r="E33" s="267" t="s">
        <v>46</v>
      </c>
      <c r="F33" s="268"/>
      <c r="G33" s="97"/>
      <c r="H33" s="98"/>
    </row>
    <row r="34" spans="2:8" ht="59.25" customHeight="1" x14ac:dyDescent="0.25">
      <c r="B34" s="94"/>
      <c r="C34" s="274" t="s">
        <v>47</v>
      </c>
      <c r="D34" s="275"/>
      <c r="E34" s="267" t="s">
        <v>48</v>
      </c>
      <c r="F34" s="268"/>
      <c r="G34" s="97"/>
      <c r="H34" s="98"/>
    </row>
    <row r="35" spans="2:8" ht="29.25" customHeight="1" x14ac:dyDescent="0.25">
      <c r="B35" s="94"/>
      <c r="C35" s="274" t="s">
        <v>49</v>
      </c>
      <c r="D35" s="275"/>
      <c r="E35" s="267" t="s">
        <v>50</v>
      </c>
      <c r="F35" s="268"/>
      <c r="G35" s="97"/>
      <c r="H35" s="98"/>
    </row>
    <row r="36" spans="2:8" ht="82.5" customHeight="1" x14ac:dyDescent="0.25">
      <c r="B36" s="94"/>
      <c r="C36" s="274" t="s">
        <v>51</v>
      </c>
      <c r="D36" s="275"/>
      <c r="E36" s="267" t="s">
        <v>52</v>
      </c>
      <c r="F36" s="268"/>
      <c r="G36" s="97"/>
      <c r="H36" s="98"/>
    </row>
    <row r="37" spans="2:8" ht="46.5" customHeight="1" x14ac:dyDescent="0.25">
      <c r="B37" s="94"/>
      <c r="C37" s="274" t="s">
        <v>53</v>
      </c>
      <c r="D37" s="275"/>
      <c r="E37" s="267" t="s">
        <v>54</v>
      </c>
      <c r="F37" s="268"/>
      <c r="G37" s="97"/>
      <c r="H37" s="98"/>
    </row>
    <row r="38" spans="2:8" ht="6.75" customHeight="1" thickBot="1" x14ac:dyDescent="0.3">
      <c r="B38" s="94"/>
      <c r="C38" s="276"/>
      <c r="D38" s="277"/>
      <c r="E38" s="278"/>
      <c r="F38" s="279"/>
      <c r="G38" s="97"/>
      <c r="H38" s="98"/>
    </row>
    <row r="39" spans="2:8" ht="15.75" thickTop="1" x14ac:dyDescent="0.25">
      <c r="B39" s="94"/>
      <c r="C39" s="95"/>
      <c r="D39" s="95"/>
      <c r="E39" s="96"/>
      <c r="F39" s="96"/>
      <c r="G39" s="97"/>
      <c r="H39" s="98"/>
    </row>
    <row r="40" spans="2:8" ht="21" customHeight="1" x14ac:dyDescent="0.25">
      <c r="B40" s="271" t="s">
        <v>55</v>
      </c>
      <c r="C40" s="272"/>
      <c r="D40" s="272"/>
      <c r="E40" s="272"/>
      <c r="F40" s="272"/>
      <c r="G40" s="272"/>
      <c r="H40" s="273"/>
    </row>
    <row r="41" spans="2:8" ht="20.25" customHeight="1" x14ac:dyDescent="0.25">
      <c r="B41" s="271" t="s">
        <v>56</v>
      </c>
      <c r="C41" s="272"/>
      <c r="D41" s="272"/>
      <c r="E41" s="272"/>
      <c r="F41" s="272"/>
      <c r="G41" s="272"/>
      <c r="H41" s="273"/>
    </row>
    <row r="42" spans="2:8" ht="20.25" customHeight="1" x14ac:dyDescent="0.25">
      <c r="B42" s="271" t="s">
        <v>57</v>
      </c>
      <c r="C42" s="272"/>
      <c r="D42" s="272"/>
      <c r="E42" s="272"/>
      <c r="F42" s="272"/>
      <c r="G42" s="272"/>
      <c r="H42" s="273"/>
    </row>
    <row r="43" spans="2:8" ht="20.25" customHeight="1" x14ac:dyDescent="0.25">
      <c r="B43" s="271" t="s">
        <v>58</v>
      </c>
      <c r="C43" s="272"/>
      <c r="D43" s="272"/>
      <c r="E43" s="272"/>
      <c r="F43" s="272"/>
      <c r="G43" s="272"/>
      <c r="H43" s="273"/>
    </row>
    <row r="44" spans="2:8" x14ac:dyDescent="0.25">
      <c r="B44" s="271" t="s">
        <v>59</v>
      </c>
      <c r="C44" s="272"/>
      <c r="D44" s="272"/>
      <c r="E44" s="272"/>
      <c r="F44" s="272"/>
      <c r="G44" s="272"/>
      <c r="H44" s="273"/>
    </row>
    <row r="45" spans="2:8" ht="15.75" thickBot="1" x14ac:dyDescent="0.3">
      <c r="B45" s="99"/>
      <c r="C45" s="100"/>
      <c r="D45" s="100"/>
      <c r="E45" s="100"/>
      <c r="F45" s="100"/>
      <c r="G45" s="100"/>
      <c r="H45" s="101"/>
    </row>
  </sheetData>
  <mergeCells count="64">
    <mergeCell ref="B2:H2"/>
    <mergeCell ref="B4:H5"/>
    <mergeCell ref="B6:H6"/>
    <mergeCell ref="B9:H10"/>
    <mergeCell ref="C12:D12"/>
    <mergeCell ref="E12:F12"/>
    <mergeCell ref="B7:H7"/>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2:F22"/>
    <mergeCell ref="C22:D22"/>
    <mergeCell ref="E37:F37"/>
    <mergeCell ref="B40:H40"/>
    <mergeCell ref="C29:D29"/>
    <mergeCell ref="E29:F29"/>
    <mergeCell ref="E25:F25"/>
    <mergeCell ref="C28:D28"/>
    <mergeCell ref="E28:F2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250"/>
  <sheetViews>
    <sheetView tabSelected="1" view="pageBreakPreview" topLeftCell="A76" zoomScale="55" zoomScaleNormal="40" zoomScaleSheetLayoutView="55" zoomScalePageLayoutView="10" workbookViewId="0">
      <selection activeCell="A78" sqref="A78:A79"/>
    </sheetView>
  </sheetViews>
  <sheetFormatPr baseColWidth="10" defaultColWidth="11.42578125" defaultRowHeight="69" customHeight="1" x14ac:dyDescent="0.35"/>
  <cols>
    <col min="1" max="1" width="8.42578125" style="184" customWidth="1"/>
    <col min="2" max="2" width="22.28515625" style="181" customWidth="1"/>
    <col min="3" max="3" width="27.85546875" style="200" customWidth="1"/>
    <col min="4" max="4" width="40.140625" style="200" customWidth="1"/>
    <col min="5" max="5" width="28.28515625" style="184" customWidth="1"/>
    <col min="6" max="6" width="40.5703125" style="184" customWidth="1"/>
    <col min="7" max="7" width="50.42578125" style="184" customWidth="1"/>
    <col min="8" max="8" width="71.42578125" style="179" customWidth="1"/>
    <col min="9" max="12" width="18.42578125" style="179" customWidth="1"/>
    <col min="13" max="13" width="30.5703125" style="201" customWidth="1"/>
    <col min="14" max="14" width="32.85546875" style="201" customWidth="1"/>
    <col min="15" max="15" width="24.5703125" style="179" customWidth="1"/>
    <col min="16" max="16" width="27.85546875" style="179" customWidth="1"/>
    <col min="17" max="17" width="11.5703125" style="179" customWidth="1"/>
    <col min="18" max="19" width="34.5703125" style="179" customWidth="1"/>
    <col min="20" max="20" width="27.85546875" style="179" customWidth="1"/>
    <col min="21" max="21" width="10" style="179" customWidth="1"/>
    <col min="22" max="22" width="27.85546875" style="179" customWidth="1"/>
    <col min="23" max="23" width="11.85546875" style="203" customWidth="1"/>
    <col min="24" max="24" width="178" style="214" customWidth="1"/>
    <col min="25" max="25" width="21.85546875" style="179" customWidth="1"/>
    <col min="26" max="31" width="8.42578125" style="179" customWidth="1"/>
    <col min="32" max="32" width="24.7109375" style="179" customWidth="1"/>
    <col min="33" max="38" width="16.7109375" style="179" customWidth="1"/>
    <col min="39" max="39" width="56.140625" style="179" customWidth="1"/>
    <col min="40" max="40" width="31.7109375" style="179" customWidth="1"/>
    <col min="41" max="41" width="36.85546875" style="179" customWidth="1"/>
    <col min="42" max="42" width="31.42578125" style="179" customWidth="1"/>
    <col min="43" max="44" width="35.140625" style="179" customWidth="1"/>
    <col min="45" max="16384" width="11.42578125" style="179"/>
  </cols>
  <sheetData>
    <row r="1" spans="1:76" ht="67.5" customHeight="1" thickBot="1" x14ac:dyDescent="0.4">
      <c r="A1" s="364" t="s">
        <v>60</v>
      </c>
      <c r="B1" s="365"/>
      <c r="C1" s="365"/>
      <c r="D1" s="365"/>
      <c r="E1" s="365"/>
      <c r="F1" s="365"/>
      <c r="G1" s="365"/>
      <c r="H1" s="359" t="s">
        <v>61</v>
      </c>
      <c r="I1" s="359"/>
      <c r="J1" s="359"/>
      <c r="K1" s="359"/>
      <c r="L1" s="359"/>
      <c r="M1" s="359"/>
      <c r="N1" s="359"/>
      <c r="O1" s="359"/>
      <c r="P1" s="359"/>
      <c r="Q1" s="359"/>
      <c r="R1" s="359"/>
      <c r="S1" s="359"/>
      <c r="T1" s="359"/>
      <c r="U1" s="359"/>
      <c r="V1" s="359"/>
      <c r="W1" s="359"/>
      <c r="X1" s="359"/>
      <c r="Y1" s="359"/>
      <c r="Z1" s="359"/>
      <c r="AA1" s="359"/>
      <c r="AB1" s="359"/>
      <c r="AC1" s="359"/>
      <c r="AD1" s="359"/>
      <c r="AE1" s="359"/>
      <c r="AF1" s="359"/>
      <c r="AG1" s="359"/>
      <c r="AH1" s="359"/>
      <c r="AI1" s="359"/>
      <c r="AJ1" s="359"/>
      <c r="AK1" s="359"/>
      <c r="AL1" s="359"/>
      <c r="AM1" s="359"/>
      <c r="AN1" s="359"/>
      <c r="AO1" s="359"/>
      <c r="AP1" s="353" t="s">
        <v>62</v>
      </c>
      <c r="AQ1" s="353"/>
      <c r="AR1" s="354"/>
    </row>
    <row r="2" spans="1:76" ht="27" thickTop="1" thickBot="1" x14ac:dyDescent="0.4">
      <c r="A2" s="361"/>
      <c r="B2" s="321"/>
      <c r="C2" s="321"/>
      <c r="D2" s="321"/>
      <c r="E2" s="321"/>
      <c r="F2" s="321"/>
      <c r="G2" s="321"/>
      <c r="H2" s="309" t="s">
        <v>63</v>
      </c>
      <c r="I2" s="309"/>
      <c r="J2" s="309"/>
      <c r="K2" s="309"/>
      <c r="L2" s="309"/>
      <c r="M2" s="309"/>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309"/>
      <c r="AO2" s="309"/>
      <c r="AP2" s="355"/>
      <c r="AQ2" s="355"/>
      <c r="AR2" s="356"/>
    </row>
    <row r="3" spans="1:76" ht="27" thickTop="1" thickBot="1" x14ac:dyDescent="0.4">
      <c r="A3" s="361"/>
      <c r="B3" s="321"/>
      <c r="C3" s="321"/>
      <c r="D3" s="321"/>
      <c r="E3" s="321"/>
      <c r="F3" s="321"/>
      <c r="G3" s="321"/>
      <c r="H3" s="309"/>
      <c r="I3" s="309"/>
      <c r="J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55" t="s">
        <v>64</v>
      </c>
      <c r="AQ3" s="355"/>
      <c r="AR3" s="356"/>
    </row>
    <row r="4" spans="1:76" ht="27" thickTop="1" thickBot="1" x14ac:dyDescent="0.4">
      <c r="A4" s="361"/>
      <c r="B4" s="321"/>
      <c r="C4" s="321"/>
      <c r="D4" s="321"/>
      <c r="E4" s="321"/>
      <c r="F4" s="321"/>
      <c r="G4" s="321"/>
      <c r="H4" s="309" t="s">
        <v>65</v>
      </c>
      <c r="I4" s="309"/>
      <c r="J4" s="309"/>
      <c r="K4" s="30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55" t="s">
        <v>66</v>
      </c>
      <c r="AQ4" s="355"/>
      <c r="AR4" s="356"/>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row>
    <row r="5" spans="1:76" ht="72.75" customHeight="1" thickTop="1" thickBot="1" x14ac:dyDescent="0.4">
      <c r="A5" s="362"/>
      <c r="B5" s="363"/>
      <c r="C5" s="363"/>
      <c r="D5" s="363"/>
      <c r="E5" s="363"/>
      <c r="F5" s="363"/>
      <c r="G5" s="363"/>
      <c r="H5" s="360" t="s">
        <v>67</v>
      </c>
      <c r="I5" s="360"/>
      <c r="J5" s="360"/>
      <c r="K5" s="360"/>
      <c r="L5" s="360"/>
      <c r="M5" s="360"/>
      <c r="N5" s="360"/>
      <c r="O5" s="360"/>
      <c r="P5" s="360"/>
      <c r="Q5" s="360"/>
      <c r="R5" s="360"/>
      <c r="S5" s="360"/>
      <c r="T5" s="360"/>
      <c r="U5" s="360"/>
      <c r="V5" s="360"/>
      <c r="W5" s="360"/>
      <c r="X5" s="360"/>
      <c r="Y5" s="360"/>
      <c r="Z5" s="360"/>
      <c r="AA5" s="360"/>
      <c r="AB5" s="360"/>
      <c r="AC5" s="360"/>
      <c r="AD5" s="360"/>
      <c r="AE5" s="360"/>
      <c r="AF5" s="360"/>
      <c r="AG5" s="360"/>
      <c r="AH5" s="360"/>
      <c r="AI5" s="360"/>
      <c r="AJ5" s="360"/>
      <c r="AK5" s="360"/>
      <c r="AL5" s="360"/>
      <c r="AM5" s="360"/>
      <c r="AN5" s="360"/>
      <c r="AO5" s="360"/>
      <c r="AP5" s="357" t="s">
        <v>68</v>
      </c>
      <c r="AQ5" s="357"/>
      <c r="AR5" s="358"/>
      <c r="AS5" s="180"/>
      <c r="AT5" s="180"/>
      <c r="AU5" s="180"/>
      <c r="AV5" s="180"/>
      <c r="AW5" s="180"/>
      <c r="AX5" s="180"/>
      <c r="AY5" s="180"/>
      <c r="AZ5" s="180"/>
      <c r="BA5" s="180"/>
      <c r="BB5" s="180"/>
      <c r="BC5" s="180"/>
      <c r="BD5" s="180"/>
      <c r="BE5" s="180"/>
      <c r="BF5" s="180"/>
      <c r="BG5" s="180"/>
      <c r="BH5" s="180"/>
      <c r="BI5" s="180"/>
      <c r="BJ5" s="180"/>
      <c r="BK5" s="180"/>
      <c r="BL5" s="180"/>
      <c r="BM5" s="180"/>
      <c r="BN5" s="180"/>
      <c r="BO5" s="180"/>
      <c r="BP5" s="180"/>
      <c r="BQ5" s="180"/>
      <c r="BR5" s="180"/>
      <c r="BS5" s="180"/>
      <c r="BT5" s="180"/>
      <c r="BU5" s="180"/>
      <c r="BV5" s="180"/>
      <c r="BW5" s="180"/>
      <c r="BX5" s="180"/>
    </row>
    <row r="6" spans="1:76" ht="26.25" thickBot="1" x14ac:dyDescent="0.4">
      <c r="A6" s="181"/>
      <c r="C6" s="182"/>
      <c r="D6" s="182"/>
      <c r="E6" s="253"/>
      <c r="F6" s="181"/>
      <c r="G6" s="181"/>
      <c r="H6" s="180"/>
      <c r="I6" s="180"/>
      <c r="J6" s="180"/>
      <c r="K6" s="180"/>
      <c r="L6" s="180"/>
      <c r="M6" s="183"/>
      <c r="N6" s="183"/>
      <c r="O6" s="180"/>
      <c r="P6" s="180"/>
      <c r="Q6" s="180"/>
      <c r="R6" s="180"/>
      <c r="S6" s="180"/>
      <c r="T6" s="180"/>
      <c r="U6" s="180"/>
      <c r="V6" s="180"/>
      <c r="W6" s="202"/>
      <c r="X6" s="164"/>
      <c r="Y6" s="180"/>
      <c r="Z6" s="180"/>
      <c r="AA6" s="180"/>
      <c r="AB6" s="180"/>
      <c r="AC6" s="180"/>
      <c r="AD6" s="180"/>
      <c r="AE6" s="180"/>
      <c r="AF6" s="180"/>
      <c r="AG6" s="180"/>
      <c r="AH6" s="180"/>
      <c r="AI6" s="180"/>
      <c r="AJ6" s="180"/>
      <c r="AK6" s="180"/>
      <c r="AL6" s="180"/>
      <c r="AM6" s="180"/>
      <c r="AN6" s="180"/>
      <c r="AO6" s="399"/>
      <c r="AP6" s="399"/>
      <c r="AQ6" s="399"/>
      <c r="AR6" s="399"/>
      <c r="AS6" s="180"/>
      <c r="AT6" s="180"/>
      <c r="AU6" s="180"/>
      <c r="AV6" s="180"/>
      <c r="AW6" s="180"/>
      <c r="AX6" s="180"/>
      <c r="AY6" s="180"/>
      <c r="AZ6" s="180"/>
      <c r="BA6" s="180"/>
      <c r="BB6" s="180"/>
      <c r="BC6" s="180"/>
      <c r="BD6" s="180"/>
      <c r="BE6" s="180"/>
      <c r="BF6" s="180"/>
      <c r="BG6" s="180"/>
      <c r="BH6" s="180"/>
      <c r="BI6" s="180"/>
      <c r="BJ6" s="180"/>
      <c r="BK6" s="180"/>
      <c r="BL6" s="180"/>
      <c r="BM6" s="180"/>
      <c r="BN6" s="180"/>
      <c r="BO6" s="180"/>
      <c r="BP6" s="180"/>
      <c r="BQ6" s="180"/>
      <c r="BR6" s="180"/>
      <c r="BS6" s="180"/>
      <c r="BT6" s="180"/>
      <c r="BU6" s="180"/>
      <c r="BV6" s="180"/>
      <c r="BW6" s="180"/>
      <c r="BX6" s="180"/>
    </row>
    <row r="7" spans="1:76" ht="143.25" customHeight="1" thickBot="1" x14ac:dyDescent="0.4">
      <c r="A7" s="374" t="s">
        <v>69</v>
      </c>
      <c r="B7" s="375"/>
      <c r="C7" s="375"/>
      <c r="D7" s="375"/>
      <c r="E7" s="375"/>
      <c r="F7" s="380" t="s">
        <v>1226</v>
      </c>
      <c r="G7" s="381"/>
      <c r="H7" s="381"/>
      <c r="I7" s="381"/>
      <c r="J7" s="381"/>
      <c r="K7" s="381"/>
      <c r="L7" s="381"/>
      <c r="M7" s="381"/>
      <c r="N7" s="381"/>
      <c r="O7" s="381"/>
      <c r="P7" s="381"/>
      <c r="Q7" s="381"/>
      <c r="R7" s="381"/>
      <c r="S7" s="381"/>
      <c r="T7" s="381"/>
      <c r="U7" s="381"/>
      <c r="V7" s="382"/>
      <c r="W7" s="388"/>
      <c r="X7" s="388"/>
      <c r="Y7" s="388"/>
      <c r="Z7" s="180"/>
      <c r="AA7" s="180"/>
      <c r="AB7" s="180"/>
      <c r="AC7" s="180"/>
      <c r="AD7" s="180"/>
      <c r="AE7" s="180"/>
      <c r="AF7" s="180"/>
      <c r="AG7" s="180"/>
      <c r="AH7" s="180"/>
      <c r="AI7" s="180"/>
      <c r="AJ7" s="180"/>
      <c r="AK7" s="180"/>
      <c r="AL7" s="180"/>
      <c r="AM7" s="180"/>
      <c r="AN7" s="180"/>
      <c r="AO7" s="180"/>
      <c r="AP7" s="180"/>
      <c r="AQ7" s="180"/>
      <c r="AR7" s="180"/>
      <c r="AS7" s="180"/>
      <c r="AT7" s="180"/>
      <c r="AU7" s="180"/>
      <c r="AV7" s="180"/>
      <c r="AW7" s="180"/>
      <c r="AX7" s="180"/>
      <c r="AY7" s="180"/>
      <c r="AZ7" s="180"/>
      <c r="BA7" s="180"/>
      <c r="BB7" s="180"/>
      <c r="BC7" s="180"/>
      <c r="BD7" s="180"/>
      <c r="BE7" s="180"/>
      <c r="BF7" s="180"/>
      <c r="BG7" s="180"/>
      <c r="BH7" s="180"/>
      <c r="BI7" s="180"/>
      <c r="BJ7" s="180"/>
      <c r="BK7" s="180"/>
      <c r="BL7" s="180"/>
      <c r="BM7" s="180"/>
      <c r="BN7" s="180"/>
      <c r="BO7" s="180"/>
      <c r="BP7" s="180"/>
      <c r="BQ7" s="180"/>
      <c r="BR7" s="180"/>
      <c r="BS7" s="180"/>
      <c r="BT7" s="180"/>
      <c r="BU7" s="180"/>
      <c r="BV7" s="180"/>
      <c r="BW7" s="180"/>
      <c r="BX7" s="180"/>
    </row>
    <row r="8" spans="1:76" ht="57.75" customHeight="1" thickTop="1" thickBot="1" x14ac:dyDescent="0.4">
      <c r="A8" s="376" t="s">
        <v>70</v>
      </c>
      <c r="B8" s="377"/>
      <c r="C8" s="377"/>
      <c r="D8" s="377"/>
      <c r="E8" s="377"/>
      <c r="F8" s="383" t="s">
        <v>965</v>
      </c>
      <c r="G8" s="383"/>
      <c r="H8" s="383"/>
      <c r="I8" s="383"/>
      <c r="J8" s="383"/>
      <c r="K8" s="383"/>
      <c r="L8" s="383"/>
      <c r="M8" s="383"/>
      <c r="N8" s="383"/>
      <c r="O8" s="383"/>
      <c r="P8" s="383"/>
      <c r="Q8" s="383"/>
      <c r="R8" s="383"/>
      <c r="S8" s="383"/>
      <c r="T8" s="383"/>
      <c r="U8" s="383"/>
      <c r="V8" s="384"/>
      <c r="W8" s="202"/>
      <c r="X8" s="164"/>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180"/>
      <c r="AZ8" s="180"/>
      <c r="BA8" s="180"/>
      <c r="BB8" s="180"/>
      <c r="BC8" s="180"/>
      <c r="BD8" s="180"/>
      <c r="BE8" s="180"/>
      <c r="BF8" s="180"/>
      <c r="BG8" s="180"/>
      <c r="BH8" s="180"/>
      <c r="BI8" s="180"/>
      <c r="BJ8" s="180"/>
      <c r="BK8" s="180"/>
      <c r="BL8" s="180"/>
      <c r="BM8" s="180"/>
      <c r="BN8" s="180"/>
      <c r="BO8" s="180"/>
      <c r="BP8" s="180"/>
      <c r="BQ8" s="180"/>
      <c r="BR8" s="180"/>
      <c r="BS8" s="180"/>
      <c r="BT8" s="180"/>
      <c r="BU8" s="180"/>
      <c r="BV8" s="180"/>
      <c r="BW8" s="180"/>
      <c r="BX8" s="180"/>
    </row>
    <row r="9" spans="1:76" ht="75.75" customHeight="1" thickTop="1" thickBot="1" x14ac:dyDescent="0.4">
      <c r="A9" s="378" t="s">
        <v>71</v>
      </c>
      <c r="B9" s="379"/>
      <c r="C9" s="379"/>
      <c r="D9" s="379"/>
      <c r="E9" s="379"/>
      <c r="F9" s="366" t="s">
        <v>926</v>
      </c>
      <c r="G9" s="366"/>
      <c r="H9" s="366"/>
      <c r="I9" s="366"/>
      <c r="J9" s="366"/>
      <c r="K9" s="366"/>
      <c r="L9" s="366"/>
      <c r="M9" s="366"/>
      <c r="N9" s="366"/>
      <c r="O9" s="366"/>
      <c r="P9" s="366"/>
      <c r="Q9" s="366"/>
      <c r="R9" s="366"/>
      <c r="S9" s="366"/>
      <c r="T9" s="366"/>
      <c r="U9" s="366"/>
      <c r="V9" s="367"/>
      <c r="W9" s="202"/>
      <c r="X9" s="164"/>
      <c r="Y9" s="180"/>
      <c r="Z9" s="180"/>
      <c r="AA9" s="180"/>
      <c r="AB9" s="180"/>
      <c r="AC9" s="180"/>
      <c r="AD9" s="180"/>
      <c r="AE9" s="180"/>
      <c r="AF9" s="180"/>
      <c r="AG9" s="180"/>
      <c r="AH9" s="180"/>
      <c r="AI9" s="180"/>
      <c r="AJ9" s="180"/>
      <c r="AK9" s="180"/>
      <c r="AL9" s="180"/>
      <c r="AM9" s="180"/>
      <c r="AN9" s="180"/>
      <c r="AO9" s="180"/>
      <c r="AP9" s="180"/>
      <c r="AQ9" s="180"/>
      <c r="AR9" s="180"/>
      <c r="AS9" s="180"/>
      <c r="AT9" s="180"/>
      <c r="AU9" s="180"/>
      <c r="AV9" s="180"/>
      <c r="AW9" s="180"/>
      <c r="AX9" s="180"/>
      <c r="AY9" s="180"/>
      <c r="AZ9" s="180"/>
      <c r="BA9" s="180"/>
      <c r="BB9" s="180"/>
      <c r="BC9" s="180"/>
      <c r="BD9" s="180"/>
      <c r="BE9" s="180"/>
      <c r="BF9" s="180"/>
      <c r="BG9" s="180"/>
      <c r="BH9" s="180"/>
      <c r="BI9" s="180"/>
      <c r="BJ9" s="180"/>
      <c r="BK9" s="180"/>
      <c r="BL9" s="180"/>
      <c r="BM9" s="180"/>
      <c r="BN9" s="180"/>
      <c r="BO9" s="180"/>
      <c r="BP9" s="180"/>
      <c r="BQ9" s="180"/>
      <c r="BR9" s="180"/>
      <c r="BS9" s="180"/>
      <c r="BT9" s="180"/>
      <c r="BU9" s="180"/>
      <c r="BV9" s="180"/>
      <c r="BW9" s="180"/>
      <c r="BX9" s="180"/>
    </row>
    <row r="10" spans="1:76" s="176" customFormat="1" ht="57.75" customHeight="1" thickBot="1" x14ac:dyDescent="0.45">
      <c r="A10" s="395" t="s">
        <v>72</v>
      </c>
      <c r="B10" s="396"/>
      <c r="C10" s="396"/>
      <c r="D10" s="396"/>
      <c r="E10" s="396"/>
      <c r="F10" s="396"/>
      <c r="G10" s="396"/>
      <c r="H10" s="396"/>
      <c r="I10" s="396"/>
      <c r="J10" s="396"/>
      <c r="K10" s="396"/>
      <c r="L10" s="396"/>
      <c r="M10" s="396"/>
      <c r="N10" s="396"/>
      <c r="O10" s="396"/>
      <c r="P10" s="397" t="s">
        <v>73</v>
      </c>
      <c r="Q10" s="397"/>
      <c r="R10" s="397"/>
      <c r="S10" s="397"/>
      <c r="T10" s="397"/>
      <c r="U10" s="397"/>
      <c r="V10" s="397"/>
      <c r="W10" s="398" t="s">
        <v>74</v>
      </c>
      <c r="X10" s="398"/>
      <c r="Y10" s="398"/>
      <c r="Z10" s="398"/>
      <c r="AA10" s="398"/>
      <c r="AB10" s="398"/>
      <c r="AC10" s="398"/>
      <c r="AD10" s="398"/>
      <c r="AE10" s="398"/>
      <c r="AF10" s="391" t="s">
        <v>75</v>
      </c>
      <c r="AG10" s="391"/>
      <c r="AH10" s="391"/>
      <c r="AI10" s="391"/>
      <c r="AJ10" s="391"/>
      <c r="AK10" s="391"/>
      <c r="AL10" s="391"/>
      <c r="AM10" s="393" t="s">
        <v>76</v>
      </c>
      <c r="AN10" s="393"/>
      <c r="AO10" s="393"/>
      <c r="AP10" s="393"/>
      <c r="AQ10" s="393"/>
      <c r="AR10" s="394"/>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row>
    <row r="11" spans="1:76" s="176" customFormat="1" ht="70.5" customHeight="1" thickTop="1" thickBot="1" x14ac:dyDescent="0.45">
      <c r="A11" s="385" t="s">
        <v>77</v>
      </c>
      <c r="B11" s="351" t="s">
        <v>78</v>
      </c>
      <c r="C11" s="351" t="s">
        <v>7</v>
      </c>
      <c r="D11" s="351" t="s">
        <v>951</v>
      </c>
      <c r="E11" s="369" t="s">
        <v>15</v>
      </c>
      <c r="F11" s="351" t="s">
        <v>17</v>
      </c>
      <c r="G11" s="351" t="s">
        <v>19</v>
      </c>
      <c r="H11" s="369" t="s">
        <v>21</v>
      </c>
      <c r="I11" s="386" t="s">
        <v>79</v>
      </c>
      <c r="J11" s="387"/>
      <c r="K11" s="387"/>
      <c r="L11" s="387"/>
      <c r="M11" s="351" t="s">
        <v>23</v>
      </c>
      <c r="N11" s="351" t="s">
        <v>80</v>
      </c>
      <c r="O11" s="351" t="s">
        <v>81</v>
      </c>
      <c r="P11" s="352" t="s">
        <v>82</v>
      </c>
      <c r="Q11" s="368" t="s">
        <v>83</v>
      </c>
      <c r="R11" s="352" t="s">
        <v>84</v>
      </c>
      <c r="S11" s="352" t="s">
        <v>85</v>
      </c>
      <c r="T11" s="352" t="s">
        <v>86</v>
      </c>
      <c r="U11" s="368" t="s">
        <v>83</v>
      </c>
      <c r="V11" s="352" t="s">
        <v>29</v>
      </c>
      <c r="W11" s="401" t="s">
        <v>87</v>
      </c>
      <c r="X11" s="390" t="s">
        <v>970</v>
      </c>
      <c r="Y11" s="390" t="s">
        <v>33</v>
      </c>
      <c r="Z11" s="390" t="s">
        <v>88</v>
      </c>
      <c r="AA11" s="390"/>
      <c r="AB11" s="390"/>
      <c r="AC11" s="390"/>
      <c r="AD11" s="390"/>
      <c r="AE11" s="390"/>
      <c r="AF11" s="389" t="s">
        <v>89</v>
      </c>
      <c r="AG11" s="389" t="s">
        <v>90</v>
      </c>
      <c r="AH11" s="389" t="s">
        <v>83</v>
      </c>
      <c r="AI11" s="389" t="s">
        <v>91</v>
      </c>
      <c r="AJ11" s="389" t="s">
        <v>83</v>
      </c>
      <c r="AK11" s="389" t="s">
        <v>92</v>
      </c>
      <c r="AL11" s="389" t="s">
        <v>49</v>
      </c>
      <c r="AM11" s="392" t="s">
        <v>971</v>
      </c>
      <c r="AN11" s="392" t="s">
        <v>93</v>
      </c>
      <c r="AO11" s="392" t="s">
        <v>94</v>
      </c>
      <c r="AP11" s="392" t="s">
        <v>95</v>
      </c>
      <c r="AQ11" s="392" t="s">
        <v>1079</v>
      </c>
      <c r="AR11" s="400" t="s">
        <v>53</v>
      </c>
      <c r="AS11" s="175"/>
      <c r="AT11" s="175"/>
      <c r="AU11" s="175"/>
      <c r="AV11" s="175"/>
      <c r="AW11" s="175"/>
      <c r="AX11" s="175"/>
      <c r="AY11" s="175"/>
      <c r="AZ11" s="175"/>
      <c r="BA11" s="175"/>
      <c r="BB11" s="175"/>
      <c r="BC11" s="175"/>
      <c r="BD11" s="175"/>
      <c r="BE11" s="175"/>
      <c r="BF11" s="175"/>
      <c r="BG11" s="175"/>
      <c r="BH11" s="175"/>
      <c r="BI11" s="175"/>
      <c r="BJ11" s="175"/>
      <c r="BK11" s="175"/>
      <c r="BL11" s="175"/>
      <c r="BM11" s="175"/>
      <c r="BN11" s="175"/>
      <c r="BO11" s="175"/>
      <c r="BP11" s="175"/>
      <c r="BQ11" s="175"/>
      <c r="BR11" s="175"/>
      <c r="BS11" s="175"/>
      <c r="BT11" s="175"/>
      <c r="BU11" s="175"/>
      <c r="BV11" s="175"/>
      <c r="BW11" s="175"/>
      <c r="BX11" s="175"/>
    </row>
    <row r="12" spans="1:76" s="178" customFormat="1" ht="207.75" customHeight="1" thickTop="1" thickBot="1" x14ac:dyDescent="0.3">
      <c r="A12" s="385"/>
      <c r="B12" s="351"/>
      <c r="C12" s="351"/>
      <c r="D12" s="351"/>
      <c r="E12" s="369"/>
      <c r="F12" s="351"/>
      <c r="G12" s="351"/>
      <c r="H12" s="369"/>
      <c r="I12" s="204" t="s">
        <v>96</v>
      </c>
      <c r="J12" s="204" t="s">
        <v>97</v>
      </c>
      <c r="K12" s="205" t="s">
        <v>98</v>
      </c>
      <c r="L12" s="204" t="s">
        <v>99</v>
      </c>
      <c r="M12" s="351"/>
      <c r="N12" s="351"/>
      <c r="O12" s="351"/>
      <c r="P12" s="352"/>
      <c r="Q12" s="368"/>
      <c r="R12" s="352"/>
      <c r="S12" s="352"/>
      <c r="T12" s="368"/>
      <c r="U12" s="368"/>
      <c r="V12" s="352"/>
      <c r="W12" s="401"/>
      <c r="X12" s="390"/>
      <c r="Y12" s="390"/>
      <c r="Z12" s="206" t="s">
        <v>100</v>
      </c>
      <c r="AA12" s="206" t="s">
        <v>101</v>
      </c>
      <c r="AB12" s="206" t="s">
        <v>102</v>
      </c>
      <c r="AC12" s="206" t="s">
        <v>103</v>
      </c>
      <c r="AD12" s="206" t="s">
        <v>104</v>
      </c>
      <c r="AE12" s="206" t="s">
        <v>105</v>
      </c>
      <c r="AF12" s="389"/>
      <c r="AG12" s="389"/>
      <c r="AH12" s="389"/>
      <c r="AI12" s="389"/>
      <c r="AJ12" s="389"/>
      <c r="AK12" s="389"/>
      <c r="AL12" s="389"/>
      <c r="AM12" s="392"/>
      <c r="AN12" s="392"/>
      <c r="AO12" s="392"/>
      <c r="AP12" s="392"/>
      <c r="AQ12" s="392"/>
      <c r="AR12" s="400"/>
      <c r="AS12" s="177"/>
      <c r="AT12" s="177"/>
      <c r="AU12" s="177"/>
      <c r="AV12" s="177"/>
      <c r="AW12" s="177"/>
      <c r="AX12" s="177"/>
      <c r="AY12" s="177"/>
      <c r="AZ12" s="177"/>
      <c r="BA12" s="177"/>
      <c r="BB12" s="177"/>
      <c r="BC12" s="177"/>
      <c r="BD12" s="177"/>
      <c r="BE12" s="177"/>
      <c r="BF12" s="177"/>
      <c r="BG12" s="177"/>
      <c r="BH12" s="177"/>
      <c r="BI12" s="177"/>
      <c r="BJ12" s="177"/>
      <c r="BK12" s="177"/>
      <c r="BL12" s="177"/>
      <c r="BM12" s="177"/>
      <c r="BN12" s="177"/>
      <c r="BO12" s="177"/>
      <c r="BP12" s="177"/>
      <c r="BQ12" s="177"/>
      <c r="BR12" s="177"/>
      <c r="BS12" s="177"/>
      <c r="BT12" s="177"/>
      <c r="BU12" s="177"/>
      <c r="BV12" s="177"/>
      <c r="BW12" s="177"/>
      <c r="BX12" s="177"/>
    </row>
    <row r="13" spans="1:76" s="191" customFormat="1" ht="174" customHeight="1" thickTop="1" thickBot="1" x14ac:dyDescent="0.3">
      <c r="A13" s="310">
        <v>1</v>
      </c>
      <c r="B13" s="327" t="s">
        <v>471</v>
      </c>
      <c r="C13" s="315" t="s">
        <v>265</v>
      </c>
      <c r="D13" s="315" t="s">
        <v>962</v>
      </c>
      <c r="E13" s="315" t="s">
        <v>240</v>
      </c>
      <c r="F13" s="332" t="s">
        <v>472</v>
      </c>
      <c r="G13" s="332" t="s">
        <v>473</v>
      </c>
      <c r="H13" s="333" t="s">
        <v>1083</v>
      </c>
      <c r="I13" s="320" t="s">
        <v>474</v>
      </c>
      <c r="J13" s="320" t="s">
        <v>474</v>
      </c>
      <c r="K13" s="320" t="s">
        <v>474</v>
      </c>
      <c r="L13" s="320" t="s">
        <v>474</v>
      </c>
      <c r="M13" s="315" t="s">
        <v>239</v>
      </c>
      <c r="N13" s="315"/>
      <c r="O13" s="321">
        <v>5000</v>
      </c>
      <c r="P13" s="322" t="str">
        <f>IF(O13&lt;=0,"",IF(O13&lt;=2,"Muy Baja",IF(O13&lt;=24,"Baja",IF(O13&lt;=500,"Media",IF(O13&lt;=5000,"Alta","Muy Alta")))))</f>
        <v>Alta</v>
      </c>
      <c r="Q13" s="323">
        <f>IF(P13="","",IF(P13="Muy Baja",0.2,IF(P13="Baja",0.4,IF(P13="Media",0.6,IF(P13="Alta",0.8,IF(P13="Muy Alta",1,))))))</f>
        <v>0.8</v>
      </c>
      <c r="R13" s="323" t="s">
        <v>187</v>
      </c>
      <c r="S13" s="323"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322"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323">
        <f ca="1">IF(T13="","",IF(T13="Leve",0.2,IF(T13="Menor",0.4,IF(T13="Moderado",0.6,IF(T13="Mayor",0.8,IF(T13="Catastrófico",1,))))))</f>
        <v>0.4</v>
      </c>
      <c r="V13" s="309"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252">
        <v>1</v>
      </c>
      <c r="X13" s="207" t="s">
        <v>972</v>
      </c>
      <c r="Y13" s="250" t="str">
        <f>IF(OR(Z13="Preventivo",Z13="Detectivo"),"Probabilidad",IF(Z13="Correctivo","Impacto",""))</f>
        <v>Probabilidad</v>
      </c>
      <c r="Z13" s="185" t="s">
        <v>208</v>
      </c>
      <c r="AA13" s="185" t="s">
        <v>216</v>
      </c>
      <c r="AB13" s="186" t="str">
        <f>IF(AND(Z13="Preventivo",AA13="Automático"),"50%",IF(AND(Z13="Preventivo",AA13="Manual"),"40%",IF(AND(Z13="Detectivo",AA13="Automático"),"40%",IF(AND(Z13="Detectivo",AA13="Manual"),"30%",IF(AND(Z13="Correctivo",AA13="Automático"),"35%",IF(AND(Z13="Correctivo",AA13="Manual"),"25%",""))))))</f>
        <v>40%</v>
      </c>
      <c r="AC13" s="185" t="s">
        <v>219</v>
      </c>
      <c r="AD13" s="185" t="s">
        <v>224</v>
      </c>
      <c r="AE13" s="185" t="s">
        <v>228</v>
      </c>
      <c r="AF13" s="187">
        <f>IFERROR(IF(Y13="Probabilidad",(Q13-(+Q13*AB13)),IF(Y13="Impacto",Q13,"")),"")</f>
        <v>0.48</v>
      </c>
      <c r="AG13" s="188" t="str">
        <f>IFERROR(IF(AF13="","",IF(AF13&lt;=0.2,"Muy Baja",IF(AF13&lt;=0.4,"Baja",IF(AF13&lt;=0.6,"Media",IF(AF13&lt;=0.8,"Alta","Muy Alta"))))),"")</f>
        <v>Media</v>
      </c>
      <c r="AH13" s="186">
        <f>+AF13</f>
        <v>0.48</v>
      </c>
      <c r="AI13" s="188" t="str">
        <f ca="1">IFERROR(IF(AJ13="","",IF(AJ13&lt;=0.2,"Leve",IF(AJ13&lt;=0.4,"Menor",IF(AJ13&lt;=0.6,"Moderado",IF(AJ13&lt;=0.8,"Mayor","Catastrófico"))))),"")</f>
        <v>Menor</v>
      </c>
      <c r="AJ13" s="186">
        <f ca="1">IFERROR(IF(Y13="Impacto",(U13-(+U13*AB13)),IF(Y13="Probabilidad",U13,"")),"")</f>
        <v>0.4</v>
      </c>
      <c r="AK13" s="189"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185" t="s">
        <v>255</v>
      </c>
      <c r="AM13" s="246"/>
      <c r="AN13" s="250"/>
      <c r="AO13" s="245"/>
      <c r="AP13" s="245"/>
      <c r="AQ13" s="246"/>
      <c r="AR13" s="247"/>
      <c r="AS13" s="190"/>
      <c r="AT13" s="190"/>
      <c r="AU13" s="190"/>
      <c r="AV13" s="190"/>
      <c r="AW13" s="190"/>
      <c r="AX13" s="190"/>
      <c r="AY13" s="190"/>
      <c r="AZ13" s="190"/>
      <c r="BA13" s="190"/>
      <c r="BB13" s="190"/>
      <c r="BC13" s="190"/>
      <c r="BD13" s="190"/>
      <c r="BE13" s="190"/>
      <c r="BF13" s="190"/>
      <c r="BG13" s="190"/>
      <c r="BH13" s="190"/>
      <c r="BI13" s="190"/>
      <c r="BJ13" s="190"/>
      <c r="BK13" s="190"/>
      <c r="BL13" s="190"/>
      <c r="BM13" s="190"/>
      <c r="BN13" s="190"/>
      <c r="BO13" s="190"/>
      <c r="BP13" s="190"/>
      <c r="BQ13" s="190"/>
      <c r="BR13" s="190"/>
      <c r="BS13" s="190"/>
      <c r="BT13" s="190"/>
      <c r="BU13" s="190"/>
      <c r="BV13" s="190"/>
      <c r="BW13" s="190"/>
      <c r="BX13" s="190"/>
    </row>
    <row r="14" spans="1:76" s="191" customFormat="1" ht="174" customHeight="1" thickTop="1" thickBot="1" x14ac:dyDescent="0.3">
      <c r="A14" s="310"/>
      <c r="B14" s="327"/>
      <c r="C14" s="315"/>
      <c r="D14" s="315"/>
      <c r="E14" s="315"/>
      <c r="F14" s="332"/>
      <c r="G14" s="332"/>
      <c r="H14" s="333"/>
      <c r="I14" s="320"/>
      <c r="J14" s="320"/>
      <c r="K14" s="320"/>
      <c r="L14" s="320"/>
      <c r="M14" s="315"/>
      <c r="N14" s="315"/>
      <c r="O14" s="321"/>
      <c r="P14" s="322"/>
      <c r="Q14" s="323"/>
      <c r="R14" s="323"/>
      <c r="S14" s="323">
        <f ca="1">IF(NOT(ISERROR(MATCH(R14,_xlfn.ANCHORARRAY(H17),0))),Q19&amp;"Por favor no seleccionar los criterios de impacto",R14)</f>
        <v>0</v>
      </c>
      <c r="T14" s="322"/>
      <c r="U14" s="323"/>
      <c r="V14" s="309"/>
      <c r="W14" s="252">
        <v>2</v>
      </c>
      <c r="X14" s="208" t="s">
        <v>475</v>
      </c>
      <c r="Y14" s="250" t="str">
        <f t="shared" ref="Y14:Y15" si="0">IF(OR(Z14="Preventivo",Z14="Detectivo"),"Probabilidad",IF(Z14="Correctivo","Impacto",""))</f>
        <v>Probabilidad</v>
      </c>
      <c r="Z14" s="185" t="s">
        <v>208</v>
      </c>
      <c r="AA14" s="185" t="s">
        <v>216</v>
      </c>
      <c r="AB14" s="186" t="str">
        <f t="shared" ref="AB14:AB41" si="1">IF(AND(Z14="Preventivo",AA14="Automático"),"50%",IF(AND(Z14="Preventivo",AA14="Manual"),"40%",IF(AND(Z14="Detectivo",AA14="Automático"),"40%",IF(AND(Z14="Detectivo",AA14="Manual"),"30%",IF(AND(Z14="Correctivo",AA14="Automático"),"35%",IF(AND(Z14="Correctivo",AA14="Manual"),"25%",""))))))</f>
        <v>40%</v>
      </c>
      <c r="AC14" s="185" t="s">
        <v>219</v>
      </c>
      <c r="AD14" s="185" t="s">
        <v>224</v>
      </c>
      <c r="AE14" s="185" t="s">
        <v>228</v>
      </c>
      <c r="AF14" s="187">
        <f>IFERROR(IF(AND(Y13="Probabilidad",Y14="Probabilidad"),(AH13-(+AH13*AB14)),IF(Y14="Probabilidad",(Q13-(+Q13*AB14)),IF(Y14="Impacto",AH13,""))),"")</f>
        <v>0.28799999999999998</v>
      </c>
      <c r="AG14" s="188" t="str">
        <f t="shared" ref="AG14:AG15" si="2">IFERROR(IF(AF14="","",IF(AF14&lt;=0.2,"Muy Baja",IF(AF14&lt;=0.4,"Baja",IF(AF14&lt;=0.6,"Media",IF(AF14&lt;=0.8,"Alta","Muy Alta"))))),"")</f>
        <v>Baja</v>
      </c>
      <c r="AH14" s="186">
        <f t="shared" ref="AH14:AH15" si="3">+AF14</f>
        <v>0.28799999999999998</v>
      </c>
      <c r="AI14" s="188" t="str">
        <f t="shared" ref="AI14:AI15" ca="1" si="4">IFERROR(IF(AJ14="","",IF(AJ14&lt;=0.2,"Leve",IF(AJ14&lt;=0.4,"Menor",IF(AJ14&lt;=0.6,"Moderado",IF(AJ14&lt;=0.8,"Mayor","Catastrófico"))))),"")</f>
        <v>Menor</v>
      </c>
      <c r="AJ14" s="186">
        <f ca="1">IFERROR(IF(AND(Y13="Impacto",Y14="Impacto"),(AJ13-(+AJ13*AB14)),IF(Y14="Impacto",(U13-(+U13*AB14)),IF(Y14="Probabilidad",AJ13,""))),"")</f>
        <v>0.4</v>
      </c>
      <c r="AK14" s="189" t="str">
        <f t="shared" ref="AK14:AK15" ca="1" si="5">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185" t="s">
        <v>255</v>
      </c>
      <c r="AM14" s="246"/>
      <c r="AN14" s="250"/>
      <c r="AO14" s="245"/>
      <c r="AP14" s="245"/>
      <c r="AQ14" s="246"/>
      <c r="AR14" s="247"/>
      <c r="AS14" s="190"/>
      <c r="AT14" s="190"/>
      <c r="AU14" s="190"/>
      <c r="AV14" s="190"/>
      <c r="AW14" s="190"/>
      <c r="AX14" s="190"/>
      <c r="AY14" s="190"/>
      <c r="AZ14" s="190"/>
      <c r="BA14" s="190"/>
      <c r="BB14" s="190"/>
      <c r="BC14" s="190"/>
      <c r="BD14" s="190"/>
      <c r="BE14" s="190"/>
      <c r="BF14" s="190"/>
      <c r="BG14" s="190"/>
      <c r="BH14" s="190"/>
      <c r="BI14" s="190"/>
      <c r="BJ14" s="190"/>
      <c r="BK14" s="190"/>
      <c r="BL14" s="190"/>
      <c r="BM14" s="190"/>
      <c r="BN14" s="190"/>
      <c r="BO14" s="190"/>
      <c r="BP14" s="190"/>
      <c r="BQ14" s="190"/>
      <c r="BR14" s="190"/>
      <c r="BS14" s="190"/>
      <c r="BT14" s="190"/>
      <c r="BU14" s="190"/>
      <c r="BV14" s="190"/>
      <c r="BW14" s="190"/>
      <c r="BX14" s="190"/>
    </row>
    <row r="15" spans="1:76" s="191" customFormat="1" ht="126.75" customHeight="1" thickTop="1" thickBot="1" x14ac:dyDescent="0.3">
      <c r="A15" s="310">
        <v>2</v>
      </c>
      <c r="B15" s="327" t="s">
        <v>476</v>
      </c>
      <c r="C15" s="315" t="s">
        <v>265</v>
      </c>
      <c r="D15" s="315" t="s">
        <v>963</v>
      </c>
      <c r="E15" s="315" t="s">
        <v>240</v>
      </c>
      <c r="F15" s="332" t="s">
        <v>477</v>
      </c>
      <c r="G15" s="332" t="s">
        <v>478</v>
      </c>
      <c r="H15" s="333" t="s">
        <v>1084</v>
      </c>
      <c r="I15" s="320" t="s">
        <v>474</v>
      </c>
      <c r="J15" s="320" t="s">
        <v>474</v>
      </c>
      <c r="K15" s="320" t="s">
        <v>474</v>
      </c>
      <c r="L15" s="320" t="s">
        <v>474</v>
      </c>
      <c r="M15" s="315" t="s">
        <v>239</v>
      </c>
      <c r="N15" s="315"/>
      <c r="O15" s="321">
        <v>500</v>
      </c>
      <c r="P15" s="322" t="str">
        <f>IF(O15&lt;=0,"",IF(O15&lt;=2,"Muy Baja",IF(O15&lt;=24,"Baja",IF(O15&lt;=500,"Media",IF(O15&lt;=5000,"Alta","Muy Alta")))))</f>
        <v>Media</v>
      </c>
      <c r="Q15" s="323">
        <f>IF(P15="","",IF(P15="Muy Baja",0.2,IF(P15="Baja",0.4,IF(P15="Media",0.6,IF(P15="Alta",0.8,IF(P15="Muy Alta",1,))))))</f>
        <v>0.6</v>
      </c>
      <c r="R15" s="323" t="s">
        <v>190</v>
      </c>
      <c r="S15" s="323" t="str">
        <f ca="1">IF(NOT(ISERROR(MATCH(R15,'Tabla Impacto'!$B$221:$B$223,0))),'Tabla Impacto'!$F$223&amp;"Por favor no seleccionar los criterios de impacto(Afectación Económica o presupuestal y Pérdida Reputacional)",R15)</f>
        <v>El riesgo afecta la imagen de la entidad con algunos usuarios de relevancia frente al logro de los objetivos</v>
      </c>
      <c r="T15" s="322" t="str">
        <f ca="1">+IF(OR(S15='[1]Tabla Impacto'!$C$11,S15='[1]Tabla Impacto'!$D$11),"Leve",IF(OR(S15='[1]Tabla Impacto'!$C$12,S15='[1]Tabla Impacto'!$D$12),"Menor",IF(OR(S15='[1]Tabla Impacto'!$C$13,S15='[1]Tabla Impacto'!$D$13),"Moderado",IF(OR(S15='[1]Tabla Impacto'!$C$14,S15='[1]Tabla Impacto'!$D$14),"Mayor",IF(OR(S15='[1]Tabla Impacto'!$C$15,S15='[1]Tabla Impacto'!$D$15),"Catastrófico","")))))</f>
        <v>Moderado</v>
      </c>
      <c r="U15" s="323">
        <f t="shared" ref="U15" ca="1" si="6">IF(T15="","",IF(T15="Leve",0.2,IF(T15="Menor",0.4,IF(T15="Moderado",0.6,IF(T15="Mayor",0.8,IF(T15="Catastrófico",1,))))))</f>
        <v>0.6</v>
      </c>
      <c r="V15" s="309" t="str">
        <f t="shared" ref="V15" ca="1" si="7">IF(OR(AND(P15="Muy Baja",T15="Leve"),AND(P15="Muy Baja",T15="Menor"),AND(P15="Baja",T15="Leve")),"Bajo",IF(OR(AND(P15="Muy baja",T15="Moderado"),AND(P15="Baja",T15="Menor"),AND(P15="Baja",T15="Moderado"),AND(P15="Media",T15="Leve"),AND(P15="Media",T15="Menor"),AND(P15="Media",T15="Moderado"),AND(P15="Alta",T15="Leve"),AND(P15="Alta",T15="Menor")),"Moderado",IF(OR(AND(P15="Muy Baja",T15="Mayor"),AND(P15="Baja",T15="Mayor"),AND(P15="Media",T15="Mayor"),AND(P15="Alta",T15="Moderado"),AND(P15="Alta",T15="Mayor"),AND(P15="Muy Alta",T15="Leve"),AND(P15="Muy Alta",T15="Menor"),AND(P15="Muy Alta",T15="Moderado"),AND(P15="Muy Alta",T15="Mayor")),"Alto",IF(OR(AND(P15="Muy Baja",T15="Catastrófico"),AND(P15="Baja",T15="Catastrófico"),AND(P15="Media",T15="Catastrófico"),AND(P15="Alta",T15="Catastrófico"),AND(P15="Muy Alta",T15="Catastrófico")),"Extremo",""))))</f>
        <v>Moderado</v>
      </c>
      <c r="W15" s="252">
        <v>1</v>
      </c>
      <c r="X15" s="207" t="s">
        <v>479</v>
      </c>
      <c r="Y15" s="250" t="str">
        <f t="shared" si="0"/>
        <v>Probabilidad</v>
      </c>
      <c r="Z15" s="185" t="s">
        <v>208</v>
      </c>
      <c r="AA15" s="185" t="s">
        <v>216</v>
      </c>
      <c r="AB15" s="186" t="str">
        <f t="shared" si="1"/>
        <v>40%</v>
      </c>
      <c r="AC15" s="185" t="s">
        <v>219</v>
      </c>
      <c r="AD15" s="185" t="s">
        <v>224</v>
      </c>
      <c r="AE15" s="185" t="s">
        <v>228</v>
      </c>
      <c r="AF15" s="187">
        <f>IFERROR(IF(Y15="Probabilidad",(Q15-(+Q15*AB15)),IF(Y15="Impacto",Q15,"")),"")</f>
        <v>0.36</v>
      </c>
      <c r="AG15" s="188" t="str">
        <f t="shared" si="2"/>
        <v>Baja</v>
      </c>
      <c r="AH15" s="186">
        <f t="shared" si="3"/>
        <v>0.36</v>
      </c>
      <c r="AI15" s="188" t="str">
        <f t="shared" ca="1" si="4"/>
        <v>Moderado</v>
      </c>
      <c r="AJ15" s="186">
        <f t="shared" ref="AJ15" ca="1" si="8">IFERROR(IF(Y15="Impacto",(U15-(+U15*AB15)),IF(Y15="Probabilidad",U15,"")),"")</f>
        <v>0.6</v>
      </c>
      <c r="AK15" s="189" t="str">
        <f t="shared" ca="1" si="5"/>
        <v>Moderado</v>
      </c>
      <c r="AL15" s="185" t="s">
        <v>255</v>
      </c>
      <c r="AM15" s="246"/>
      <c r="AN15" s="250"/>
      <c r="AO15" s="245"/>
      <c r="AP15" s="245"/>
      <c r="AQ15" s="246"/>
      <c r="AR15" s="247"/>
      <c r="AS15" s="190"/>
      <c r="AT15" s="190"/>
      <c r="AU15" s="190"/>
      <c r="AV15" s="190"/>
      <c r="AW15" s="190"/>
      <c r="AX15" s="190"/>
      <c r="AY15" s="190"/>
      <c r="AZ15" s="190"/>
      <c r="BA15" s="190"/>
      <c r="BB15" s="190"/>
      <c r="BC15" s="190"/>
      <c r="BD15" s="190"/>
      <c r="BE15" s="190"/>
      <c r="BF15" s="190"/>
      <c r="BG15" s="190"/>
      <c r="BH15" s="190"/>
      <c r="BI15" s="190"/>
      <c r="BJ15" s="190"/>
      <c r="BK15" s="190"/>
      <c r="BL15" s="190"/>
      <c r="BM15" s="190"/>
      <c r="BN15" s="190"/>
      <c r="BO15" s="190"/>
      <c r="BP15" s="190"/>
      <c r="BQ15" s="190"/>
      <c r="BR15" s="190"/>
      <c r="BS15" s="190"/>
      <c r="BT15" s="190"/>
      <c r="BU15" s="190"/>
      <c r="BV15" s="190"/>
      <c r="BW15" s="190"/>
      <c r="BX15" s="190"/>
    </row>
    <row r="16" spans="1:76" s="191" customFormat="1" ht="144" customHeight="1" thickTop="1" thickBot="1" x14ac:dyDescent="0.3">
      <c r="A16" s="310"/>
      <c r="B16" s="327"/>
      <c r="C16" s="315"/>
      <c r="D16" s="315"/>
      <c r="E16" s="315"/>
      <c r="F16" s="332"/>
      <c r="G16" s="332"/>
      <c r="H16" s="333"/>
      <c r="I16" s="320"/>
      <c r="J16" s="320"/>
      <c r="K16" s="320"/>
      <c r="L16" s="320"/>
      <c r="M16" s="315"/>
      <c r="N16" s="315"/>
      <c r="O16" s="321"/>
      <c r="P16" s="322"/>
      <c r="Q16" s="323"/>
      <c r="R16" s="323"/>
      <c r="S16" s="323">
        <f ca="1">IF(NOT(ISERROR(MATCH(R16,_xlfn.ANCHORARRAY(H20),0))),#REF!&amp;"Por favor no seleccionar los criterios de impacto",R16)</f>
        <v>0</v>
      </c>
      <c r="T16" s="322"/>
      <c r="U16" s="323"/>
      <c r="V16" s="309"/>
      <c r="W16" s="252">
        <v>2</v>
      </c>
      <c r="X16" s="207" t="s">
        <v>480</v>
      </c>
      <c r="Y16" s="250" t="str">
        <f t="shared" ref="Y16:Y22" si="9">IF(OR(Z16="Preventivo",Z16="Detectivo"),"Probabilidad",IF(Z16="Correctivo","Impacto",""))</f>
        <v>Probabilidad</v>
      </c>
      <c r="Z16" s="185" t="s">
        <v>208</v>
      </c>
      <c r="AA16" s="185" t="s">
        <v>216</v>
      </c>
      <c r="AB16" s="186" t="str">
        <f t="shared" si="1"/>
        <v>40%</v>
      </c>
      <c r="AC16" s="185" t="s">
        <v>219</v>
      </c>
      <c r="AD16" s="185" t="s">
        <v>224</v>
      </c>
      <c r="AE16" s="185" t="s">
        <v>228</v>
      </c>
      <c r="AF16" s="187">
        <f>IFERROR(IF(AND(Y15="Probabilidad",Y16="Probabilidad"),(AH15-(+AH15*AB16)),IF(Y16="Probabilidad",(Q15-(+Q15*AB16)),IF(Y16="Impacto",AH15,""))),"")</f>
        <v>0.216</v>
      </c>
      <c r="AG16" s="188" t="str">
        <f t="shared" ref="AG16:AG22" si="10">IFERROR(IF(AF16="","",IF(AF16&lt;=0.2,"Muy Baja",IF(AF16&lt;=0.4,"Baja",IF(AF16&lt;=0.6,"Media",IF(AF16&lt;=0.8,"Alta","Muy Alta"))))),"")</f>
        <v>Baja</v>
      </c>
      <c r="AH16" s="186">
        <f t="shared" ref="AH16:AH22" si="11">+AF16</f>
        <v>0.216</v>
      </c>
      <c r="AI16" s="188" t="str">
        <f t="shared" ref="AI16:AI22" ca="1" si="12">IFERROR(IF(AJ16="","",IF(AJ16&lt;=0.2,"Leve",IF(AJ16&lt;=0.4,"Menor",IF(AJ16&lt;=0.6,"Moderado",IF(AJ16&lt;=0.8,"Mayor","Catastrófico"))))),"")</f>
        <v>Moderado</v>
      </c>
      <c r="AJ16" s="186">
        <f t="shared" ref="AJ16" ca="1" si="13">IFERROR(IF(AND(Y15="Impacto",Y16="Impacto"),(AJ15-(+AJ15*AB16)),IF(Y16="Impacto",(U15-(+U15*AB16)),IF(Y16="Probabilidad",AJ15,""))),"")</f>
        <v>0.6</v>
      </c>
      <c r="AK16" s="189" t="str">
        <f t="shared" ref="AK16:AK22" ca="1" si="14">IFERROR(IF(OR(AND(AG16="Muy Baja",AI16="Leve"),AND(AG16="Muy Baja",AI16="Menor"),AND(AG16="Baja",AI16="Leve")),"Bajo",IF(OR(AND(AG16="Muy baja",AI16="Moderado"),AND(AG16="Baja",AI16="Menor"),AND(AG16="Baja",AI16="Moderado"),AND(AG16="Media",AI16="Leve"),AND(AG16="Media",AI16="Menor"),AND(AG16="Media",AI16="Moderado"),AND(AG16="Alta",AI16="Leve"),AND(AG16="Alta",AI16="Menor")),"Moderado",IF(OR(AND(AG16="Muy Baja",AI16="Mayor"),AND(AG16="Baja",AI16="Mayor"),AND(AG16="Media",AI16="Mayor"),AND(AG16="Alta",AI16="Moderado"),AND(AG16="Alta",AI16="Mayor"),AND(AG16="Muy Alta",AI16="Leve"),AND(AG16="Muy Alta",AI16="Menor"),AND(AG16="Muy Alta",AI16="Moderado"),AND(AG16="Muy Alta",AI16="Mayor")),"Alto",IF(OR(AND(AG16="Muy Baja",AI16="Catastrófico"),AND(AG16="Baja",AI16="Catastrófico"),AND(AG16="Media",AI16="Catastrófico"),AND(AG16="Alta",AI16="Catastrófico"),AND(AG16="Muy Alta",AI16="Catastrófico")),"Extremo","")))),"")</f>
        <v>Moderado</v>
      </c>
      <c r="AL16" s="185" t="s">
        <v>255</v>
      </c>
      <c r="AM16" s="246"/>
      <c r="AN16" s="250"/>
      <c r="AO16" s="245"/>
      <c r="AP16" s="245"/>
      <c r="AQ16" s="246"/>
      <c r="AR16" s="247"/>
      <c r="AS16" s="190"/>
      <c r="AT16" s="190"/>
      <c r="AU16" s="190"/>
      <c r="AV16" s="190"/>
      <c r="AW16" s="190"/>
      <c r="AX16" s="190"/>
      <c r="AY16" s="190"/>
      <c r="AZ16" s="190"/>
      <c r="BA16" s="190"/>
      <c r="BB16" s="190"/>
      <c r="BC16" s="190"/>
      <c r="BD16" s="190"/>
      <c r="BE16" s="190"/>
      <c r="BF16" s="190"/>
      <c r="BG16" s="190"/>
      <c r="BH16" s="190"/>
      <c r="BI16" s="190"/>
      <c r="BJ16" s="190"/>
      <c r="BK16" s="190"/>
      <c r="BL16" s="190"/>
      <c r="BM16" s="190"/>
      <c r="BN16" s="190"/>
      <c r="BO16" s="190"/>
      <c r="BP16" s="190"/>
      <c r="BQ16" s="190"/>
      <c r="BR16" s="190"/>
      <c r="BS16" s="190"/>
      <c r="BT16" s="190"/>
      <c r="BU16" s="190"/>
      <c r="BV16" s="190"/>
      <c r="BW16" s="190"/>
      <c r="BX16" s="190"/>
    </row>
    <row r="17" spans="1:76" s="191" customFormat="1" ht="238.5" customHeight="1" thickTop="1" thickBot="1" x14ac:dyDescent="0.3">
      <c r="A17" s="310">
        <v>3</v>
      </c>
      <c r="B17" s="327" t="s">
        <v>481</v>
      </c>
      <c r="C17" s="315" t="s">
        <v>266</v>
      </c>
      <c r="D17" s="315" t="s">
        <v>482</v>
      </c>
      <c r="E17" s="315" t="s">
        <v>240</v>
      </c>
      <c r="F17" s="332" t="s">
        <v>483</v>
      </c>
      <c r="G17" s="332" t="s">
        <v>484</v>
      </c>
      <c r="H17" s="333" t="s">
        <v>1085</v>
      </c>
      <c r="I17" s="320" t="s">
        <v>474</v>
      </c>
      <c r="J17" s="320" t="s">
        <v>474</v>
      </c>
      <c r="K17" s="320" t="s">
        <v>474</v>
      </c>
      <c r="L17" s="320" t="s">
        <v>474</v>
      </c>
      <c r="M17" s="315" t="s">
        <v>239</v>
      </c>
      <c r="N17" s="315"/>
      <c r="O17" s="321">
        <v>1</v>
      </c>
      <c r="P17" s="322" t="str">
        <f>IF(O17&lt;=0,"",IF(O17&lt;=2,"Muy Baja",IF(O17&lt;=24,"Baja",IF(O17&lt;=500,"Media",IF(O17&lt;=5000,"Alta","Muy Alta")))))</f>
        <v>Muy Baja</v>
      </c>
      <c r="Q17" s="323">
        <f>IF(P17="","",IF(P17="Muy Baja",0.2,IF(P17="Baja",0.4,IF(P17="Media",0.6,IF(P17="Alta",0.8,IF(P17="Muy Alta",1,))))))</f>
        <v>0.2</v>
      </c>
      <c r="R17" s="323" t="s">
        <v>192</v>
      </c>
      <c r="S17" s="323" t="str">
        <f ca="1">IF(NOT(ISERROR(MATCH(R17,'Tabla Impacto'!$B$221:$B$223,0))),'Tabla Impacto'!$F$223&amp;"Por favor no seleccionar los criterios de impacto(Afectación Económica o presupuestal y Pérdida Reputacional)",R17)</f>
        <v xml:space="preserve">Entre 100 y 500 SMLMV </v>
      </c>
      <c r="T17" s="322" t="str">
        <f ca="1">+IF(OR(S17='[1]Tabla Impacto'!$C$11,S17='[1]Tabla Impacto'!$D$11),"Leve",IF(OR(S17='[1]Tabla Impacto'!$C$12,S17='[1]Tabla Impacto'!$D$12),"Menor",IF(OR(S17='[1]Tabla Impacto'!$C$13,S17='[1]Tabla Impacto'!$D$13),"Moderado",IF(OR(S17='[1]Tabla Impacto'!$C$14,S17='[1]Tabla Impacto'!$D$14),"Mayor",IF(OR(S17='[1]Tabla Impacto'!$C$15,S17='[1]Tabla Impacto'!$D$15),"Catastrófico","")))))</f>
        <v>Mayor</v>
      </c>
      <c r="U17" s="323">
        <f t="shared" ref="U17" ca="1" si="15">IF(T17="","",IF(T17="Leve",0.2,IF(T17="Menor",0.4,IF(T17="Moderado",0.6,IF(T17="Mayor",0.8,IF(T17="Catastrófico",1,))))))</f>
        <v>0.8</v>
      </c>
      <c r="V17" s="309" t="str">
        <f t="shared" ref="V17" ca="1" si="16">IF(OR(AND(P17="Muy Baja",T17="Leve"),AND(P17="Muy Baja",T17="Menor"),AND(P17="Baja",T17="Leve")),"Bajo",IF(OR(AND(P17="Muy baja",T17="Moderado"),AND(P17="Baja",T17="Menor"),AND(P17="Baja",T17="Moderado"),AND(P17="Media",T17="Leve"),AND(P17="Media",T17="Menor"),AND(P17="Media",T17="Moderado"),AND(P17="Alta",T17="Leve"),AND(P17="Alta",T17="Menor")),"Moderado",IF(OR(AND(P17="Muy Baja",T17="Mayor"),AND(P17="Baja",T17="Mayor"),AND(P17="Media",T17="Mayor"),AND(P17="Alta",T17="Moderado"),AND(P17="Alta",T17="Mayor"),AND(P17="Muy Alta",T17="Leve"),AND(P17="Muy Alta",T17="Menor"),AND(P17="Muy Alta",T17="Moderado"),AND(P17="Muy Alta",T17="Mayor")),"Alto",IF(OR(AND(P17="Muy Baja",T17="Catastrófico"),AND(P17="Baja",T17="Catastrófico"),AND(P17="Media",T17="Catastrófico"),AND(P17="Alta",T17="Catastrófico"),AND(P17="Muy Alta",T17="Catastrófico")),"Extremo",""))))</f>
        <v>Alto</v>
      </c>
      <c r="W17" s="252">
        <v>1</v>
      </c>
      <c r="X17" s="207" t="s">
        <v>485</v>
      </c>
      <c r="Y17" s="250" t="str">
        <f t="shared" si="9"/>
        <v>Probabilidad</v>
      </c>
      <c r="Z17" s="185" t="s">
        <v>208</v>
      </c>
      <c r="AA17" s="185" t="s">
        <v>216</v>
      </c>
      <c r="AB17" s="186" t="str">
        <f t="shared" si="1"/>
        <v>40%</v>
      </c>
      <c r="AC17" s="185" t="s">
        <v>219</v>
      </c>
      <c r="AD17" s="185" t="s">
        <v>224</v>
      </c>
      <c r="AE17" s="185" t="s">
        <v>228</v>
      </c>
      <c r="AF17" s="187">
        <f>IFERROR(IF(Y17="Probabilidad",(Q17-(+Q17*AB17)),IF(Y17="Impacto",Q17,"")),"")</f>
        <v>0.12</v>
      </c>
      <c r="AG17" s="188" t="str">
        <f t="shared" si="10"/>
        <v>Muy Baja</v>
      </c>
      <c r="AH17" s="186">
        <f t="shared" si="11"/>
        <v>0.12</v>
      </c>
      <c r="AI17" s="188" t="str">
        <f t="shared" ca="1" si="12"/>
        <v>Mayor</v>
      </c>
      <c r="AJ17" s="186">
        <f t="shared" ref="AJ17" ca="1" si="17">IFERROR(IF(Y17="Impacto",(U17-(+U17*AB17)),IF(Y17="Probabilidad",U17,"")),"")</f>
        <v>0.8</v>
      </c>
      <c r="AK17" s="189" t="str">
        <f t="shared" ca="1" si="14"/>
        <v>Alto</v>
      </c>
      <c r="AL17" s="185" t="s">
        <v>262</v>
      </c>
      <c r="AM17" s="246" t="s">
        <v>488</v>
      </c>
      <c r="AN17" s="246" t="s">
        <v>489</v>
      </c>
      <c r="AO17" s="245" t="s">
        <v>490</v>
      </c>
      <c r="AP17" s="245" t="s">
        <v>490</v>
      </c>
      <c r="AQ17" s="246" t="s">
        <v>491</v>
      </c>
      <c r="AR17" s="247" t="s">
        <v>259</v>
      </c>
      <c r="AS17" s="190"/>
      <c r="AT17" s="190"/>
      <c r="AU17" s="190"/>
      <c r="AV17" s="190"/>
      <c r="AW17" s="190"/>
      <c r="AX17" s="190"/>
      <c r="AY17" s="190"/>
      <c r="AZ17" s="190"/>
      <c r="BA17" s="190"/>
      <c r="BB17" s="190"/>
      <c r="BC17" s="190"/>
      <c r="BD17" s="190"/>
      <c r="BE17" s="190"/>
      <c r="BF17" s="190"/>
      <c r="BG17" s="190"/>
      <c r="BH17" s="190"/>
      <c r="BI17" s="190"/>
      <c r="BJ17" s="190"/>
      <c r="BK17" s="190"/>
      <c r="BL17" s="190"/>
      <c r="BM17" s="190"/>
      <c r="BN17" s="190"/>
      <c r="BO17" s="190"/>
      <c r="BP17" s="190"/>
      <c r="BQ17" s="190"/>
      <c r="BR17" s="190"/>
      <c r="BS17" s="190"/>
      <c r="BT17" s="190"/>
      <c r="BU17" s="190"/>
      <c r="BV17" s="190"/>
      <c r="BW17" s="190"/>
      <c r="BX17" s="190"/>
    </row>
    <row r="18" spans="1:76" s="191" customFormat="1" ht="214.5" customHeight="1" thickTop="1" thickBot="1" x14ac:dyDescent="0.3">
      <c r="A18" s="310"/>
      <c r="B18" s="327"/>
      <c r="C18" s="315"/>
      <c r="D18" s="315"/>
      <c r="E18" s="315"/>
      <c r="F18" s="332"/>
      <c r="G18" s="332"/>
      <c r="H18" s="333"/>
      <c r="I18" s="320"/>
      <c r="J18" s="320"/>
      <c r="K18" s="320"/>
      <c r="L18" s="320"/>
      <c r="M18" s="315"/>
      <c r="N18" s="315"/>
      <c r="O18" s="321"/>
      <c r="P18" s="322"/>
      <c r="Q18" s="323"/>
      <c r="R18" s="323"/>
      <c r="S18" s="323">
        <f ca="1">IF(NOT(ISERROR(MATCH(R18,_xlfn.ANCHORARRAY(H22),0))),Q24&amp;"Por favor no seleccionar los criterios de impacto",R18)</f>
        <v>0</v>
      </c>
      <c r="T18" s="322"/>
      <c r="U18" s="323"/>
      <c r="V18" s="309"/>
      <c r="W18" s="252">
        <v>2</v>
      </c>
      <c r="X18" s="207" t="s">
        <v>486</v>
      </c>
      <c r="Y18" s="250" t="str">
        <f t="shared" si="9"/>
        <v>Probabilidad</v>
      </c>
      <c r="Z18" s="185" t="s">
        <v>208</v>
      </c>
      <c r="AA18" s="185" t="s">
        <v>216</v>
      </c>
      <c r="AB18" s="186" t="str">
        <f t="shared" si="1"/>
        <v>40%</v>
      </c>
      <c r="AC18" s="185" t="s">
        <v>219</v>
      </c>
      <c r="AD18" s="185" t="s">
        <v>224</v>
      </c>
      <c r="AE18" s="185" t="s">
        <v>228</v>
      </c>
      <c r="AF18" s="187">
        <f>IFERROR(IF(AND(Y17="Probabilidad",Y18="Probabilidad"),(AH17-(+AH17*AB18)),IF(Y18="Probabilidad",(Q17-(+Q17*AB18)),IF(Y18="Impacto",AH17,""))),"")</f>
        <v>7.1999999999999995E-2</v>
      </c>
      <c r="AG18" s="188" t="str">
        <f t="shared" si="10"/>
        <v>Muy Baja</v>
      </c>
      <c r="AH18" s="186">
        <f t="shared" si="11"/>
        <v>7.1999999999999995E-2</v>
      </c>
      <c r="AI18" s="188" t="str">
        <f t="shared" ca="1" si="12"/>
        <v>Mayor</v>
      </c>
      <c r="AJ18" s="186">
        <f t="shared" ref="AJ18" ca="1" si="18">IFERROR(IF(AND(Y17="Impacto",Y18="Impacto"),(AJ17-(+AJ17*AB18)),IF(Y18="Impacto",(U17-(+U17*AB18)),IF(Y18="Probabilidad",AJ17,""))),"")</f>
        <v>0.8</v>
      </c>
      <c r="AK18" s="189" t="str">
        <f t="shared" ca="1" si="14"/>
        <v>Alto</v>
      </c>
      <c r="AL18" s="185" t="s">
        <v>262</v>
      </c>
      <c r="AM18" s="246" t="s">
        <v>492</v>
      </c>
      <c r="AN18" s="246" t="s">
        <v>489</v>
      </c>
      <c r="AO18" s="245" t="s">
        <v>493</v>
      </c>
      <c r="AP18" s="245" t="s">
        <v>493</v>
      </c>
      <c r="AQ18" s="246" t="s">
        <v>494</v>
      </c>
      <c r="AR18" s="247" t="s">
        <v>259</v>
      </c>
      <c r="AS18" s="190"/>
      <c r="AT18" s="190"/>
      <c r="AU18" s="190"/>
      <c r="AV18" s="190"/>
      <c r="AW18" s="190"/>
      <c r="AX18" s="190"/>
      <c r="AY18" s="190"/>
      <c r="AZ18" s="190"/>
      <c r="BA18" s="190"/>
      <c r="BB18" s="190"/>
      <c r="BC18" s="190"/>
      <c r="BD18" s="190"/>
      <c r="BE18" s="190"/>
      <c r="BF18" s="190"/>
      <c r="BG18" s="190"/>
      <c r="BH18" s="190"/>
      <c r="BI18" s="190"/>
      <c r="BJ18" s="190"/>
      <c r="BK18" s="190"/>
      <c r="BL18" s="190"/>
      <c r="BM18" s="190"/>
      <c r="BN18" s="190"/>
      <c r="BO18" s="190"/>
      <c r="BP18" s="190"/>
      <c r="BQ18" s="190"/>
      <c r="BR18" s="190"/>
      <c r="BS18" s="190"/>
      <c r="BT18" s="190"/>
      <c r="BU18" s="190"/>
      <c r="BV18" s="190"/>
      <c r="BW18" s="190"/>
      <c r="BX18" s="190"/>
    </row>
    <row r="19" spans="1:76" s="191" customFormat="1" ht="129.75" thickTop="1" thickBot="1" x14ac:dyDescent="0.3">
      <c r="A19" s="310"/>
      <c r="B19" s="327"/>
      <c r="C19" s="315"/>
      <c r="D19" s="315"/>
      <c r="E19" s="315"/>
      <c r="F19" s="332"/>
      <c r="G19" s="332"/>
      <c r="H19" s="333"/>
      <c r="I19" s="320"/>
      <c r="J19" s="320"/>
      <c r="K19" s="320"/>
      <c r="L19" s="320"/>
      <c r="M19" s="315"/>
      <c r="N19" s="315"/>
      <c r="O19" s="321"/>
      <c r="P19" s="322"/>
      <c r="Q19" s="323"/>
      <c r="R19" s="323"/>
      <c r="S19" s="323">
        <f ca="1">IF(NOT(ISERROR(MATCH(R19,_xlfn.ANCHORARRAY(H23),0))),#REF!&amp;"Por favor no seleccionar los criterios de impacto",R19)</f>
        <v>0</v>
      </c>
      <c r="T19" s="322"/>
      <c r="U19" s="323"/>
      <c r="V19" s="309"/>
      <c r="W19" s="252">
        <v>3</v>
      </c>
      <c r="X19" s="207" t="s">
        <v>487</v>
      </c>
      <c r="Y19" s="250" t="str">
        <f t="shared" si="9"/>
        <v>Probabilidad</v>
      </c>
      <c r="Z19" s="185" t="s">
        <v>208</v>
      </c>
      <c r="AA19" s="185" t="s">
        <v>216</v>
      </c>
      <c r="AB19" s="186" t="str">
        <f t="shared" si="1"/>
        <v>40%</v>
      </c>
      <c r="AC19" s="185" t="s">
        <v>219</v>
      </c>
      <c r="AD19" s="185" t="s">
        <v>224</v>
      </c>
      <c r="AE19" s="185" t="s">
        <v>228</v>
      </c>
      <c r="AF19" s="187">
        <f t="shared" ref="AF19" si="19">IFERROR(IF(AND(Y18="Probabilidad",Y19="Probabilidad"),(AH18-(+AH18*AB19)),IF(Y19="Probabilidad",(Q18-(+Q18*AB19)),IF(Y19="Impacto",AH18,""))),"")</f>
        <v>4.3199999999999995E-2</v>
      </c>
      <c r="AG19" s="188" t="str">
        <f t="shared" si="10"/>
        <v>Muy Baja</v>
      </c>
      <c r="AH19" s="186">
        <f t="shared" si="11"/>
        <v>4.3199999999999995E-2</v>
      </c>
      <c r="AI19" s="188" t="str">
        <f t="shared" ca="1" si="12"/>
        <v>Mayor</v>
      </c>
      <c r="AJ19" s="186">
        <f t="shared" ref="AJ19" ca="1" si="20">IFERROR(IF(AND(Y18="Impacto",Y19="Impacto"),(AJ18-(+AJ18*AB19)),IF(AND(Y18="Probabilidad",Y19="Impacto"),(AJ17-(+AJ17*AB19)),IF(Y19="Probabilidad",AJ18,""))),"")</f>
        <v>0.8</v>
      </c>
      <c r="AK19" s="189" t="str">
        <f t="shared" ca="1" si="14"/>
        <v>Alto</v>
      </c>
      <c r="AL19" s="185" t="s">
        <v>262</v>
      </c>
      <c r="AM19" s="246"/>
      <c r="AN19" s="250"/>
      <c r="AO19" s="245"/>
      <c r="AP19" s="245"/>
      <c r="AQ19" s="246"/>
      <c r="AR19" s="247"/>
      <c r="AS19" s="190"/>
      <c r="AT19" s="190"/>
      <c r="AU19" s="190"/>
      <c r="AV19" s="190"/>
      <c r="AW19" s="190"/>
      <c r="AX19" s="190"/>
      <c r="AY19" s="190"/>
      <c r="AZ19" s="190"/>
      <c r="BA19" s="190"/>
      <c r="BB19" s="190"/>
      <c r="BC19" s="190"/>
      <c r="BD19" s="190"/>
      <c r="BE19" s="190"/>
      <c r="BF19" s="190"/>
      <c r="BG19" s="190"/>
      <c r="BH19" s="190"/>
      <c r="BI19" s="190"/>
      <c r="BJ19" s="190"/>
      <c r="BK19" s="190"/>
      <c r="BL19" s="190"/>
      <c r="BM19" s="190"/>
      <c r="BN19" s="190"/>
      <c r="BO19" s="190"/>
      <c r="BP19" s="190"/>
      <c r="BQ19" s="190"/>
      <c r="BR19" s="190"/>
      <c r="BS19" s="190"/>
      <c r="BT19" s="190"/>
      <c r="BU19" s="190"/>
      <c r="BV19" s="190"/>
      <c r="BW19" s="190"/>
      <c r="BX19" s="190"/>
    </row>
    <row r="20" spans="1:76" s="191" customFormat="1" ht="331.5" customHeight="1" thickTop="1" thickBot="1" x14ac:dyDescent="0.3">
      <c r="A20" s="310">
        <v>4</v>
      </c>
      <c r="B20" s="327" t="s">
        <v>495</v>
      </c>
      <c r="C20" s="315" t="s">
        <v>266</v>
      </c>
      <c r="D20" s="315" t="s">
        <v>482</v>
      </c>
      <c r="E20" s="315" t="s">
        <v>240</v>
      </c>
      <c r="F20" s="332" t="s">
        <v>496</v>
      </c>
      <c r="G20" s="332" t="s">
        <v>497</v>
      </c>
      <c r="H20" s="333" t="s">
        <v>1086</v>
      </c>
      <c r="I20" s="320" t="s">
        <v>474</v>
      </c>
      <c r="J20" s="320" t="s">
        <v>474</v>
      </c>
      <c r="K20" s="320" t="s">
        <v>474</v>
      </c>
      <c r="L20" s="320" t="s">
        <v>474</v>
      </c>
      <c r="M20" s="315" t="s">
        <v>239</v>
      </c>
      <c r="N20" s="315"/>
      <c r="O20" s="321">
        <v>12</v>
      </c>
      <c r="P20" s="322" t="str">
        <f>IF(O20&lt;=0,"",IF(O20&lt;=2,"Muy Baja",IF(O20&lt;=24,"Baja",IF(O20&lt;=500,"Media",IF(O20&lt;=5000,"Alta","Muy Alta")))))</f>
        <v>Baja</v>
      </c>
      <c r="Q20" s="323">
        <f>IF(P20="","",IF(P20="Muy Baja",0.2,IF(P20="Baja",0.4,IF(P20="Media",0.6,IF(P20="Alta",0.8,IF(P20="Muy Alta",1,))))))</f>
        <v>0.4</v>
      </c>
      <c r="R20" s="323" t="s">
        <v>190</v>
      </c>
      <c r="S20" s="323" t="str">
        <f ca="1">IF(NOT(ISERROR(MATCH(R20,'Tabla Impacto'!$B$221:$B$223,0))),'Tabla Impacto'!$F$223&amp;"Por favor no seleccionar los criterios de impacto(Afectación Económica o presupuestal y Pérdida Reputacional)",R20)</f>
        <v>El riesgo afecta la imagen de la entidad con algunos usuarios de relevancia frente al logro de los objetivos</v>
      </c>
      <c r="T20" s="322" t="str">
        <f ca="1">+IF(OR(S20='[1]Tabla Impacto'!$C$11,S20='[1]Tabla Impacto'!$D$11),"Leve",IF(OR(S20='[1]Tabla Impacto'!$C$12,S20='[1]Tabla Impacto'!$D$12),"Menor",IF(OR(S20='[1]Tabla Impacto'!$C$13,S20='[1]Tabla Impacto'!$D$13),"Moderado",IF(OR(S20='[1]Tabla Impacto'!$C$14,S20='[1]Tabla Impacto'!$D$14),"Mayor",IF(OR(S20='[1]Tabla Impacto'!$C$15,S20='[1]Tabla Impacto'!$D$15),"Catastrófico","")))))</f>
        <v>Moderado</v>
      </c>
      <c r="U20" s="323">
        <f t="shared" ref="U20" ca="1" si="21">IF(T20="","",IF(T20="Leve",0.2,IF(T20="Menor",0.4,IF(T20="Moderado",0.6,IF(T20="Mayor",0.8,IF(T20="Catastrófico",1,))))))</f>
        <v>0.6</v>
      </c>
      <c r="V20" s="309" t="str">
        <f t="shared" ref="V20" ca="1" si="22">IF(OR(AND(P20="Muy Baja",T20="Leve"),AND(P20="Muy Baja",T20="Menor"),AND(P20="Baja",T20="Leve")),"Bajo",IF(OR(AND(P20="Muy baja",T20="Moderado"),AND(P20="Baja",T20="Menor"),AND(P20="Baja",T20="Moderado"),AND(P20="Media",T20="Leve"),AND(P20="Media",T20="Menor"),AND(P20="Media",T20="Moderado"),AND(P20="Alta",T20="Leve"),AND(P20="Alta",T20="Menor")),"Moderado",IF(OR(AND(P20="Muy Baja",T20="Mayor"),AND(P20="Baja",T20="Mayor"),AND(P20="Media",T20="Mayor"),AND(P20="Alta",T20="Moderado"),AND(P20="Alta",T20="Mayor"),AND(P20="Muy Alta",T20="Leve"),AND(P20="Muy Alta",T20="Menor"),AND(P20="Muy Alta",T20="Moderado"),AND(P20="Muy Alta",T20="Mayor")),"Alto",IF(OR(AND(P20="Muy Baja",T20="Catastrófico"),AND(P20="Baja",T20="Catastrófico"),AND(P20="Media",T20="Catastrófico"),AND(P20="Alta",T20="Catastrófico"),AND(P20="Muy Alta",T20="Catastrófico")),"Extremo",""))))</f>
        <v>Moderado</v>
      </c>
      <c r="W20" s="252">
        <v>1</v>
      </c>
      <c r="X20" s="207" t="s">
        <v>1168</v>
      </c>
      <c r="Y20" s="250" t="str">
        <f t="shared" si="9"/>
        <v>Probabilidad</v>
      </c>
      <c r="Z20" s="185" t="s">
        <v>210</v>
      </c>
      <c r="AA20" s="185" t="s">
        <v>216</v>
      </c>
      <c r="AB20" s="186" t="str">
        <f t="shared" si="1"/>
        <v>30%</v>
      </c>
      <c r="AC20" s="185" t="s">
        <v>219</v>
      </c>
      <c r="AD20" s="185" t="s">
        <v>224</v>
      </c>
      <c r="AE20" s="185" t="s">
        <v>228</v>
      </c>
      <c r="AF20" s="187">
        <f>IFERROR(IF(Y20="Probabilidad",(Q20-(+Q20*AB20)),IF(Y20="Impacto",Q20,"")),"")</f>
        <v>0.28000000000000003</v>
      </c>
      <c r="AG20" s="188" t="str">
        <f t="shared" si="10"/>
        <v>Baja</v>
      </c>
      <c r="AH20" s="186">
        <f t="shared" si="11"/>
        <v>0.28000000000000003</v>
      </c>
      <c r="AI20" s="188" t="str">
        <f t="shared" ca="1" si="12"/>
        <v>Moderado</v>
      </c>
      <c r="AJ20" s="186">
        <f t="shared" ref="AJ20" ca="1" si="23">IFERROR(IF(Y20="Impacto",(U20-(+U20*AB20)),IF(Y20="Probabilidad",U20,"")),"")</f>
        <v>0.6</v>
      </c>
      <c r="AK20" s="189" t="str">
        <f t="shared" ca="1" si="14"/>
        <v>Moderado</v>
      </c>
      <c r="AL20" s="185" t="s">
        <v>255</v>
      </c>
      <c r="AM20" s="246"/>
      <c r="AN20" s="250"/>
      <c r="AO20" s="245"/>
      <c r="AP20" s="245"/>
      <c r="AQ20" s="246"/>
      <c r="AR20" s="247"/>
      <c r="AS20" s="190"/>
      <c r="AT20" s="190"/>
      <c r="AU20" s="190"/>
      <c r="AV20" s="190"/>
      <c r="AW20" s="190"/>
      <c r="AX20" s="190"/>
      <c r="AY20" s="190"/>
      <c r="AZ20" s="190"/>
      <c r="BA20" s="190"/>
      <c r="BB20" s="190"/>
      <c r="BC20" s="190"/>
      <c r="BD20" s="190"/>
      <c r="BE20" s="190"/>
      <c r="BF20" s="190"/>
      <c r="BG20" s="190"/>
      <c r="BH20" s="190"/>
      <c r="BI20" s="190"/>
      <c r="BJ20" s="190"/>
      <c r="BK20" s="190"/>
      <c r="BL20" s="190"/>
      <c r="BM20" s="190"/>
      <c r="BN20" s="190"/>
      <c r="BO20" s="190"/>
      <c r="BP20" s="190"/>
      <c r="BQ20" s="190"/>
      <c r="BR20" s="190"/>
      <c r="BS20" s="190"/>
      <c r="BT20" s="190"/>
      <c r="BU20" s="190"/>
      <c r="BV20" s="190"/>
      <c r="BW20" s="190"/>
      <c r="BX20" s="190"/>
    </row>
    <row r="21" spans="1:76" s="191" customFormat="1" ht="331.5" customHeight="1" thickTop="1" thickBot="1" x14ac:dyDescent="0.3">
      <c r="A21" s="310"/>
      <c r="B21" s="327"/>
      <c r="C21" s="315"/>
      <c r="D21" s="315"/>
      <c r="E21" s="315"/>
      <c r="F21" s="332"/>
      <c r="G21" s="332"/>
      <c r="H21" s="333"/>
      <c r="I21" s="320"/>
      <c r="J21" s="320"/>
      <c r="K21" s="320"/>
      <c r="L21" s="320"/>
      <c r="M21" s="315"/>
      <c r="N21" s="315"/>
      <c r="O21" s="321"/>
      <c r="P21" s="322"/>
      <c r="Q21" s="323"/>
      <c r="R21" s="323"/>
      <c r="S21" s="323">
        <f ca="1">IF(NOT(ISERROR(MATCH(R21,_xlfn.ANCHORARRAY(H25),0))),#REF!&amp;"Por favor no seleccionar los criterios de impacto",R21)</f>
        <v>0</v>
      </c>
      <c r="T21" s="322"/>
      <c r="U21" s="323"/>
      <c r="V21" s="309"/>
      <c r="W21" s="252">
        <v>2</v>
      </c>
      <c r="X21" s="207" t="s">
        <v>1169</v>
      </c>
      <c r="Y21" s="250" t="str">
        <f t="shared" si="9"/>
        <v>Probabilidad</v>
      </c>
      <c r="Z21" s="185" t="s">
        <v>210</v>
      </c>
      <c r="AA21" s="185" t="s">
        <v>216</v>
      </c>
      <c r="AB21" s="186" t="str">
        <f t="shared" si="1"/>
        <v>30%</v>
      </c>
      <c r="AC21" s="185" t="s">
        <v>219</v>
      </c>
      <c r="AD21" s="185" t="s">
        <v>224</v>
      </c>
      <c r="AE21" s="185" t="s">
        <v>228</v>
      </c>
      <c r="AF21" s="187">
        <f>IFERROR(IF(AND(Y20="Probabilidad",Y21="Probabilidad"),(AH20-(+AH20*AB21)),IF(Y21="Probabilidad",(Q20-(+Q20*AB21)),IF(Y21="Impacto",AH20,""))),"")</f>
        <v>0.19600000000000001</v>
      </c>
      <c r="AG21" s="188" t="str">
        <f t="shared" si="10"/>
        <v>Muy Baja</v>
      </c>
      <c r="AH21" s="186">
        <f t="shared" si="11"/>
        <v>0.19600000000000001</v>
      </c>
      <c r="AI21" s="188" t="str">
        <f t="shared" ca="1" si="12"/>
        <v>Moderado</v>
      </c>
      <c r="AJ21" s="186">
        <f t="shared" ref="AJ21" ca="1" si="24">IFERROR(IF(AND(Y20="Impacto",Y21="Impacto"),(AJ20-(+AJ20*AB21)),IF(Y21="Impacto",(U20-(+U20*AB21)),IF(Y21="Probabilidad",AJ20,""))),"")</f>
        <v>0.6</v>
      </c>
      <c r="AK21" s="189" t="str">
        <f t="shared" ca="1" si="14"/>
        <v>Moderado</v>
      </c>
      <c r="AL21" s="185" t="s">
        <v>255</v>
      </c>
      <c r="AM21" s="246"/>
      <c r="AN21" s="250"/>
      <c r="AO21" s="245"/>
      <c r="AP21" s="245"/>
      <c r="AQ21" s="246"/>
      <c r="AR21" s="247"/>
      <c r="AS21" s="190"/>
      <c r="AT21" s="190"/>
      <c r="AU21" s="190"/>
      <c r="AV21" s="190"/>
      <c r="AW21" s="190"/>
      <c r="AX21" s="190"/>
      <c r="AY21" s="190"/>
      <c r="AZ21" s="190"/>
      <c r="BA21" s="190"/>
      <c r="BB21" s="190"/>
      <c r="BC21" s="190"/>
      <c r="BD21" s="190"/>
      <c r="BE21" s="190"/>
      <c r="BF21" s="190"/>
      <c r="BG21" s="190"/>
      <c r="BH21" s="190"/>
      <c r="BI21" s="190"/>
      <c r="BJ21" s="190"/>
      <c r="BK21" s="190"/>
      <c r="BL21" s="190"/>
      <c r="BM21" s="190"/>
      <c r="BN21" s="190"/>
      <c r="BO21" s="190"/>
      <c r="BP21" s="190"/>
      <c r="BQ21" s="190"/>
      <c r="BR21" s="190"/>
      <c r="BS21" s="190"/>
      <c r="BT21" s="190"/>
      <c r="BU21" s="190"/>
      <c r="BV21" s="190"/>
      <c r="BW21" s="190"/>
      <c r="BX21" s="190"/>
    </row>
    <row r="22" spans="1:76" s="191" customFormat="1" ht="147.75" customHeight="1" thickTop="1" thickBot="1" x14ac:dyDescent="0.3">
      <c r="A22" s="310">
        <v>5</v>
      </c>
      <c r="B22" s="327" t="s">
        <v>498</v>
      </c>
      <c r="C22" s="315" t="s">
        <v>266</v>
      </c>
      <c r="D22" s="315" t="s">
        <v>482</v>
      </c>
      <c r="E22" s="315" t="s">
        <v>238</v>
      </c>
      <c r="F22" s="332" t="s">
        <v>499</v>
      </c>
      <c r="G22" s="332" t="s">
        <v>500</v>
      </c>
      <c r="H22" s="333" t="s">
        <v>1087</v>
      </c>
      <c r="I22" s="320" t="s">
        <v>474</v>
      </c>
      <c r="J22" s="320" t="s">
        <v>474</v>
      </c>
      <c r="K22" s="320" t="s">
        <v>474</v>
      </c>
      <c r="L22" s="320" t="s">
        <v>474</v>
      </c>
      <c r="M22" s="315" t="s">
        <v>239</v>
      </c>
      <c r="N22" s="315"/>
      <c r="O22" s="321">
        <v>1</v>
      </c>
      <c r="P22" s="322" t="str">
        <f>IF(O22&lt;=0,"",IF(O22&lt;=2,"Muy Baja",IF(O22&lt;=24,"Baja",IF(O22&lt;=500,"Media",IF(O22&lt;=5000,"Alta","Muy Alta")))))</f>
        <v>Muy Baja</v>
      </c>
      <c r="Q22" s="323">
        <f>IF(P22="","",IF(P22="Muy Baja",0.2,IF(P22="Baja",0.4,IF(P22="Media",0.6,IF(P22="Alta",0.8,IF(P22="Muy Alta",1,))))))</f>
        <v>0.2</v>
      </c>
      <c r="R22" s="323" t="s">
        <v>193</v>
      </c>
      <c r="S22" s="323" t="str">
        <f ca="1">IF(NOT(ISERROR(MATCH(R22,'Tabla Impacto'!$B$221:$B$223,0))),'Tabla Impacto'!$F$223&amp;"Por favor no seleccionar los criterios de impacto(Afectación Económica o presupuestal y Pérdida Reputacional)",R22)</f>
        <v>El riesgo afecta la imagen de de la entidad con efecto publicitario sostenido a nivel de sector administrativo, nivel departamental o municipal</v>
      </c>
      <c r="T22" s="322" t="str">
        <f ca="1">+IF(OR(S22='[1]Tabla Impacto'!$C$11,S22='[1]Tabla Impacto'!$D$11),"Leve",IF(OR(S22='[1]Tabla Impacto'!$C$12,S22='[1]Tabla Impacto'!$D$12),"Menor",IF(OR(S22='[1]Tabla Impacto'!$C$13,S22='[1]Tabla Impacto'!$D$13),"Moderado",IF(OR(S22='[1]Tabla Impacto'!$C$14,S22='[1]Tabla Impacto'!$D$14),"Mayor",IF(OR(S22='[1]Tabla Impacto'!$C$15,S22='[1]Tabla Impacto'!$D$15),"Catastrófico","")))))</f>
        <v>Mayor</v>
      </c>
      <c r="U22" s="323">
        <f t="shared" ref="U22" ca="1" si="25">IF(T22="","",IF(T22="Leve",0.2,IF(T22="Menor",0.4,IF(T22="Moderado",0.6,IF(T22="Mayor",0.8,IF(T22="Catastrófico",1,))))))</f>
        <v>0.8</v>
      </c>
      <c r="V22" s="309" t="str">
        <f t="shared" ref="V22" ca="1" si="26">IF(OR(AND(P22="Muy Baja",T22="Leve"),AND(P22="Muy Baja",T22="Menor"),AND(P22="Baja",T22="Leve")),"Bajo",IF(OR(AND(P22="Muy baja",T22="Moderado"),AND(P22="Baja",T22="Menor"),AND(P22="Baja",T22="Moderado"),AND(P22="Media",T22="Leve"),AND(P22="Media",T22="Menor"),AND(P22="Media",T22="Moderado"),AND(P22="Alta",T22="Leve"),AND(P22="Alta",T22="Menor")),"Moderado",IF(OR(AND(P22="Muy Baja",T22="Mayor"),AND(P22="Baja",T22="Mayor"),AND(P22="Media",T22="Mayor"),AND(P22="Alta",T22="Moderado"),AND(P22="Alta",T22="Mayor"),AND(P22="Muy Alta",T22="Leve"),AND(P22="Muy Alta",T22="Menor"),AND(P22="Muy Alta",T22="Moderado"),AND(P22="Muy Alta",T22="Mayor")),"Alto",IF(OR(AND(P22="Muy Baja",T22="Catastrófico"),AND(P22="Baja",T22="Catastrófico"),AND(P22="Media",T22="Catastrófico"),AND(P22="Alta",T22="Catastrófico"),AND(P22="Muy Alta",T22="Catastrófico")),"Extremo",""))))</f>
        <v>Alto</v>
      </c>
      <c r="W22" s="252">
        <v>1</v>
      </c>
      <c r="X22" s="208" t="s">
        <v>501</v>
      </c>
      <c r="Y22" s="250" t="str">
        <f t="shared" si="9"/>
        <v>Probabilidad</v>
      </c>
      <c r="Z22" s="185" t="s">
        <v>208</v>
      </c>
      <c r="AA22" s="185" t="s">
        <v>216</v>
      </c>
      <c r="AB22" s="186" t="str">
        <f t="shared" si="1"/>
        <v>40%</v>
      </c>
      <c r="AC22" s="185" t="s">
        <v>222</v>
      </c>
      <c r="AD22" s="185" t="s">
        <v>224</v>
      </c>
      <c r="AE22" s="185" t="s">
        <v>228</v>
      </c>
      <c r="AF22" s="187">
        <f>IFERROR(IF(Y22="Probabilidad",(Q22-(+Q22*AB22)),IF(Y22="Impacto",Q22,"")),"")</f>
        <v>0.12</v>
      </c>
      <c r="AG22" s="188" t="str">
        <f t="shared" si="10"/>
        <v>Muy Baja</v>
      </c>
      <c r="AH22" s="186">
        <f t="shared" si="11"/>
        <v>0.12</v>
      </c>
      <c r="AI22" s="188" t="str">
        <f t="shared" ca="1" si="12"/>
        <v>Mayor</v>
      </c>
      <c r="AJ22" s="186">
        <f t="shared" ref="AJ22" ca="1" si="27">IFERROR(IF(Y22="Impacto",(U22-(+U22*AB22)),IF(Y22="Probabilidad",U22,"")),"")</f>
        <v>0.8</v>
      </c>
      <c r="AK22" s="189" t="str">
        <f t="shared" ca="1" si="14"/>
        <v>Alto</v>
      </c>
      <c r="AL22" s="185" t="s">
        <v>262</v>
      </c>
      <c r="AM22" s="315" t="s">
        <v>504</v>
      </c>
      <c r="AN22" s="315" t="s">
        <v>505</v>
      </c>
      <c r="AO22" s="335" t="s">
        <v>506</v>
      </c>
      <c r="AP22" s="335" t="s">
        <v>506</v>
      </c>
      <c r="AQ22" s="315" t="s">
        <v>507</v>
      </c>
      <c r="AR22" s="336" t="s">
        <v>259</v>
      </c>
      <c r="AS22" s="190"/>
      <c r="AT22" s="190"/>
      <c r="AU22" s="190"/>
      <c r="AV22" s="190"/>
      <c r="AW22" s="190"/>
      <c r="AX22" s="190"/>
      <c r="AY22" s="190"/>
      <c r="AZ22" s="190"/>
      <c r="BA22" s="190"/>
      <c r="BB22" s="190"/>
      <c r="BC22" s="190"/>
      <c r="BD22" s="190"/>
      <c r="BE22" s="190"/>
      <c r="BF22" s="190"/>
      <c r="BG22" s="190"/>
      <c r="BH22" s="190"/>
      <c r="BI22" s="190"/>
      <c r="BJ22" s="190"/>
      <c r="BK22" s="190"/>
      <c r="BL22" s="190"/>
      <c r="BM22" s="190"/>
      <c r="BN22" s="190"/>
      <c r="BO22" s="190"/>
      <c r="BP22" s="190"/>
      <c r="BQ22" s="190"/>
      <c r="BR22" s="190"/>
      <c r="BS22" s="190"/>
      <c r="BT22" s="190"/>
      <c r="BU22" s="190"/>
      <c r="BV22" s="190"/>
      <c r="BW22" s="190"/>
      <c r="BX22" s="190"/>
    </row>
    <row r="23" spans="1:76" s="191" customFormat="1" ht="165.75" customHeight="1" thickTop="1" thickBot="1" x14ac:dyDescent="0.3">
      <c r="A23" s="310"/>
      <c r="B23" s="327"/>
      <c r="C23" s="315"/>
      <c r="D23" s="315"/>
      <c r="E23" s="315"/>
      <c r="F23" s="332"/>
      <c r="G23" s="332"/>
      <c r="H23" s="333"/>
      <c r="I23" s="320"/>
      <c r="J23" s="320"/>
      <c r="K23" s="320"/>
      <c r="L23" s="320"/>
      <c r="M23" s="315"/>
      <c r="N23" s="315"/>
      <c r="O23" s="321"/>
      <c r="P23" s="322"/>
      <c r="Q23" s="323"/>
      <c r="R23" s="323"/>
      <c r="S23" s="323">
        <f ca="1">IF(NOT(ISERROR(MATCH(R23,_xlfn.ANCHORARRAY(I27),0))),#REF!&amp;"Por favor no seleccionar los criterios de impacto",R23)</f>
        <v>0</v>
      </c>
      <c r="T23" s="322"/>
      <c r="U23" s="323"/>
      <c r="V23" s="309"/>
      <c r="W23" s="252">
        <v>2</v>
      </c>
      <c r="X23" s="208" t="s">
        <v>502</v>
      </c>
      <c r="Y23" s="250" t="str">
        <f t="shared" ref="Y23:Y43" si="28">IF(OR(Z23="Preventivo",Z23="Detectivo"),"Probabilidad",IF(Z23="Correctivo","Impacto",""))</f>
        <v>Probabilidad</v>
      </c>
      <c r="Z23" s="185" t="s">
        <v>208</v>
      </c>
      <c r="AA23" s="185" t="s">
        <v>216</v>
      </c>
      <c r="AB23" s="186" t="str">
        <f t="shared" si="1"/>
        <v>40%</v>
      </c>
      <c r="AC23" s="185" t="s">
        <v>222</v>
      </c>
      <c r="AD23" s="185" t="s">
        <v>224</v>
      </c>
      <c r="AE23" s="185" t="s">
        <v>228</v>
      </c>
      <c r="AF23" s="187">
        <f>IFERROR(IF(AND(Y22="Probabilidad",Y23="Probabilidad"),(AH22-(+AH22*AB23)),IF(Y23="Probabilidad",(Q22-(+Q22*AB23)),IF(Y23="Impacto",AH22,""))),"")</f>
        <v>7.1999999999999995E-2</v>
      </c>
      <c r="AG23" s="188" t="str">
        <f t="shared" ref="AG23:AG43" si="29">IFERROR(IF(AF23="","",IF(AF23&lt;=0.2,"Muy Baja",IF(AF23&lt;=0.4,"Baja",IF(AF23&lt;=0.6,"Media",IF(AF23&lt;=0.8,"Alta","Muy Alta"))))),"")</f>
        <v>Muy Baja</v>
      </c>
      <c r="AH23" s="186">
        <f t="shared" ref="AH23:AH43" si="30">+AF23</f>
        <v>7.1999999999999995E-2</v>
      </c>
      <c r="AI23" s="188" t="str">
        <f t="shared" ref="AI23:AI43" ca="1" si="31">IFERROR(IF(AJ23="","",IF(AJ23&lt;=0.2,"Leve",IF(AJ23&lt;=0.4,"Menor",IF(AJ23&lt;=0.6,"Moderado",IF(AJ23&lt;=0.8,"Mayor","Catastrófico"))))),"")</f>
        <v>Mayor</v>
      </c>
      <c r="AJ23" s="186">
        <f t="shared" ref="AJ23" ca="1" si="32">IFERROR(IF(AND(Y22="Impacto",Y23="Impacto"),(AJ22-(+AJ22*AB23)),IF(Y23="Impacto",(U22-(+U22*AB23)),IF(Y23="Probabilidad",AJ22,""))),"")</f>
        <v>0.8</v>
      </c>
      <c r="AK23" s="189" t="str">
        <f t="shared" ref="AK23:AK43" ca="1" si="33">IFERROR(IF(OR(AND(AG23="Muy Baja",AI23="Leve"),AND(AG23="Muy Baja",AI23="Menor"),AND(AG23="Baja",AI23="Leve")),"Bajo",IF(OR(AND(AG23="Muy baja",AI23="Moderado"),AND(AG23="Baja",AI23="Menor"),AND(AG23="Baja",AI23="Moderado"),AND(AG23="Media",AI23="Leve"),AND(AG23="Media",AI23="Menor"),AND(AG23="Media",AI23="Moderado"),AND(AG23="Alta",AI23="Leve"),AND(AG23="Alta",AI23="Menor")),"Moderado",IF(OR(AND(AG23="Muy Baja",AI23="Mayor"),AND(AG23="Baja",AI23="Mayor"),AND(AG23="Media",AI23="Mayor"),AND(AG23="Alta",AI23="Moderado"),AND(AG23="Alta",AI23="Mayor"),AND(AG23="Muy Alta",AI23="Leve"),AND(AG23="Muy Alta",AI23="Menor"),AND(AG23="Muy Alta",AI23="Moderado"),AND(AG23="Muy Alta",AI23="Mayor")),"Alto",IF(OR(AND(AG23="Muy Baja",AI23="Catastrófico"),AND(AG23="Baja",AI23="Catastrófico"),AND(AG23="Media",AI23="Catastrófico"),AND(AG23="Alta",AI23="Catastrófico"),AND(AG23="Muy Alta",AI23="Catastrófico")),"Extremo","")))),"")</f>
        <v>Alto</v>
      </c>
      <c r="AL23" s="185" t="s">
        <v>262</v>
      </c>
      <c r="AM23" s="315"/>
      <c r="AN23" s="315"/>
      <c r="AO23" s="335"/>
      <c r="AP23" s="335"/>
      <c r="AQ23" s="315"/>
      <c r="AR23" s="336"/>
      <c r="AS23" s="190"/>
      <c r="AT23" s="190"/>
      <c r="AU23" s="190"/>
      <c r="AV23" s="190"/>
      <c r="AW23" s="190"/>
      <c r="AX23" s="190"/>
      <c r="AY23" s="190"/>
      <c r="AZ23" s="190"/>
      <c r="BA23" s="190"/>
      <c r="BB23" s="190"/>
      <c r="BC23" s="190"/>
      <c r="BD23" s="190"/>
      <c r="BE23" s="190"/>
      <c r="BF23" s="190"/>
      <c r="BG23" s="190"/>
      <c r="BH23" s="190"/>
      <c r="BI23" s="190"/>
      <c r="BJ23" s="190"/>
      <c r="BK23" s="190"/>
      <c r="BL23" s="190"/>
      <c r="BM23" s="190"/>
      <c r="BN23" s="190"/>
      <c r="BO23" s="190"/>
      <c r="BP23" s="190"/>
      <c r="BQ23" s="190"/>
      <c r="BR23" s="190"/>
      <c r="BS23" s="190"/>
      <c r="BT23" s="190"/>
      <c r="BU23" s="190"/>
      <c r="BV23" s="190"/>
      <c r="BW23" s="190"/>
      <c r="BX23" s="190"/>
    </row>
    <row r="24" spans="1:76" s="191" customFormat="1" ht="147" customHeight="1" thickTop="1" thickBot="1" x14ac:dyDescent="0.3">
      <c r="A24" s="310"/>
      <c r="B24" s="327"/>
      <c r="C24" s="315"/>
      <c r="D24" s="315"/>
      <c r="E24" s="315"/>
      <c r="F24" s="332"/>
      <c r="G24" s="332"/>
      <c r="H24" s="333"/>
      <c r="I24" s="320"/>
      <c r="J24" s="320"/>
      <c r="K24" s="320"/>
      <c r="L24" s="320"/>
      <c r="M24" s="315"/>
      <c r="N24" s="315"/>
      <c r="O24" s="321"/>
      <c r="P24" s="322"/>
      <c r="Q24" s="323"/>
      <c r="R24" s="323"/>
      <c r="S24" s="323">
        <f ca="1">IF(NOT(ISERROR(MATCH(R24,_xlfn.ANCHORARRAY(I28),0))),#REF!&amp;"Por favor no seleccionar los criterios de impacto",R24)</f>
        <v>0</v>
      </c>
      <c r="T24" s="322"/>
      <c r="U24" s="323"/>
      <c r="V24" s="309"/>
      <c r="W24" s="252">
        <v>3</v>
      </c>
      <c r="X24" s="208" t="s">
        <v>503</v>
      </c>
      <c r="Y24" s="250" t="str">
        <f t="shared" si="28"/>
        <v>Probabilidad</v>
      </c>
      <c r="Z24" s="185" t="s">
        <v>208</v>
      </c>
      <c r="AA24" s="185" t="s">
        <v>216</v>
      </c>
      <c r="AB24" s="186" t="str">
        <f t="shared" si="1"/>
        <v>40%</v>
      </c>
      <c r="AC24" s="185" t="s">
        <v>222</v>
      </c>
      <c r="AD24" s="185" t="s">
        <v>224</v>
      </c>
      <c r="AE24" s="185" t="s">
        <v>228</v>
      </c>
      <c r="AF24" s="187">
        <f t="shared" ref="AF24" si="34">IFERROR(IF(AND(Y23="Probabilidad",Y24="Probabilidad"),(AH23-(+AH23*AB24)),IF(Y24="Probabilidad",(Q23-(+Q23*AB24)),IF(Y24="Impacto",AH23,""))),"")</f>
        <v>4.3199999999999995E-2</v>
      </c>
      <c r="AG24" s="188" t="str">
        <f t="shared" si="29"/>
        <v>Muy Baja</v>
      </c>
      <c r="AH24" s="186">
        <f t="shared" si="30"/>
        <v>4.3199999999999995E-2</v>
      </c>
      <c r="AI24" s="188" t="str">
        <f t="shared" ca="1" si="31"/>
        <v>Mayor</v>
      </c>
      <c r="AJ24" s="186">
        <f t="shared" ref="AJ24" ca="1" si="35">IFERROR(IF(AND(Y23="Impacto",Y24="Impacto"),(AJ23-(+AJ23*AB24)),IF(AND(Y23="Probabilidad",Y24="Impacto"),(AJ22-(+AJ22*AB24)),IF(Y24="Probabilidad",AJ23,""))),"")</f>
        <v>0.8</v>
      </c>
      <c r="AK24" s="189" t="str">
        <f t="shared" ca="1" si="33"/>
        <v>Alto</v>
      </c>
      <c r="AL24" s="185" t="s">
        <v>262</v>
      </c>
      <c r="AM24" s="315"/>
      <c r="AN24" s="315"/>
      <c r="AO24" s="335"/>
      <c r="AP24" s="335"/>
      <c r="AQ24" s="315"/>
      <c r="AR24" s="336"/>
      <c r="AS24" s="190"/>
      <c r="AT24" s="190"/>
      <c r="AU24" s="190"/>
      <c r="AV24" s="190"/>
      <c r="AW24" s="190"/>
      <c r="AX24" s="190"/>
      <c r="AY24" s="190"/>
      <c r="AZ24" s="190"/>
      <c r="BA24" s="190"/>
      <c r="BB24" s="190"/>
      <c r="BC24" s="190"/>
      <c r="BD24" s="190"/>
      <c r="BE24" s="190"/>
      <c r="BF24" s="190"/>
      <c r="BG24" s="190"/>
      <c r="BH24" s="190"/>
      <c r="BI24" s="190"/>
      <c r="BJ24" s="190"/>
      <c r="BK24" s="190"/>
      <c r="BL24" s="190"/>
      <c r="BM24" s="190"/>
      <c r="BN24" s="190"/>
      <c r="BO24" s="190"/>
      <c r="BP24" s="190"/>
      <c r="BQ24" s="190"/>
      <c r="BR24" s="190"/>
      <c r="BS24" s="190"/>
      <c r="BT24" s="190"/>
      <c r="BU24" s="190"/>
      <c r="BV24" s="190"/>
      <c r="BW24" s="190"/>
      <c r="BX24" s="190"/>
    </row>
    <row r="25" spans="1:76" s="191" customFormat="1" ht="244.5" customHeight="1" thickTop="1" thickBot="1" x14ac:dyDescent="0.3">
      <c r="A25" s="310">
        <v>6</v>
      </c>
      <c r="B25" s="327" t="s">
        <v>508</v>
      </c>
      <c r="C25" s="315" t="s">
        <v>266</v>
      </c>
      <c r="D25" s="315" t="s">
        <v>509</v>
      </c>
      <c r="E25" s="315" t="s">
        <v>240</v>
      </c>
      <c r="F25" s="332" t="s">
        <v>510</v>
      </c>
      <c r="G25" s="332" t="s">
        <v>511</v>
      </c>
      <c r="H25" s="333" t="s">
        <v>1088</v>
      </c>
      <c r="I25" s="320" t="s">
        <v>474</v>
      </c>
      <c r="J25" s="320" t="s">
        <v>474</v>
      </c>
      <c r="K25" s="320" t="s">
        <v>474</v>
      </c>
      <c r="L25" s="320" t="s">
        <v>474</v>
      </c>
      <c r="M25" s="315" t="s">
        <v>239</v>
      </c>
      <c r="N25" s="315"/>
      <c r="O25" s="321">
        <v>365</v>
      </c>
      <c r="P25" s="322" t="str">
        <f>IF(O25&lt;=0,"",IF(O25&lt;=2,"Muy Baja",IF(O25&lt;=24,"Baja",IF(O25&lt;=500,"Media",IF(O25&lt;=5000,"Alta","Muy Alta")))))</f>
        <v>Media</v>
      </c>
      <c r="Q25" s="323">
        <f>IF(P25="","",IF(P25="Muy Baja",0.2,IF(P25="Baja",0.4,IF(P25="Media",0.6,IF(P25="Alta",0.8,IF(P25="Muy Alta",1,))))))</f>
        <v>0.6</v>
      </c>
      <c r="R25" s="323" t="s">
        <v>190</v>
      </c>
      <c r="S25" s="323" t="str">
        <f ca="1">IF(NOT(ISERROR(MATCH(R25,'Tabla Impacto'!$B$221:$B$223,0))),'Tabla Impacto'!$F$223&amp;"Por favor no seleccionar los criterios de impacto(Afectación Económica o presupuestal y Pérdida Reputacional)",R25)</f>
        <v>El riesgo afecta la imagen de la entidad con algunos usuarios de relevancia frente al logro de los objetivos</v>
      </c>
      <c r="T25" s="322" t="str">
        <f ca="1">+IF(OR(S25='[1]Tabla Impacto'!$C$11,S25='[1]Tabla Impacto'!$D$11),"Leve",IF(OR(S25='[1]Tabla Impacto'!$C$12,S25='[1]Tabla Impacto'!$D$12),"Menor",IF(OR(S25='[1]Tabla Impacto'!$C$13,S25='[1]Tabla Impacto'!$D$13),"Moderado",IF(OR(S25='[1]Tabla Impacto'!$C$14,S25='[1]Tabla Impacto'!$D$14),"Mayor",IF(OR(S25='[1]Tabla Impacto'!$C$15,S25='[1]Tabla Impacto'!$D$15),"Catastrófico","")))))</f>
        <v>Moderado</v>
      </c>
      <c r="U25" s="323">
        <f t="shared" ref="U25" ca="1" si="36">IF(T25="","",IF(T25="Leve",0.2,IF(T25="Menor",0.4,IF(T25="Moderado",0.6,IF(T25="Mayor",0.8,IF(T25="Catastrófico",1,))))))</f>
        <v>0.6</v>
      </c>
      <c r="V25" s="309" t="str">
        <f t="shared" ref="V25" ca="1" si="37">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Moderado</v>
      </c>
      <c r="W25" s="252">
        <v>1</v>
      </c>
      <c r="X25" s="207" t="s">
        <v>512</v>
      </c>
      <c r="Y25" s="250" t="str">
        <f t="shared" si="28"/>
        <v>Probabilidad</v>
      </c>
      <c r="Z25" s="185" t="s">
        <v>208</v>
      </c>
      <c r="AA25" s="185" t="s">
        <v>216</v>
      </c>
      <c r="AB25" s="186" t="str">
        <f t="shared" si="1"/>
        <v>40%</v>
      </c>
      <c r="AC25" s="185" t="s">
        <v>219</v>
      </c>
      <c r="AD25" s="185" t="s">
        <v>224</v>
      </c>
      <c r="AE25" s="185" t="s">
        <v>228</v>
      </c>
      <c r="AF25" s="187">
        <f t="shared" ref="AF25" si="38">IFERROR(IF(Y25="Probabilidad",(Q25-(+Q25*AB25)),IF(Y25="Impacto",Q25,"")),"")</f>
        <v>0.36</v>
      </c>
      <c r="AG25" s="188" t="str">
        <f t="shared" si="29"/>
        <v>Baja</v>
      </c>
      <c r="AH25" s="186">
        <f t="shared" si="30"/>
        <v>0.36</v>
      </c>
      <c r="AI25" s="188" t="str">
        <f t="shared" ca="1" si="31"/>
        <v>Moderado</v>
      </c>
      <c r="AJ25" s="186">
        <f t="shared" ref="AJ25" ca="1" si="39">IFERROR(IF(Y25="Impacto",(U25-(+U25*AB25)),IF(Y25="Probabilidad",U25,"")),"")</f>
        <v>0.6</v>
      </c>
      <c r="AK25" s="189" t="str">
        <f t="shared" ca="1" si="33"/>
        <v>Moderado</v>
      </c>
      <c r="AL25" s="185" t="s">
        <v>255</v>
      </c>
      <c r="AM25" s="246"/>
      <c r="AN25" s="250"/>
      <c r="AO25" s="245"/>
      <c r="AP25" s="245"/>
      <c r="AQ25" s="246"/>
      <c r="AR25" s="247"/>
      <c r="AS25" s="190"/>
      <c r="AT25" s="190"/>
      <c r="AU25" s="190"/>
      <c r="AV25" s="190"/>
      <c r="AW25" s="190"/>
      <c r="AX25" s="190"/>
      <c r="AY25" s="190"/>
      <c r="AZ25" s="190"/>
      <c r="BA25" s="190"/>
      <c r="BB25" s="190"/>
      <c r="BC25" s="190"/>
      <c r="BD25" s="190"/>
      <c r="BE25" s="190"/>
      <c r="BF25" s="190"/>
      <c r="BG25" s="190"/>
      <c r="BH25" s="190"/>
      <c r="BI25" s="190"/>
      <c r="BJ25" s="190"/>
      <c r="BK25" s="190"/>
      <c r="BL25" s="190"/>
      <c r="BM25" s="190"/>
      <c r="BN25" s="190"/>
      <c r="BO25" s="190"/>
      <c r="BP25" s="190"/>
      <c r="BQ25" s="190"/>
      <c r="BR25" s="190"/>
      <c r="BS25" s="190"/>
      <c r="BT25" s="190"/>
      <c r="BU25" s="190"/>
      <c r="BV25" s="190"/>
      <c r="BW25" s="190"/>
      <c r="BX25" s="190"/>
    </row>
    <row r="26" spans="1:76" s="191" customFormat="1" ht="244.5" customHeight="1" thickTop="1" thickBot="1" x14ac:dyDescent="0.3">
      <c r="A26" s="310"/>
      <c r="B26" s="327"/>
      <c r="C26" s="315"/>
      <c r="D26" s="315"/>
      <c r="E26" s="315"/>
      <c r="F26" s="332"/>
      <c r="G26" s="332"/>
      <c r="H26" s="333"/>
      <c r="I26" s="320"/>
      <c r="J26" s="320"/>
      <c r="K26" s="320"/>
      <c r="L26" s="320"/>
      <c r="M26" s="315"/>
      <c r="N26" s="315"/>
      <c r="O26" s="321"/>
      <c r="P26" s="322"/>
      <c r="Q26" s="323"/>
      <c r="R26" s="323"/>
      <c r="S26" s="323">
        <f ca="1">IF(NOT(ISERROR(MATCH(R26,_xlfn.ANCHORARRAY(H29),0))),Q31&amp;"Por favor no seleccionar los criterios de impacto",R26)</f>
        <v>0</v>
      </c>
      <c r="T26" s="322"/>
      <c r="U26" s="323"/>
      <c r="V26" s="309"/>
      <c r="W26" s="252">
        <v>2</v>
      </c>
      <c r="X26" s="207" t="s">
        <v>513</v>
      </c>
      <c r="Y26" s="250" t="str">
        <f t="shared" si="28"/>
        <v>Probabilidad</v>
      </c>
      <c r="Z26" s="185" t="s">
        <v>208</v>
      </c>
      <c r="AA26" s="185" t="s">
        <v>216</v>
      </c>
      <c r="AB26" s="186" t="str">
        <f t="shared" si="1"/>
        <v>40%</v>
      </c>
      <c r="AC26" s="185" t="s">
        <v>219</v>
      </c>
      <c r="AD26" s="185" t="s">
        <v>224</v>
      </c>
      <c r="AE26" s="185" t="s">
        <v>228</v>
      </c>
      <c r="AF26" s="187">
        <f t="shared" ref="AF26" si="40">IFERROR(IF(AND(Y25="Probabilidad",Y26="Probabilidad"),(AH25-(+AH25*AB26)),IF(Y26="Probabilidad",(Q25-(+Q25*AB26)),IF(Y26="Impacto",AH25,""))),"")</f>
        <v>0.216</v>
      </c>
      <c r="AG26" s="188" t="str">
        <f t="shared" si="29"/>
        <v>Baja</v>
      </c>
      <c r="AH26" s="186">
        <f t="shared" si="30"/>
        <v>0.216</v>
      </c>
      <c r="AI26" s="188" t="str">
        <f t="shared" ca="1" si="31"/>
        <v>Moderado</v>
      </c>
      <c r="AJ26" s="186">
        <f t="shared" ref="AJ26" ca="1" si="41">IFERROR(IF(AND(Y25="Impacto",Y26="Impacto"),(AJ25-(+AJ25*AB26)),IF(Y26="Impacto",(U25-(+U25*AB26)),IF(Y26="Probabilidad",AJ25,""))),"")</f>
        <v>0.6</v>
      </c>
      <c r="AK26" s="189" t="str">
        <f t="shared" ca="1" si="33"/>
        <v>Moderado</v>
      </c>
      <c r="AL26" s="185" t="s">
        <v>255</v>
      </c>
      <c r="AM26" s="246"/>
      <c r="AN26" s="250"/>
      <c r="AO26" s="245"/>
      <c r="AP26" s="245"/>
      <c r="AQ26" s="246"/>
      <c r="AR26" s="247"/>
      <c r="AS26" s="190"/>
      <c r="AT26" s="190"/>
      <c r="AU26" s="190"/>
      <c r="AV26" s="190"/>
      <c r="AW26" s="190"/>
      <c r="AX26" s="190"/>
      <c r="AY26" s="190"/>
      <c r="AZ26" s="190"/>
      <c r="BA26" s="190"/>
      <c r="BB26" s="190"/>
      <c r="BC26" s="190"/>
      <c r="BD26" s="190"/>
      <c r="BE26" s="190"/>
      <c r="BF26" s="190"/>
      <c r="BG26" s="190"/>
      <c r="BH26" s="190"/>
      <c r="BI26" s="190"/>
      <c r="BJ26" s="190"/>
      <c r="BK26" s="190"/>
      <c r="BL26" s="190"/>
      <c r="BM26" s="190"/>
      <c r="BN26" s="190"/>
      <c r="BO26" s="190"/>
      <c r="BP26" s="190"/>
      <c r="BQ26" s="190"/>
      <c r="BR26" s="190"/>
      <c r="BS26" s="190"/>
      <c r="BT26" s="190"/>
      <c r="BU26" s="190"/>
      <c r="BV26" s="190"/>
      <c r="BW26" s="190"/>
      <c r="BX26" s="190"/>
    </row>
    <row r="27" spans="1:76" s="191" customFormat="1" ht="136.5" customHeight="1" thickTop="1" thickBot="1" x14ac:dyDescent="0.3">
      <c r="A27" s="310">
        <v>7</v>
      </c>
      <c r="B27" s="327" t="s">
        <v>514</v>
      </c>
      <c r="C27" s="315" t="s">
        <v>266</v>
      </c>
      <c r="D27" s="315" t="s">
        <v>509</v>
      </c>
      <c r="E27" s="315" t="s">
        <v>240</v>
      </c>
      <c r="F27" s="315" t="s">
        <v>515</v>
      </c>
      <c r="G27" s="315" t="s">
        <v>1052</v>
      </c>
      <c r="H27" s="373" t="s">
        <v>1089</v>
      </c>
      <c r="I27" s="320" t="s">
        <v>474</v>
      </c>
      <c r="J27" s="320" t="s">
        <v>474</v>
      </c>
      <c r="K27" s="320" t="s">
        <v>474</v>
      </c>
      <c r="L27" s="320" t="s">
        <v>474</v>
      </c>
      <c r="M27" s="315" t="s">
        <v>239</v>
      </c>
      <c r="N27" s="315"/>
      <c r="O27" s="321">
        <v>365</v>
      </c>
      <c r="P27" s="322" t="str">
        <f>IF(O27&lt;=0,"",IF(O27&lt;=2,"Muy Baja",IF(O27&lt;=24,"Baja",IF(O27&lt;=500,"Media",IF(O27&lt;=5000,"Alta","Muy Alta")))))</f>
        <v>Media</v>
      </c>
      <c r="Q27" s="323">
        <f>IF(P27="","",IF(P27="Muy Baja",0.2,IF(P27="Baja",0.4,IF(P27="Media",0.6,IF(P27="Alta",0.8,IF(P27="Muy Alta",1,))))))</f>
        <v>0.6</v>
      </c>
      <c r="R27" s="323" t="s">
        <v>190</v>
      </c>
      <c r="S27" s="323" t="str">
        <f ca="1">IF(NOT(ISERROR(MATCH(R27,'Tabla Impacto'!$B$221:$B$223,0))),'Tabla Impacto'!$F$223&amp;"Por favor no seleccionar los criterios de impacto(Afectación Económica o presupuestal y Pérdida Reputacional)",R27)</f>
        <v>El riesgo afecta la imagen de la entidad con algunos usuarios de relevancia frente al logro de los objetivos</v>
      </c>
      <c r="T27" s="322" t="str">
        <f ca="1">+IF(OR(S27='[1]Tabla Impacto'!$C$11,S27='[1]Tabla Impacto'!$D$11),"Leve",IF(OR(S27='[1]Tabla Impacto'!$C$12,S27='[1]Tabla Impacto'!$D$12),"Menor",IF(OR(S27='[1]Tabla Impacto'!$C$13,S27='[1]Tabla Impacto'!$D$13),"Moderado",IF(OR(S27='[1]Tabla Impacto'!$C$14,S27='[1]Tabla Impacto'!$D$14),"Mayor",IF(OR(S27='[1]Tabla Impacto'!$C$15,S27='[1]Tabla Impacto'!$D$15),"Catastrófico","")))))</f>
        <v>Moderado</v>
      </c>
      <c r="U27" s="323">
        <f t="shared" ref="U27" ca="1" si="42">IF(T27="","",IF(T27="Leve",0.2,IF(T27="Menor",0.4,IF(T27="Moderado",0.6,IF(T27="Mayor",0.8,IF(T27="Catastrófico",1,))))))</f>
        <v>0.6</v>
      </c>
      <c r="V27" s="309" t="str">
        <f t="shared" ref="V27" ca="1" si="43">IF(OR(AND(P27="Muy Baja",T27="Leve"),AND(P27="Muy Baja",T27="Menor"),AND(P27="Baja",T27="Leve")),"Bajo",IF(OR(AND(P27="Muy baja",T27="Moderado"),AND(P27="Baja",T27="Menor"),AND(P27="Baja",T27="Moderado"),AND(P27="Media",T27="Leve"),AND(P27="Media",T27="Menor"),AND(P27="Media",T27="Moderado"),AND(P27="Alta",T27="Leve"),AND(P27="Alta",T27="Menor")),"Moderado",IF(OR(AND(P27="Muy Baja",T27="Mayor"),AND(P27="Baja",T27="Mayor"),AND(P27="Media",T27="Mayor"),AND(P27="Alta",T27="Moderado"),AND(P27="Alta",T27="Mayor"),AND(P27="Muy Alta",T27="Leve"),AND(P27="Muy Alta",T27="Menor"),AND(P27="Muy Alta",T27="Moderado"),AND(P27="Muy Alta",T27="Mayor")),"Alto",IF(OR(AND(P27="Muy Baja",T27="Catastrófico"),AND(P27="Baja",T27="Catastrófico"),AND(P27="Media",T27="Catastrófico"),AND(P27="Alta",T27="Catastrófico"),AND(P27="Muy Alta",T27="Catastrófico")),"Extremo",""))))</f>
        <v>Moderado</v>
      </c>
      <c r="W27" s="252">
        <v>1</v>
      </c>
      <c r="X27" s="207" t="s">
        <v>516</v>
      </c>
      <c r="Y27" s="250" t="str">
        <f t="shared" si="28"/>
        <v>Probabilidad</v>
      </c>
      <c r="Z27" s="185" t="s">
        <v>208</v>
      </c>
      <c r="AA27" s="185" t="s">
        <v>216</v>
      </c>
      <c r="AB27" s="186" t="str">
        <f t="shared" si="1"/>
        <v>40%</v>
      </c>
      <c r="AC27" s="185" t="s">
        <v>219</v>
      </c>
      <c r="AD27" s="185" t="s">
        <v>224</v>
      </c>
      <c r="AE27" s="185" t="s">
        <v>228</v>
      </c>
      <c r="AF27" s="187">
        <f t="shared" ref="AF27" si="44">IFERROR(IF(Y27="Probabilidad",(Q27-(+Q27*AB27)),IF(Y27="Impacto",Q27,"")),"")</f>
        <v>0.36</v>
      </c>
      <c r="AG27" s="188" t="str">
        <f t="shared" si="29"/>
        <v>Baja</v>
      </c>
      <c r="AH27" s="186">
        <f t="shared" si="30"/>
        <v>0.36</v>
      </c>
      <c r="AI27" s="188" t="str">
        <f t="shared" ca="1" si="31"/>
        <v>Moderado</v>
      </c>
      <c r="AJ27" s="186">
        <f t="shared" ref="AJ27" ca="1" si="45">IFERROR(IF(Y27="Impacto",(U27-(+U27*AB27)),IF(Y27="Probabilidad",U27,"")),"")</f>
        <v>0.6</v>
      </c>
      <c r="AK27" s="189" t="str">
        <f t="shared" ca="1" si="33"/>
        <v>Moderado</v>
      </c>
      <c r="AL27" s="185" t="s">
        <v>255</v>
      </c>
      <c r="AM27" s="246"/>
      <c r="AN27" s="250"/>
      <c r="AO27" s="245"/>
      <c r="AP27" s="245"/>
      <c r="AQ27" s="246"/>
      <c r="AR27" s="247"/>
      <c r="AS27" s="190"/>
      <c r="AT27" s="190"/>
      <c r="AU27" s="190"/>
      <c r="AV27" s="190"/>
      <c r="AW27" s="190"/>
      <c r="AX27" s="190"/>
      <c r="AY27" s="190"/>
      <c r="AZ27" s="190"/>
      <c r="BA27" s="190"/>
      <c r="BB27" s="190"/>
      <c r="BC27" s="190"/>
      <c r="BD27" s="190"/>
      <c r="BE27" s="190"/>
      <c r="BF27" s="190"/>
      <c r="BG27" s="190"/>
      <c r="BH27" s="190"/>
      <c r="BI27" s="190"/>
      <c r="BJ27" s="190"/>
      <c r="BK27" s="190"/>
      <c r="BL27" s="190"/>
      <c r="BM27" s="190"/>
      <c r="BN27" s="190"/>
      <c r="BO27" s="190"/>
      <c r="BP27" s="190"/>
      <c r="BQ27" s="190"/>
      <c r="BR27" s="190"/>
      <c r="BS27" s="190"/>
      <c r="BT27" s="190"/>
      <c r="BU27" s="190"/>
      <c r="BV27" s="190"/>
      <c r="BW27" s="190"/>
      <c r="BX27" s="190"/>
    </row>
    <row r="28" spans="1:76" s="191" customFormat="1" ht="136.5" customHeight="1" thickTop="1" thickBot="1" x14ac:dyDescent="0.3">
      <c r="A28" s="310"/>
      <c r="B28" s="327"/>
      <c r="C28" s="315"/>
      <c r="D28" s="315"/>
      <c r="E28" s="315"/>
      <c r="F28" s="315"/>
      <c r="G28" s="315"/>
      <c r="H28" s="373"/>
      <c r="I28" s="320"/>
      <c r="J28" s="320"/>
      <c r="K28" s="320"/>
      <c r="L28" s="320"/>
      <c r="M28" s="315"/>
      <c r="N28" s="315"/>
      <c r="O28" s="321"/>
      <c r="P28" s="322"/>
      <c r="Q28" s="323"/>
      <c r="R28" s="323"/>
      <c r="S28" s="323">
        <f ca="1">IF(NOT(ISERROR(MATCH(R28,_xlfn.ANCHORARRAY(H33),0))),Q35&amp;"Por favor no seleccionar los criterios de impacto",R28)</f>
        <v>0</v>
      </c>
      <c r="T28" s="322"/>
      <c r="U28" s="323"/>
      <c r="V28" s="309"/>
      <c r="W28" s="252">
        <v>2</v>
      </c>
      <c r="X28" s="207" t="s">
        <v>517</v>
      </c>
      <c r="Y28" s="250" t="str">
        <f t="shared" si="28"/>
        <v>Probabilidad</v>
      </c>
      <c r="Z28" s="185" t="s">
        <v>208</v>
      </c>
      <c r="AA28" s="185" t="s">
        <v>216</v>
      </c>
      <c r="AB28" s="186" t="str">
        <f t="shared" si="1"/>
        <v>40%</v>
      </c>
      <c r="AC28" s="185" t="s">
        <v>219</v>
      </c>
      <c r="AD28" s="185" t="s">
        <v>224</v>
      </c>
      <c r="AE28" s="185" t="s">
        <v>228</v>
      </c>
      <c r="AF28" s="187">
        <f t="shared" ref="AF28" si="46">IFERROR(IF(AND(Y27="Probabilidad",Y28="Probabilidad"),(AH27-(+AH27*AB28)),IF(Y28="Probabilidad",(Q27-(+Q27*AB28)),IF(Y28="Impacto",AH27,""))),"")</f>
        <v>0.216</v>
      </c>
      <c r="AG28" s="188" t="str">
        <f t="shared" si="29"/>
        <v>Baja</v>
      </c>
      <c r="AH28" s="186">
        <f t="shared" si="30"/>
        <v>0.216</v>
      </c>
      <c r="AI28" s="188" t="str">
        <f t="shared" ca="1" si="31"/>
        <v>Moderado</v>
      </c>
      <c r="AJ28" s="186">
        <f t="shared" ref="AJ28" ca="1" si="47">IFERROR(IF(AND(Y27="Impacto",Y28="Impacto"),(AJ27-(+AJ27*AB28)),IF(Y28="Impacto",(U27-(+U27*AB28)),IF(Y28="Probabilidad",AJ27,""))),"")</f>
        <v>0.6</v>
      </c>
      <c r="AK28" s="189" t="str">
        <f t="shared" ca="1" si="33"/>
        <v>Moderado</v>
      </c>
      <c r="AL28" s="185" t="s">
        <v>255</v>
      </c>
      <c r="AM28" s="246"/>
      <c r="AN28" s="250"/>
      <c r="AO28" s="245"/>
      <c r="AP28" s="245"/>
      <c r="AQ28" s="246"/>
      <c r="AR28" s="247"/>
      <c r="AS28" s="190"/>
      <c r="AT28" s="190"/>
      <c r="AU28" s="190"/>
      <c r="AV28" s="190"/>
      <c r="AW28" s="190"/>
      <c r="AX28" s="190"/>
      <c r="AY28" s="190"/>
      <c r="AZ28" s="190"/>
      <c r="BA28" s="190"/>
      <c r="BB28" s="190"/>
      <c r="BC28" s="190"/>
      <c r="BD28" s="190"/>
      <c r="BE28" s="190"/>
      <c r="BF28" s="190"/>
      <c r="BG28" s="190"/>
      <c r="BH28" s="190"/>
      <c r="BI28" s="190"/>
      <c r="BJ28" s="190"/>
      <c r="BK28" s="190"/>
      <c r="BL28" s="190"/>
      <c r="BM28" s="190"/>
      <c r="BN28" s="190"/>
      <c r="BO28" s="190"/>
      <c r="BP28" s="190"/>
      <c r="BQ28" s="190"/>
      <c r="BR28" s="190"/>
      <c r="BS28" s="190"/>
      <c r="BT28" s="190"/>
      <c r="BU28" s="190"/>
      <c r="BV28" s="190"/>
      <c r="BW28" s="190"/>
      <c r="BX28" s="190"/>
    </row>
    <row r="29" spans="1:76" s="191" customFormat="1" ht="147" customHeight="1" thickTop="1" thickBot="1" x14ac:dyDescent="0.3">
      <c r="A29" s="310">
        <v>8</v>
      </c>
      <c r="B29" s="327" t="s">
        <v>518</v>
      </c>
      <c r="C29" s="315" t="s">
        <v>267</v>
      </c>
      <c r="D29" s="315" t="s">
        <v>1174</v>
      </c>
      <c r="E29" s="315" t="s">
        <v>240</v>
      </c>
      <c r="F29" s="332" t="s">
        <v>938</v>
      </c>
      <c r="G29" s="332" t="s">
        <v>519</v>
      </c>
      <c r="H29" s="333" t="s">
        <v>1090</v>
      </c>
      <c r="I29" s="320" t="s">
        <v>474</v>
      </c>
      <c r="J29" s="320" t="s">
        <v>474</v>
      </c>
      <c r="K29" s="320" t="s">
        <v>474</v>
      </c>
      <c r="L29" s="320" t="s">
        <v>474</v>
      </c>
      <c r="M29" s="315" t="s">
        <v>249</v>
      </c>
      <c r="N29" s="315" t="s">
        <v>520</v>
      </c>
      <c r="O29" s="321">
        <v>8640</v>
      </c>
      <c r="P29" s="322" t="str">
        <f>IF(O29&lt;=0,"",IF(O29&lt;=2,"Muy Baja",IF(O29&lt;=24,"Baja",IF(O29&lt;=500,"Media",IF(O29&lt;=5000,"Alta","Muy Alta")))))</f>
        <v>Muy Alta</v>
      </c>
      <c r="Q29" s="323">
        <f>IF(P29="","",IF(P29="Muy Baja",0.2,IF(P29="Baja",0.4,IF(P29="Media",0.6,IF(P29="Alta",0.8,IF(P29="Muy Alta",1,))))))</f>
        <v>1</v>
      </c>
      <c r="R29" s="323" t="s">
        <v>190</v>
      </c>
      <c r="S29" s="323" t="str">
        <f ca="1">IF(NOT(ISERROR(MATCH(R29,'Tabla Impacto'!$B$221:$B$223,0))),'Tabla Impacto'!$F$223&amp;"Por favor no seleccionar los criterios de impacto(Afectación Económica o presupuestal y Pérdida Reputacional)",R29)</f>
        <v>El riesgo afecta la imagen de la entidad con algunos usuarios de relevancia frente al logro de los objetivos</v>
      </c>
      <c r="T29" s="322" t="str">
        <f ca="1">+IF(OR(S29='[1]Tabla Impacto'!$C$11,S29='[1]Tabla Impacto'!$D$11),"Leve",IF(OR(S29='[1]Tabla Impacto'!$C$12,S29='[1]Tabla Impacto'!$D$12),"Menor",IF(OR(S29='[1]Tabla Impacto'!$C$13,S29='[1]Tabla Impacto'!$D$13),"Moderado",IF(OR(S29='[1]Tabla Impacto'!$C$14,S29='[1]Tabla Impacto'!$D$14),"Mayor",IF(OR(S29='[1]Tabla Impacto'!$C$15,S29='[1]Tabla Impacto'!$D$15),"Catastrófico","")))))</f>
        <v>Moderado</v>
      </c>
      <c r="U29" s="323">
        <f t="shared" ref="U29" ca="1" si="48">IF(T29="","",IF(T29="Leve",0.2,IF(T29="Menor",0.4,IF(T29="Moderado",0.6,IF(T29="Mayor",0.8,IF(T29="Catastrófico",1,))))))</f>
        <v>0.6</v>
      </c>
      <c r="V29" s="309" t="str">
        <f t="shared" ref="V29" ca="1" si="49">IF(OR(AND(P29="Muy Baja",T29="Leve"),AND(P29="Muy Baja",T29="Menor"),AND(P29="Baja",T29="Leve")),"Bajo",IF(OR(AND(P29="Muy baja",T29="Moderado"),AND(P29="Baja",T29="Menor"),AND(P29="Baja",T29="Moderado"),AND(P29="Media",T29="Leve"),AND(P29="Media",T29="Menor"),AND(P29="Media",T29="Moderado"),AND(P29="Alta",T29="Leve"),AND(P29="Alta",T29="Menor")),"Moderado",IF(OR(AND(P29="Muy Baja",T29="Mayor"),AND(P29="Baja",T29="Mayor"),AND(P29="Media",T29="Mayor"),AND(P29="Alta",T29="Moderado"),AND(P29="Alta",T29="Mayor"),AND(P29="Muy Alta",T29="Leve"),AND(P29="Muy Alta",T29="Menor"),AND(P29="Muy Alta",T29="Moderado"),AND(P29="Muy Alta",T29="Mayor")),"Alto",IF(OR(AND(P29="Muy Baja",T29="Catastrófico"),AND(P29="Baja",T29="Catastrófico"),AND(P29="Media",T29="Catastrófico"),AND(P29="Alta",T29="Catastrófico"),AND(P29="Muy Alta",T29="Catastrófico")),"Extremo",""))))</f>
        <v>Alto</v>
      </c>
      <c r="W29" s="252">
        <v>1</v>
      </c>
      <c r="X29" s="207" t="s">
        <v>1170</v>
      </c>
      <c r="Y29" s="250" t="str">
        <f t="shared" si="28"/>
        <v>Probabilidad</v>
      </c>
      <c r="Z29" s="185" t="s">
        <v>208</v>
      </c>
      <c r="AA29" s="185" t="s">
        <v>214</v>
      </c>
      <c r="AB29" s="186" t="str">
        <f t="shared" si="1"/>
        <v>50%</v>
      </c>
      <c r="AC29" s="185" t="s">
        <v>219</v>
      </c>
      <c r="AD29" s="185" t="s">
        <v>224</v>
      </c>
      <c r="AE29" s="185" t="s">
        <v>228</v>
      </c>
      <c r="AF29" s="187">
        <f t="shared" ref="AF29" si="50">IFERROR(IF(Y29="Probabilidad",(Q29-(+Q29*AB29)),IF(Y29="Impacto",Q29,"")),"")</f>
        <v>0.5</v>
      </c>
      <c r="AG29" s="188" t="str">
        <f t="shared" si="29"/>
        <v>Media</v>
      </c>
      <c r="AH29" s="186">
        <f t="shared" si="30"/>
        <v>0.5</v>
      </c>
      <c r="AI29" s="188" t="str">
        <f t="shared" ca="1" si="31"/>
        <v>Moderado</v>
      </c>
      <c r="AJ29" s="186">
        <f t="shared" ref="AJ29" ca="1" si="51">IFERROR(IF(Y29="Impacto",(U29-(+U29*AB29)),IF(Y29="Probabilidad",U29,"")),"")</f>
        <v>0.6</v>
      </c>
      <c r="AK29" s="189" t="str">
        <f t="shared" ca="1" si="33"/>
        <v>Moderado</v>
      </c>
      <c r="AL29" s="185" t="s">
        <v>255</v>
      </c>
      <c r="AM29" s="246"/>
      <c r="AN29" s="250"/>
      <c r="AO29" s="245"/>
      <c r="AP29" s="245"/>
      <c r="AQ29" s="246"/>
      <c r="AR29" s="247"/>
      <c r="AS29" s="190"/>
      <c r="AT29" s="190"/>
      <c r="AU29" s="190"/>
      <c r="AV29" s="190"/>
      <c r="AW29" s="190"/>
      <c r="AX29" s="190"/>
      <c r="AY29" s="190"/>
      <c r="AZ29" s="190"/>
      <c r="BA29" s="190"/>
      <c r="BB29" s="190"/>
      <c r="BC29" s="190"/>
      <c r="BD29" s="190"/>
      <c r="BE29" s="190"/>
      <c r="BF29" s="190"/>
      <c r="BG29" s="190"/>
      <c r="BH29" s="190"/>
      <c r="BI29" s="190"/>
      <c r="BJ29" s="190"/>
      <c r="BK29" s="190"/>
      <c r="BL29" s="190"/>
      <c r="BM29" s="190"/>
      <c r="BN29" s="190"/>
      <c r="BO29" s="190"/>
      <c r="BP29" s="190"/>
      <c r="BQ29" s="190"/>
      <c r="BR29" s="190"/>
      <c r="BS29" s="190"/>
      <c r="BT29" s="190"/>
      <c r="BU29" s="190"/>
      <c r="BV29" s="190"/>
      <c r="BW29" s="190"/>
      <c r="BX29" s="190"/>
    </row>
    <row r="30" spans="1:76" s="191" customFormat="1" ht="140.25" customHeight="1" thickTop="1" thickBot="1" x14ac:dyDescent="0.3">
      <c r="A30" s="310"/>
      <c r="B30" s="327"/>
      <c r="C30" s="315"/>
      <c r="D30" s="315"/>
      <c r="E30" s="315"/>
      <c r="F30" s="332"/>
      <c r="G30" s="332"/>
      <c r="H30" s="333"/>
      <c r="I30" s="320"/>
      <c r="J30" s="320"/>
      <c r="K30" s="320"/>
      <c r="L30" s="320"/>
      <c r="M30" s="315"/>
      <c r="N30" s="315"/>
      <c r="O30" s="321"/>
      <c r="P30" s="322"/>
      <c r="Q30" s="323"/>
      <c r="R30" s="323"/>
      <c r="S30" s="323">
        <f ca="1">IF(NOT(ISERROR(MATCH(R30,_xlfn.ANCHORARRAY(H38),0))),#REF!&amp;"Por favor no seleccionar los criterios de impacto",R30)</f>
        <v>0</v>
      </c>
      <c r="T30" s="322"/>
      <c r="U30" s="323"/>
      <c r="V30" s="309"/>
      <c r="W30" s="252">
        <v>2</v>
      </c>
      <c r="X30" s="207" t="s">
        <v>1171</v>
      </c>
      <c r="Y30" s="250" t="str">
        <f t="shared" si="28"/>
        <v>Probabilidad</v>
      </c>
      <c r="Z30" s="185" t="s">
        <v>208</v>
      </c>
      <c r="AA30" s="185" t="s">
        <v>216</v>
      </c>
      <c r="AB30" s="186" t="str">
        <f t="shared" si="1"/>
        <v>40%</v>
      </c>
      <c r="AC30" s="185" t="s">
        <v>219</v>
      </c>
      <c r="AD30" s="185" t="s">
        <v>224</v>
      </c>
      <c r="AE30" s="185" t="s">
        <v>228</v>
      </c>
      <c r="AF30" s="187">
        <f t="shared" ref="AF30:AF32" si="52">IFERROR(IF(AND(Y29="Probabilidad",Y30="Probabilidad"),(AH29-(+AH29*AB30)),IF(Y30="Probabilidad",(Q29-(+Q29*AB30)),IF(Y30="Impacto",AH29,""))),"")</f>
        <v>0.3</v>
      </c>
      <c r="AG30" s="188" t="str">
        <f t="shared" si="29"/>
        <v>Baja</v>
      </c>
      <c r="AH30" s="186">
        <f t="shared" si="30"/>
        <v>0.3</v>
      </c>
      <c r="AI30" s="188" t="str">
        <f t="shared" ca="1" si="31"/>
        <v>Moderado</v>
      </c>
      <c r="AJ30" s="186">
        <f t="shared" ref="AJ30" ca="1" si="53">IFERROR(IF(AND(Y29="Impacto",Y30="Impacto"),(AJ29-(+AJ29*AB30)),IF(Y30="Impacto",(U29-(+U29*AB30)),IF(Y30="Probabilidad",AJ29,""))),"")</f>
        <v>0.6</v>
      </c>
      <c r="AK30" s="189" t="str">
        <f t="shared" ca="1" si="33"/>
        <v>Moderado</v>
      </c>
      <c r="AL30" s="185" t="s">
        <v>255</v>
      </c>
      <c r="AM30" s="246"/>
      <c r="AN30" s="250"/>
      <c r="AO30" s="245"/>
      <c r="AP30" s="245"/>
      <c r="AQ30" s="246"/>
      <c r="AR30" s="247"/>
      <c r="AS30" s="190"/>
      <c r="AT30" s="190"/>
      <c r="AU30" s="190"/>
      <c r="AV30" s="190"/>
      <c r="AW30" s="190"/>
      <c r="AX30" s="190"/>
      <c r="AY30" s="190"/>
      <c r="AZ30" s="190"/>
      <c r="BA30" s="190"/>
      <c r="BB30" s="190"/>
      <c r="BC30" s="190"/>
      <c r="BD30" s="190"/>
      <c r="BE30" s="190"/>
      <c r="BF30" s="190"/>
      <c r="BG30" s="190"/>
      <c r="BH30" s="190"/>
      <c r="BI30" s="190"/>
      <c r="BJ30" s="190"/>
      <c r="BK30" s="190"/>
      <c r="BL30" s="190"/>
      <c r="BM30" s="190"/>
      <c r="BN30" s="190"/>
      <c r="BO30" s="190"/>
      <c r="BP30" s="190"/>
      <c r="BQ30" s="190"/>
      <c r="BR30" s="190"/>
      <c r="BS30" s="190"/>
      <c r="BT30" s="190"/>
      <c r="BU30" s="190"/>
      <c r="BV30" s="190"/>
      <c r="BW30" s="190"/>
      <c r="BX30" s="190"/>
    </row>
    <row r="31" spans="1:76" s="191" customFormat="1" ht="138.75" customHeight="1" thickTop="1" thickBot="1" x14ac:dyDescent="0.3">
      <c r="A31" s="310"/>
      <c r="B31" s="327"/>
      <c r="C31" s="315"/>
      <c r="D31" s="315"/>
      <c r="E31" s="315"/>
      <c r="F31" s="332"/>
      <c r="G31" s="332"/>
      <c r="H31" s="333"/>
      <c r="I31" s="320"/>
      <c r="J31" s="320"/>
      <c r="K31" s="320"/>
      <c r="L31" s="320"/>
      <c r="M31" s="315"/>
      <c r="N31" s="315"/>
      <c r="O31" s="321"/>
      <c r="P31" s="322"/>
      <c r="Q31" s="323"/>
      <c r="R31" s="323"/>
      <c r="S31" s="323">
        <f ca="1">IF(NOT(ISERROR(MATCH(R31,_xlfn.ANCHORARRAY(H39),0))),#REF!&amp;"Por favor no seleccionar los criterios de impacto",R31)</f>
        <v>0</v>
      </c>
      <c r="T31" s="322"/>
      <c r="U31" s="323"/>
      <c r="V31" s="309"/>
      <c r="W31" s="252">
        <v>3</v>
      </c>
      <c r="X31" s="207" t="s">
        <v>1172</v>
      </c>
      <c r="Y31" s="250" t="str">
        <f t="shared" si="28"/>
        <v>Probabilidad</v>
      </c>
      <c r="Z31" s="185" t="s">
        <v>208</v>
      </c>
      <c r="AA31" s="185" t="s">
        <v>216</v>
      </c>
      <c r="AB31" s="186" t="str">
        <f t="shared" si="1"/>
        <v>40%</v>
      </c>
      <c r="AC31" s="185" t="s">
        <v>219</v>
      </c>
      <c r="AD31" s="185" t="s">
        <v>224</v>
      </c>
      <c r="AE31" s="185" t="s">
        <v>228</v>
      </c>
      <c r="AF31" s="187">
        <f t="shared" si="52"/>
        <v>0.18</v>
      </c>
      <c r="AG31" s="188" t="str">
        <f t="shared" si="29"/>
        <v>Muy Baja</v>
      </c>
      <c r="AH31" s="186">
        <f t="shared" si="30"/>
        <v>0.18</v>
      </c>
      <c r="AI31" s="188" t="str">
        <f t="shared" ca="1" si="31"/>
        <v>Moderado</v>
      </c>
      <c r="AJ31" s="186">
        <f t="shared" ref="AJ31:AJ32" ca="1" si="54">IFERROR(IF(AND(Y30="Impacto",Y31="Impacto"),(AJ30-(+AJ30*AB31)),IF(AND(Y30="Probabilidad",Y31="Impacto"),(AJ29-(+AJ29*AB31)),IF(Y31="Probabilidad",AJ30,""))),"")</f>
        <v>0.6</v>
      </c>
      <c r="AK31" s="189" t="str">
        <f t="shared" ca="1" si="33"/>
        <v>Moderado</v>
      </c>
      <c r="AL31" s="185" t="s">
        <v>255</v>
      </c>
      <c r="AM31" s="246"/>
      <c r="AN31" s="250"/>
      <c r="AO31" s="245"/>
      <c r="AP31" s="245"/>
      <c r="AQ31" s="246"/>
      <c r="AR31" s="247"/>
      <c r="AS31" s="190"/>
      <c r="AT31" s="190"/>
      <c r="AU31" s="190"/>
      <c r="AV31" s="190"/>
      <c r="AW31" s="190"/>
      <c r="AX31" s="190"/>
      <c r="AY31" s="190"/>
      <c r="AZ31" s="190"/>
      <c r="BA31" s="190"/>
      <c r="BB31" s="190"/>
      <c r="BC31" s="190"/>
      <c r="BD31" s="190"/>
      <c r="BE31" s="190"/>
      <c r="BF31" s="190"/>
      <c r="BG31" s="190"/>
      <c r="BH31" s="190"/>
      <c r="BI31" s="190"/>
      <c r="BJ31" s="190"/>
      <c r="BK31" s="190"/>
      <c r="BL31" s="190"/>
      <c r="BM31" s="190"/>
      <c r="BN31" s="190"/>
      <c r="BO31" s="190"/>
      <c r="BP31" s="190"/>
      <c r="BQ31" s="190"/>
      <c r="BR31" s="190"/>
      <c r="BS31" s="190"/>
      <c r="BT31" s="190"/>
      <c r="BU31" s="190"/>
      <c r="BV31" s="190"/>
      <c r="BW31" s="190"/>
      <c r="BX31" s="190"/>
    </row>
    <row r="32" spans="1:76" s="191" customFormat="1" ht="116.25" customHeight="1" thickTop="1" thickBot="1" x14ac:dyDescent="0.3">
      <c r="A32" s="310"/>
      <c r="B32" s="327"/>
      <c r="C32" s="315"/>
      <c r="D32" s="315"/>
      <c r="E32" s="315"/>
      <c r="F32" s="332"/>
      <c r="G32" s="332"/>
      <c r="H32" s="333"/>
      <c r="I32" s="320"/>
      <c r="J32" s="320"/>
      <c r="K32" s="320"/>
      <c r="L32" s="320"/>
      <c r="M32" s="315"/>
      <c r="N32" s="315"/>
      <c r="O32" s="321"/>
      <c r="P32" s="322"/>
      <c r="Q32" s="323"/>
      <c r="R32" s="323"/>
      <c r="S32" s="323">
        <f ca="1">IF(NOT(ISERROR(MATCH(R32,_xlfn.ANCHORARRAY(#REF!),0))),#REF!&amp;"Por favor no seleccionar los criterios de impacto",R32)</f>
        <v>0</v>
      </c>
      <c r="T32" s="322"/>
      <c r="U32" s="323"/>
      <c r="V32" s="309"/>
      <c r="W32" s="252">
        <v>4</v>
      </c>
      <c r="X32" s="207" t="s">
        <v>1173</v>
      </c>
      <c r="Y32" s="250" t="str">
        <f t="shared" si="28"/>
        <v>Impacto</v>
      </c>
      <c r="Z32" s="185" t="s">
        <v>212</v>
      </c>
      <c r="AA32" s="185" t="s">
        <v>216</v>
      </c>
      <c r="AB32" s="186" t="str">
        <f t="shared" si="1"/>
        <v>25%</v>
      </c>
      <c r="AC32" s="185" t="s">
        <v>219</v>
      </c>
      <c r="AD32" s="185" t="s">
        <v>226</v>
      </c>
      <c r="AE32" s="185" t="s">
        <v>228</v>
      </c>
      <c r="AF32" s="187">
        <f t="shared" si="52"/>
        <v>0.18</v>
      </c>
      <c r="AG32" s="188" t="str">
        <f t="shared" si="29"/>
        <v>Muy Baja</v>
      </c>
      <c r="AH32" s="186">
        <f t="shared" si="30"/>
        <v>0.18</v>
      </c>
      <c r="AI32" s="188" t="str">
        <f t="shared" ca="1" si="31"/>
        <v>Moderado</v>
      </c>
      <c r="AJ32" s="186">
        <f t="shared" ca="1" si="54"/>
        <v>0.44999999999999996</v>
      </c>
      <c r="AK32" s="189" t="str">
        <f t="shared" ca="1" si="33"/>
        <v>Moderado</v>
      </c>
      <c r="AL32" s="185" t="s">
        <v>255</v>
      </c>
      <c r="AM32" s="246"/>
      <c r="AN32" s="250"/>
      <c r="AO32" s="245"/>
      <c r="AP32" s="245"/>
      <c r="AQ32" s="246"/>
      <c r="AR32" s="247"/>
      <c r="AS32" s="190"/>
      <c r="AT32" s="190"/>
      <c r="AU32" s="190"/>
      <c r="AV32" s="190"/>
      <c r="AW32" s="190"/>
      <c r="AX32" s="190"/>
      <c r="AY32" s="190"/>
      <c r="AZ32" s="190"/>
      <c r="BA32" s="190"/>
      <c r="BB32" s="190"/>
      <c r="BC32" s="190"/>
      <c r="BD32" s="190"/>
      <c r="BE32" s="190"/>
      <c r="BF32" s="190"/>
      <c r="BG32" s="190"/>
      <c r="BH32" s="190"/>
      <c r="BI32" s="190"/>
      <c r="BJ32" s="190"/>
      <c r="BK32" s="190"/>
      <c r="BL32" s="190"/>
      <c r="BM32" s="190"/>
      <c r="BN32" s="190"/>
      <c r="BO32" s="190"/>
      <c r="BP32" s="190"/>
      <c r="BQ32" s="190"/>
      <c r="BR32" s="190"/>
      <c r="BS32" s="190"/>
      <c r="BT32" s="190"/>
      <c r="BU32" s="190"/>
      <c r="BV32" s="190"/>
      <c r="BW32" s="190"/>
      <c r="BX32" s="190"/>
    </row>
    <row r="33" spans="1:76" s="191" customFormat="1" ht="159.75" customHeight="1" thickTop="1" thickBot="1" x14ac:dyDescent="0.3">
      <c r="A33" s="310">
        <v>9</v>
      </c>
      <c r="B33" s="327" t="s">
        <v>521</v>
      </c>
      <c r="C33" s="315" t="s">
        <v>267</v>
      </c>
      <c r="D33" s="315" t="s">
        <v>1184</v>
      </c>
      <c r="E33" s="315" t="s">
        <v>238</v>
      </c>
      <c r="F33" s="332" t="s">
        <v>522</v>
      </c>
      <c r="G33" s="332" t="s">
        <v>523</v>
      </c>
      <c r="H33" s="333" t="s">
        <v>1091</v>
      </c>
      <c r="I33" s="320" t="s">
        <v>474</v>
      </c>
      <c r="J33" s="320" t="s">
        <v>474</v>
      </c>
      <c r="K33" s="320" t="s">
        <v>474</v>
      </c>
      <c r="L33" s="320" t="s">
        <v>474</v>
      </c>
      <c r="M33" s="315" t="s">
        <v>250</v>
      </c>
      <c r="N33" s="315" t="s">
        <v>520</v>
      </c>
      <c r="O33" s="321">
        <v>52</v>
      </c>
      <c r="P33" s="322" t="str">
        <f>IF(O33&lt;=0,"",IF(O33&lt;=2,"Muy Baja",IF(O33&lt;=24,"Baja",IF(O33&lt;=500,"Media",IF(O33&lt;=5000,"Alta","Muy Alta")))))</f>
        <v>Media</v>
      </c>
      <c r="Q33" s="323">
        <f>IF(P33="","",IF(P33="Muy Baja",0.2,IF(P33="Baja",0.4,IF(P33="Media",0.6,IF(P33="Alta",0.8,IF(P33="Muy Alta",1,))))))</f>
        <v>0.6</v>
      </c>
      <c r="R33" s="323" t="s">
        <v>196</v>
      </c>
      <c r="S33" s="323" t="str">
        <f ca="1">IF(NOT(ISERROR(MATCH(R33,'Tabla Impacto'!$B$221:$B$223,0))),'Tabla Impacto'!$F$223&amp;"Por favor no seleccionar los criterios de impacto(Afectación Económica o presupuestal y Pérdida Reputacional)",R33)</f>
        <v>El riesgo afecta la imagen de la entidad a nivel nacional, con efecto publicitarios sostenible a nivel país</v>
      </c>
      <c r="T33" s="322" t="str">
        <f ca="1">+IF(OR(S33='[1]Tabla Impacto'!$C$11,S33='[1]Tabla Impacto'!$D$11),"Leve",IF(OR(S33='[1]Tabla Impacto'!$C$12,S33='[1]Tabla Impacto'!$D$12),"Menor",IF(OR(S33='[1]Tabla Impacto'!$C$13,S33='[1]Tabla Impacto'!$D$13),"Moderado",IF(OR(S33='[1]Tabla Impacto'!$C$14,S33='[1]Tabla Impacto'!$D$14),"Mayor",IF(OR(S33='[1]Tabla Impacto'!$C$15,S33='[1]Tabla Impacto'!$D$15),"Catastrófico","")))))</f>
        <v>Catastrófico</v>
      </c>
      <c r="U33" s="323">
        <f t="shared" ref="U33" ca="1" si="55">IF(T33="","",IF(T33="Leve",0.2,IF(T33="Menor",0.4,IF(T33="Moderado",0.6,IF(T33="Mayor",0.8,IF(T33="Catastrófico",1,))))))</f>
        <v>1</v>
      </c>
      <c r="V33" s="309" t="str">
        <f t="shared" ref="V33" ca="1" si="56">IF(OR(AND(P33="Muy Baja",T33="Leve"),AND(P33="Muy Baja",T33="Menor"),AND(P33="Baja",T33="Leve")),"Bajo",IF(OR(AND(P33="Muy baja",T33="Moderado"),AND(P33="Baja",T33="Menor"),AND(P33="Baja",T33="Moderado"),AND(P33="Media",T33="Leve"),AND(P33="Media",T33="Menor"),AND(P33="Media",T33="Moderado"),AND(P33="Alta",T33="Leve"),AND(P33="Alta",T33="Menor")),"Moderado",IF(OR(AND(P33="Muy Baja",T33="Mayor"),AND(P33="Baja",T33="Mayor"),AND(P33="Media",T33="Mayor"),AND(P33="Alta",T33="Moderado"),AND(P33="Alta",T33="Mayor"),AND(P33="Muy Alta",T33="Leve"),AND(P33="Muy Alta",T33="Menor"),AND(P33="Muy Alta",T33="Moderado"),AND(P33="Muy Alta",T33="Mayor")),"Alto",IF(OR(AND(P33="Muy Baja",T33="Catastrófico"),AND(P33="Baja",T33="Catastrófico"),AND(P33="Media",T33="Catastrófico"),AND(P33="Alta",T33="Catastrófico"),AND(P33="Muy Alta",T33="Catastrófico")),"Extremo",""))))</f>
        <v>Extremo</v>
      </c>
      <c r="W33" s="252">
        <v>1</v>
      </c>
      <c r="X33" s="207" t="s">
        <v>1177</v>
      </c>
      <c r="Y33" s="250" t="str">
        <f t="shared" si="28"/>
        <v>Probabilidad</v>
      </c>
      <c r="Z33" s="185" t="s">
        <v>208</v>
      </c>
      <c r="AA33" s="185" t="s">
        <v>216</v>
      </c>
      <c r="AB33" s="186" t="str">
        <f t="shared" si="1"/>
        <v>40%</v>
      </c>
      <c r="AC33" s="185" t="s">
        <v>219</v>
      </c>
      <c r="AD33" s="185" t="s">
        <v>224</v>
      </c>
      <c r="AE33" s="185" t="s">
        <v>228</v>
      </c>
      <c r="AF33" s="187">
        <f t="shared" ref="AF33" si="57">IFERROR(IF(Y33="Probabilidad",(Q33-(+Q33*AB33)),IF(Y33="Impacto",Q33,"")),"")</f>
        <v>0.36</v>
      </c>
      <c r="AG33" s="188" t="str">
        <f t="shared" si="29"/>
        <v>Baja</v>
      </c>
      <c r="AH33" s="186">
        <f t="shared" si="30"/>
        <v>0.36</v>
      </c>
      <c r="AI33" s="188" t="str">
        <f t="shared" ca="1" si="31"/>
        <v>Catastrófico</v>
      </c>
      <c r="AJ33" s="186">
        <f t="shared" ref="AJ33" ca="1" si="58">IFERROR(IF(Y33="Impacto",(U33-(+U33*AB33)),IF(Y33="Probabilidad",U33,"")),"")</f>
        <v>1</v>
      </c>
      <c r="AK33" s="189" t="str">
        <f t="shared" ca="1" si="33"/>
        <v>Extremo</v>
      </c>
      <c r="AL33" s="185" t="s">
        <v>262</v>
      </c>
      <c r="AM33" s="246" t="s">
        <v>525</v>
      </c>
      <c r="AN33" s="246" t="s">
        <v>526</v>
      </c>
      <c r="AO33" s="245" t="s">
        <v>964</v>
      </c>
      <c r="AP33" s="245" t="s">
        <v>527</v>
      </c>
      <c r="AQ33" s="246" t="s">
        <v>528</v>
      </c>
      <c r="AR33" s="247" t="s">
        <v>259</v>
      </c>
      <c r="AS33" s="190"/>
      <c r="AT33" s="190"/>
      <c r="AU33" s="190"/>
      <c r="AV33" s="190"/>
      <c r="AW33" s="190"/>
      <c r="AX33" s="190"/>
      <c r="AY33" s="190"/>
      <c r="AZ33" s="190"/>
      <c r="BA33" s="190"/>
      <c r="BB33" s="190"/>
      <c r="BC33" s="190"/>
      <c r="BD33" s="190"/>
      <c r="BE33" s="190"/>
      <c r="BF33" s="190"/>
      <c r="BG33" s="190"/>
      <c r="BH33" s="190"/>
      <c r="BI33" s="190"/>
      <c r="BJ33" s="190"/>
      <c r="BK33" s="190"/>
      <c r="BL33" s="190"/>
      <c r="BM33" s="190"/>
      <c r="BN33" s="190"/>
      <c r="BO33" s="190"/>
      <c r="BP33" s="190"/>
      <c r="BQ33" s="190"/>
      <c r="BR33" s="190"/>
      <c r="BS33" s="190"/>
      <c r="BT33" s="190"/>
      <c r="BU33" s="190"/>
      <c r="BV33" s="190"/>
      <c r="BW33" s="190"/>
      <c r="BX33" s="190"/>
    </row>
    <row r="34" spans="1:76" s="191" customFormat="1" ht="159.75" customHeight="1" thickTop="1" thickBot="1" x14ac:dyDescent="0.3">
      <c r="A34" s="310"/>
      <c r="B34" s="327"/>
      <c r="C34" s="315"/>
      <c r="D34" s="315"/>
      <c r="E34" s="315"/>
      <c r="F34" s="332"/>
      <c r="G34" s="332"/>
      <c r="H34" s="333"/>
      <c r="I34" s="320"/>
      <c r="J34" s="320"/>
      <c r="K34" s="320"/>
      <c r="L34" s="320"/>
      <c r="M34" s="315"/>
      <c r="N34" s="315"/>
      <c r="O34" s="321"/>
      <c r="P34" s="322"/>
      <c r="Q34" s="323"/>
      <c r="R34" s="323"/>
      <c r="S34" s="323">
        <f ca="1">IF(NOT(ISERROR(MATCH(R34,_xlfn.ANCHORARRAY(H40),0))),#REF!&amp;"Por favor no seleccionar los criterios de impacto",R34)</f>
        <v>0</v>
      </c>
      <c r="T34" s="322"/>
      <c r="U34" s="323"/>
      <c r="V34" s="309"/>
      <c r="W34" s="252">
        <v>2</v>
      </c>
      <c r="X34" s="207" t="s">
        <v>1175</v>
      </c>
      <c r="Y34" s="250" t="str">
        <f t="shared" si="28"/>
        <v>Probabilidad</v>
      </c>
      <c r="Z34" s="185" t="s">
        <v>208</v>
      </c>
      <c r="AA34" s="185" t="s">
        <v>216</v>
      </c>
      <c r="AB34" s="186" t="str">
        <f t="shared" si="1"/>
        <v>40%</v>
      </c>
      <c r="AC34" s="185" t="s">
        <v>219</v>
      </c>
      <c r="AD34" s="185" t="s">
        <v>224</v>
      </c>
      <c r="AE34" s="185" t="s">
        <v>228</v>
      </c>
      <c r="AF34" s="187">
        <f>IFERROR(IF(AND(Y33="Probabilidad",Y34="Probabilidad"),(AH33-(+AH33*AB34)),IF(Y34="Probabilidad",(Q33-(+Q33*AB34)),IF(Y34="Impacto",AH33,""))),"")</f>
        <v>0.216</v>
      </c>
      <c r="AG34" s="188" t="str">
        <f t="shared" si="29"/>
        <v>Baja</v>
      </c>
      <c r="AH34" s="186">
        <f t="shared" si="30"/>
        <v>0.216</v>
      </c>
      <c r="AI34" s="188" t="str">
        <f t="shared" ca="1" si="31"/>
        <v>Catastrófico</v>
      </c>
      <c r="AJ34" s="186">
        <f ca="1">IFERROR(IF(AND(Y33="Impacto",Y34="Impacto"),(AJ33-(+AJ33*AB34)),IF(Y34="Impacto",(U33-(+U33*AB34)),IF(Y34="Probabilidad",AJ33,""))),"")</f>
        <v>1</v>
      </c>
      <c r="AK34" s="189" t="str">
        <f t="shared" ca="1" si="33"/>
        <v>Extremo</v>
      </c>
      <c r="AL34" s="185" t="s">
        <v>262</v>
      </c>
      <c r="AM34" s="246" t="s">
        <v>529</v>
      </c>
      <c r="AN34" s="246" t="s">
        <v>526</v>
      </c>
      <c r="AO34" s="245" t="s">
        <v>964</v>
      </c>
      <c r="AP34" s="245" t="s">
        <v>527</v>
      </c>
      <c r="AQ34" s="246" t="s">
        <v>530</v>
      </c>
      <c r="AR34" s="247" t="s">
        <v>259</v>
      </c>
      <c r="AS34" s="190"/>
      <c r="AT34" s="190"/>
      <c r="AU34" s="190"/>
      <c r="AV34" s="190"/>
      <c r="AW34" s="190"/>
      <c r="AX34" s="190"/>
      <c r="AY34" s="190"/>
      <c r="AZ34" s="190"/>
      <c r="BA34" s="190"/>
      <c r="BB34" s="190"/>
      <c r="BC34" s="190"/>
      <c r="BD34" s="190"/>
      <c r="BE34" s="190"/>
      <c r="BF34" s="190"/>
      <c r="BG34" s="190"/>
      <c r="BH34" s="190"/>
      <c r="BI34" s="190"/>
      <c r="BJ34" s="190"/>
      <c r="BK34" s="190"/>
      <c r="BL34" s="190"/>
      <c r="BM34" s="190"/>
      <c r="BN34" s="190"/>
      <c r="BO34" s="190"/>
      <c r="BP34" s="190"/>
      <c r="BQ34" s="190"/>
      <c r="BR34" s="190"/>
      <c r="BS34" s="190"/>
      <c r="BT34" s="190"/>
      <c r="BU34" s="190"/>
      <c r="BV34" s="190"/>
      <c r="BW34" s="190"/>
      <c r="BX34" s="190"/>
    </row>
    <row r="35" spans="1:76" s="191" customFormat="1" ht="151.5" customHeight="1" thickTop="1" thickBot="1" x14ac:dyDescent="0.3">
      <c r="A35" s="310"/>
      <c r="B35" s="327"/>
      <c r="C35" s="315"/>
      <c r="D35" s="315"/>
      <c r="E35" s="315"/>
      <c r="F35" s="332"/>
      <c r="G35" s="332"/>
      <c r="H35" s="333"/>
      <c r="I35" s="320"/>
      <c r="J35" s="320"/>
      <c r="K35" s="320"/>
      <c r="L35" s="320"/>
      <c r="M35" s="315"/>
      <c r="N35" s="315"/>
      <c r="O35" s="321"/>
      <c r="P35" s="322"/>
      <c r="Q35" s="323"/>
      <c r="R35" s="323"/>
      <c r="S35" s="323">
        <f ca="1">IF(NOT(ISERROR(MATCH(R35,_xlfn.ANCHORARRAY(H41),0))),#REF!&amp;"Por favor no seleccionar los criterios de impacto",R35)</f>
        <v>0</v>
      </c>
      <c r="T35" s="322"/>
      <c r="U35" s="323"/>
      <c r="V35" s="309"/>
      <c r="W35" s="252">
        <v>3</v>
      </c>
      <c r="X35" s="207" t="s">
        <v>524</v>
      </c>
      <c r="Y35" s="250" t="str">
        <f>IF(OR(Z35="Preventivo",Z35="Detectivo"),"Probabilidad",IF(Z35="Correctivo","Impacto",""))</f>
        <v>Probabilidad</v>
      </c>
      <c r="Z35" s="185" t="s">
        <v>210</v>
      </c>
      <c r="AA35" s="185" t="s">
        <v>216</v>
      </c>
      <c r="AB35" s="186" t="str">
        <f t="shared" si="1"/>
        <v>30%</v>
      </c>
      <c r="AC35" s="185" t="s">
        <v>219</v>
      </c>
      <c r="AD35" s="185" t="s">
        <v>224</v>
      </c>
      <c r="AE35" s="185" t="s">
        <v>228</v>
      </c>
      <c r="AF35" s="187">
        <f>IFERROR(IF(AND(Y34="Probabilidad",Y35="Probabilidad"),(AH34-(+AH34*AB35)),IF(Y35="Probabilidad",(Q34-(+Q34*AB35)),IF(Y35="Impacto",AH34,""))),"")</f>
        <v>0.1512</v>
      </c>
      <c r="AG35" s="188" t="str">
        <f t="shared" si="29"/>
        <v>Muy Baja</v>
      </c>
      <c r="AH35" s="186">
        <f t="shared" si="30"/>
        <v>0.1512</v>
      </c>
      <c r="AI35" s="188" t="str">
        <f t="shared" ca="1" si="31"/>
        <v>Catastrófico</v>
      </c>
      <c r="AJ35" s="186">
        <f ca="1">IFERROR(IF(AND(Y34="Impacto",Y35="Impacto"),(AJ34-(+AJ34*AB35)),IF(AND(Y34="Probabilidad",Y35="Impacto"),(AJ33-(+AJ33*AB35)),IF(Y35="Probabilidad",AJ34,""))),"")</f>
        <v>1</v>
      </c>
      <c r="AK35" s="189" t="str">
        <f t="shared" ca="1" si="33"/>
        <v>Extremo</v>
      </c>
      <c r="AL35" s="185" t="s">
        <v>262</v>
      </c>
      <c r="AM35" s="246"/>
      <c r="AN35" s="250"/>
      <c r="AO35" s="245"/>
      <c r="AP35" s="245"/>
      <c r="AQ35" s="246"/>
      <c r="AR35" s="247"/>
      <c r="AS35" s="190"/>
      <c r="AT35" s="190"/>
      <c r="AU35" s="190"/>
      <c r="AV35" s="190"/>
      <c r="AW35" s="190"/>
      <c r="AX35" s="190"/>
      <c r="AY35" s="190"/>
      <c r="AZ35" s="190"/>
      <c r="BA35" s="190"/>
      <c r="BB35" s="190"/>
      <c r="BC35" s="190"/>
      <c r="BD35" s="190"/>
      <c r="BE35" s="190"/>
      <c r="BF35" s="190"/>
      <c r="BG35" s="190"/>
      <c r="BH35" s="190"/>
      <c r="BI35" s="190"/>
      <c r="BJ35" s="190"/>
      <c r="BK35" s="190"/>
      <c r="BL35" s="190"/>
      <c r="BM35" s="190"/>
      <c r="BN35" s="190"/>
      <c r="BO35" s="190"/>
      <c r="BP35" s="190"/>
      <c r="BQ35" s="190"/>
      <c r="BR35" s="190"/>
      <c r="BS35" s="190"/>
      <c r="BT35" s="190"/>
      <c r="BU35" s="190"/>
      <c r="BV35" s="190"/>
      <c r="BW35" s="190"/>
      <c r="BX35" s="190"/>
    </row>
    <row r="36" spans="1:76" s="191" customFormat="1" ht="159.75" customHeight="1" thickTop="1" thickBot="1" x14ac:dyDescent="0.3">
      <c r="A36" s="310"/>
      <c r="B36" s="327"/>
      <c r="C36" s="315"/>
      <c r="D36" s="315"/>
      <c r="E36" s="315"/>
      <c r="F36" s="332"/>
      <c r="G36" s="332"/>
      <c r="H36" s="333"/>
      <c r="I36" s="320"/>
      <c r="J36" s="320"/>
      <c r="K36" s="320"/>
      <c r="L36" s="320"/>
      <c r="M36" s="315"/>
      <c r="N36" s="315"/>
      <c r="O36" s="321"/>
      <c r="P36" s="322"/>
      <c r="Q36" s="323"/>
      <c r="R36" s="323"/>
      <c r="S36" s="323">
        <f ca="1">IF(NOT(ISERROR(MATCH(R36,_xlfn.ANCHORARRAY(#REF!),0))),#REF!&amp;"Por favor no seleccionar los criterios de impacto",R36)</f>
        <v>0</v>
      </c>
      <c r="T36" s="322"/>
      <c r="U36" s="323"/>
      <c r="V36" s="309"/>
      <c r="W36" s="252">
        <v>4</v>
      </c>
      <c r="X36" s="207" t="s">
        <v>1176</v>
      </c>
      <c r="Y36" s="250" t="str">
        <f>IF(OR(Z36="Preventivo",Z36="Detectivo"),"Probabilidad",IF(Z36="Correctivo","Impacto",""))</f>
        <v>Probabilidad</v>
      </c>
      <c r="Z36" s="185" t="s">
        <v>208</v>
      </c>
      <c r="AA36" s="185" t="s">
        <v>214</v>
      </c>
      <c r="AB36" s="186" t="str">
        <f t="shared" si="1"/>
        <v>50%</v>
      </c>
      <c r="AC36" s="185" t="s">
        <v>219</v>
      </c>
      <c r="AD36" s="185" t="s">
        <v>224</v>
      </c>
      <c r="AE36" s="185" t="s">
        <v>228</v>
      </c>
      <c r="AF36" s="187">
        <f>IFERROR(IF(AND(Y35="Probabilidad",Y36="Probabilidad"),(AH35-(+AH35*AB36)),IF(Y36="Probabilidad",(Q35-(+Q35*AB36)),IF(Y36="Impacto",AH35,""))),"")</f>
        <v>7.5600000000000001E-2</v>
      </c>
      <c r="AG36" s="188" t="str">
        <f t="shared" si="29"/>
        <v>Muy Baja</v>
      </c>
      <c r="AH36" s="186">
        <f t="shared" si="30"/>
        <v>7.5600000000000001E-2</v>
      </c>
      <c r="AI36" s="188" t="str">
        <f t="shared" ca="1" si="31"/>
        <v>Catastrófico</v>
      </c>
      <c r="AJ36" s="186">
        <f ca="1">IFERROR(IF(AND(Y35="Impacto",Y36="Impacto"),(AJ35-(+AJ35*AB36)),IF(AND(Y35="Probabilidad",Y36="Impacto"),(AJ34-(+AJ34*AB36)),IF(Y36="Probabilidad",AJ35,""))),"")</f>
        <v>1</v>
      </c>
      <c r="AK36" s="189" t="str">
        <f t="shared" ca="1" si="33"/>
        <v>Extremo</v>
      </c>
      <c r="AL36" s="185" t="s">
        <v>262</v>
      </c>
      <c r="AM36" s="246"/>
      <c r="AN36" s="250"/>
      <c r="AO36" s="245"/>
      <c r="AP36" s="245"/>
      <c r="AQ36" s="246"/>
      <c r="AR36" s="247"/>
      <c r="AS36" s="190"/>
      <c r="AT36" s="190"/>
      <c r="AU36" s="190"/>
      <c r="AV36" s="190"/>
      <c r="AW36" s="190"/>
      <c r="AX36" s="190"/>
      <c r="AY36" s="190"/>
      <c r="AZ36" s="190"/>
      <c r="BA36" s="190"/>
      <c r="BB36" s="190"/>
      <c r="BC36" s="190"/>
      <c r="BD36" s="190"/>
      <c r="BE36" s="190"/>
      <c r="BF36" s="190"/>
      <c r="BG36" s="190"/>
      <c r="BH36" s="190"/>
      <c r="BI36" s="190"/>
      <c r="BJ36" s="190"/>
      <c r="BK36" s="190"/>
      <c r="BL36" s="190"/>
      <c r="BM36" s="190"/>
      <c r="BN36" s="190"/>
      <c r="BO36" s="190"/>
      <c r="BP36" s="190"/>
      <c r="BQ36" s="190"/>
      <c r="BR36" s="190"/>
      <c r="BS36" s="190"/>
      <c r="BT36" s="190"/>
      <c r="BU36" s="190"/>
      <c r="BV36" s="190"/>
      <c r="BW36" s="190"/>
      <c r="BX36" s="190"/>
    </row>
    <row r="37" spans="1:76" s="191" customFormat="1" ht="159.75" customHeight="1" thickTop="1" thickBot="1" x14ac:dyDescent="0.3">
      <c r="A37" s="310"/>
      <c r="B37" s="327"/>
      <c r="C37" s="315"/>
      <c r="D37" s="315"/>
      <c r="E37" s="315"/>
      <c r="F37" s="332"/>
      <c r="G37" s="332"/>
      <c r="H37" s="333"/>
      <c r="I37" s="320"/>
      <c r="J37" s="320"/>
      <c r="K37" s="320"/>
      <c r="L37" s="320"/>
      <c r="M37" s="315"/>
      <c r="N37" s="315"/>
      <c r="O37" s="321"/>
      <c r="P37" s="322"/>
      <c r="Q37" s="323"/>
      <c r="R37" s="323"/>
      <c r="S37" s="323">
        <f ca="1">IF(NOT(ISERROR(MATCH(R37,_xlfn.ANCHORARRAY(#REF!),0))),#REF!&amp;"Por favor no seleccionar los criterios de impacto",R37)</f>
        <v>0</v>
      </c>
      <c r="T37" s="322"/>
      <c r="U37" s="323"/>
      <c r="V37" s="309"/>
      <c r="W37" s="252">
        <v>5</v>
      </c>
      <c r="X37" s="207" t="s">
        <v>1178</v>
      </c>
      <c r="Y37" s="250" t="str">
        <f>IF(OR(Z37="Preventivo",Z37="Detectivo"),"Probabilidad",IF(Z37="Correctivo","Impacto",""))</f>
        <v>Probabilidad</v>
      </c>
      <c r="Z37" s="185" t="s">
        <v>210</v>
      </c>
      <c r="AA37" s="185" t="s">
        <v>214</v>
      </c>
      <c r="AB37" s="186" t="str">
        <f t="shared" si="1"/>
        <v>40%</v>
      </c>
      <c r="AC37" s="185" t="s">
        <v>219</v>
      </c>
      <c r="AD37" s="185" t="s">
        <v>224</v>
      </c>
      <c r="AE37" s="185" t="s">
        <v>228</v>
      </c>
      <c r="AF37" s="187">
        <f>IFERROR(IF(AND(Y36="Probabilidad",Y37="Probabilidad"),(AH36-(+AH36*AB37)),IF(Y37="Probabilidad",(Q36-(+Q36*AB37)),IF(Y37="Impacto",AH36,""))),"")</f>
        <v>4.5359999999999998E-2</v>
      </c>
      <c r="AG37" s="188" t="str">
        <f t="shared" si="29"/>
        <v>Muy Baja</v>
      </c>
      <c r="AH37" s="186">
        <f t="shared" si="30"/>
        <v>4.5359999999999998E-2</v>
      </c>
      <c r="AI37" s="188" t="str">
        <f t="shared" ca="1" si="31"/>
        <v>Catastrófico</v>
      </c>
      <c r="AJ37" s="186">
        <f ca="1">IFERROR(IF(AND(Y36="Impacto",Y37="Impacto"),(AJ36-(+AJ36*AB37)),IF(AND(Y36="Probabilidad",Y37="Impacto"),(AJ35-(+AJ35*AB37)),IF(Y37="Probabilidad",AJ36,""))),"")</f>
        <v>1</v>
      </c>
      <c r="AK37" s="189" t="str">
        <f t="shared" ca="1" si="33"/>
        <v>Extremo</v>
      </c>
      <c r="AL37" s="185" t="s">
        <v>262</v>
      </c>
      <c r="AM37" s="246"/>
      <c r="AN37" s="250"/>
      <c r="AO37" s="245"/>
      <c r="AP37" s="245"/>
      <c r="AQ37" s="246"/>
      <c r="AR37" s="247"/>
      <c r="AS37" s="190"/>
      <c r="AT37" s="190"/>
      <c r="AU37" s="190"/>
      <c r="AV37" s="190"/>
      <c r="AW37" s="190"/>
      <c r="AX37" s="190"/>
      <c r="AY37" s="190"/>
      <c r="AZ37" s="190"/>
      <c r="BA37" s="190"/>
      <c r="BB37" s="190"/>
      <c r="BC37" s="190"/>
      <c r="BD37" s="190"/>
      <c r="BE37" s="190"/>
      <c r="BF37" s="190"/>
      <c r="BG37" s="190"/>
      <c r="BH37" s="190"/>
      <c r="BI37" s="190"/>
      <c r="BJ37" s="190"/>
      <c r="BK37" s="190"/>
      <c r="BL37" s="190"/>
      <c r="BM37" s="190"/>
      <c r="BN37" s="190"/>
      <c r="BO37" s="190"/>
      <c r="BP37" s="190"/>
      <c r="BQ37" s="190"/>
      <c r="BR37" s="190"/>
      <c r="BS37" s="190"/>
      <c r="BT37" s="190"/>
      <c r="BU37" s="190"/>
      <c r="BV37" s="190"/>
      <c r="BW37" s="190"/>
      <c r="BX37" s="190"/>
    </row>
    <row r="38" spans="1:76" s="191" customFormat="1" ht="139.5" customHeight="1" thickTop="1" thickBot="1" x14ac:dyDescent="0.3">
      <c r="A38" s="310">
        <v>10</v>
      </c>
      <c r="B38" s="327" t="s">
        <v>531</v>
      </c>
      <c r="C38" s="315" t="s">
        <v>267</v>
      </c>
      <c r="D38" s="315" t="s">
        <v>952</v>
      </c>
      <c r="E38" s="315" t="s">
        <v>236</v>
      </c>
      <c r="F38" s="332" t="s">
        <v>532</v>
      </c>
      <c r="G38" s="332" t="s">
        <v>533</v>
      </c>
      <c r="H38" s="333" t="s">
        <v>1092</v>
      </c>
      <c r="I38" s="320" t="s">
        <v>474</v>
      </c>
      <c r="J38" s="320" t="s">
        <v>474</v>
      </c>
      <c r="K38" s="320" t="s">
        <v>474</v>
      </c>
      <c r="L38" s="320" t="s">
        <v>474</v>
      </c>
      <c r="M38" s="315" t="s">
        <v>249</v>
      </c>
      <c r="N38" s="315" t="s">
        <v>520</v>
      </c>
      <c r="O38" s="321">
        <v>8640</v>
      </c>
      <c r="P38" s="322" t="str">
        <f>IF(O38&lt;=0,"",IF(O38&lt;=2,"Muy Baja",IF(O38&lt;=24,"Baja",IF(O38&lt;=500,"Media",IF(O38&lt;=5000,"Alta","Muy Alta")))))</f>
        <v>Muy Alta</v>
      </c>
      <c r="Q38" s="323">
        <f>IF(P38="","",IF(P38="Muy Baja",0.2,IF(P38="Baja",0.4,IF(P38="Media",0.6,IF(P38="Alta",0.8,IF(P38="Muy Alta",1,))))))</f>
        <v>1</v>
      </c>
      <c r="R38" s="323" t="s">
        <v>192</v>
      </c>
      <c r="S38" s="323" t="str">
        <f ca="1">IF(NOT(ISERROR(MATCH(R38,'Tabla Impacto'!$B$221:$B$223,0))),'Tabla Impacto'!$F$223&amp;"Por favor no seleccionar los criterios de impacto(Afectación Económica o presupuestal y Pérdida Reputacional)",R38)</f>
        <v xml:space="preserve">Entre 100 y 500 SMLMV </v>
      </c>
      <c r="T38" s="322" t="str">
        <f ca="1">+IF(OR(S38='[1]Tabla Impacto'!$C$11,S38='[1]Tabla Impacto'!$D$11),"Leve",IF(OR(S38='[1]Tabla Impacto'!$C$12,S38='[1]Tabla Impacto'!$D$12),"Menor",IF(OR(S38='[1]Tabla Impacto'!$C$13,S38='[1]Tabla Impacto'!$D$13),"Moderado",IF(OR(S38='[1]Tabla Impacto'!$C$14,S38='[1]Tabla Impacto'!$D$14),"Mayor",IF(OR(S38='[1]Tabla Impacto'!$C$15,S38='[1]Tabla Impacto'!$D$15),"Catastrófico","")))))</f>
        <v>Mayor</v>
      </c>
      <c r="U38" s="323">
        <f t="shared" ref="U38" ca="1" si="59">IF(T38="","",IF(T38="Leve",0.2,IF(T38="Menor",0.4,IF(T38="Moderado",0.6,IF(T38="Mayor",0.8,IF(T38="Catastrófico",1,))))))</f>
        <v>0.8</v>
      </c>
      <c r="V38" s="309" t="str">
        <f t="shared" ref="V38" ca="1" si="60">IF(OR(AND(P38="Muy Baja",T38="Leve"),AND(P38="Muy Baja",T38="Menor"),AND(P38="Baja",T38="Leve")),"Bajo",IF(OR(AND(P38="Muy baja",T38="Moderado"),AND(P38="Baja",T38="Menor"),AND(P38="Baja",T38="Moderado"),AND(P38="Media",T38="Leve"),AND(P38="Media",T38="Menor"),AND(P38="Media",T38="Moderado"),AND(P38="Alta",T38="Leve"),AND(P38="Alta",T38="Menor")),"Moderado",IF(OR(AND(P38="Muy Baja",T38="Mayor"),AND(P38="Baja",T38="Mayor"),AND(P38="Media",T38="Mayor"),AND(P38="Alta",T38="Moderado"),AND(P38="Alta",T38="Mayor"),AND(P38="Muy Alta",T38="Leve"),AND(P38="Muy Alta",T38="Menor"),AND(P38="Muy Alta",T38="Moderado"),AND(P38="Muy Alta",T38="Mayor")),"Alto",IF(OR(AND(P38="Muy Baja",T38="Catastrófico"),AND(P38="Baja",T38="Catastrófico"),AND(P38="Media",T38="Catastrófico"),AND(P38="Alta",T38="Catastrófico"),AND(P38="Muy Alta",T38="Catastrófico")),"Extremo",""))))</f>
        <v>Alto</v>
      </c>
      <c r="W38" s="252">
        <v>1</v>
      </c>
      <c r="X38" s="207" t="s">
        <v>1179</v>
      </c>
      <c r="Y38" s="250" t="str">
        <f t="shared" si="28"/>
        <v>Probabilidad</v>
      </c>
      <c r="Z38" s="185" t="s">
        <v>208</v>
      </c>
      <c r="AA38" s="185" t="s">
        <v>214</v>
      </c>
      <c r="AB38" s="186" t="str">
        <f t="shared" si="1"/>
        <v>50%</v>
      </c>
      <c r="AC38" s="185" t="s">
        <v>219</v>
      </c>
      <c r="AD38" s="185" t="s">
        <v>224</v>
      </c>
      <c r="AE38" s="185" t="s">
        <v>228</v>
      </c>
      <c r="AF38" s="187">
        <f t="shared" ref="AF38" si="61">IFERROR(IF(Y38="Probabilidad",(Q38-(+Q38*AB38)),IF(Y38="Impacto",Q38,"")),"")</f>
        <v>0.5</v>
      </c>
      <c r="AG38" s="188" t="str">
        <f t="shared" si="29"/>
        <v>Media</v>
      </c>
      <c r="AH38" s="186">
        <f t="shared" si="30"/>
        <v>0.5</v>
      </c>
      <c r="AI38" s="188" t="str">
        <f t="shared" ca="1" si="31"/>
        <v>Mayor</v>
      </c>
      <c r="AJ38" s="186">
        <f t="shared" ref="AJ38" ca="1" si="62">IFERROR(IF(Y38="Impacto",(U38-(+U38*AB38)),IF(Y38="Probabilidad",U38,"")),"")</f>
        <v>0.8</v>
      </c>
      <c r="AK38" s="189" t="str">
        <f t="shared" ca="1" si="33"/>
        <v>Alto</v>
      </c>
      <c r="AL38" s="185" t="s">
        <v>262</v>
      </c>
      <c r="AM38" s="246" t="s">
        <v>534</v>
      </c>
      <c r="AN38" s="246" t="s">
        <v>526</v>
      </c>
      <c r="AO38" s="245">
        <v>45717</v>
      </c>
      <c r="AP38" s="245" t="s">
        <v>535</v>
      </c>
      <c r="AQ38" s="246" t="s">
        <v>536</v>
      </c>
      <c r="AR38" s="247" t="s">
        <v>259</v>
      </c>
      <c r="AS38" s="190"/>
      <c r="AT38" s="190"/>
      <c r="AU38" s="190"/>
      <c r="AV38" s="190"/>
      <c r="AW38" s="190"/>
      <c r="AX38" s="190"/>
      <c r="AY38" s="190"/>
      <c r="AZ38" s="190"/>
      <c r="BA38" s="190"/>
      <c r="BB38" s="190"/>
      <c r="BC38" s="190"/>
      <c r="BD38" s="190"/>
      <c r="BE38" s="190"/>
      <c r="BF38" s="190"/>
      <c r="BG38" s="190"/>
      <c r="BH38" s="190"/>
      <c r="BI38" s="190"/>
      <c r="BJ38" s="190"/>
      <c r="BK38" s="190"/>
      <c r="BL38" s="190"/>
      <c r="BM38" s="190"/>
      <c r="BN38" s="190"/>
      <c r="BO38" s="190"/>
      <c r="BP38" s="190"/>
      <c r="BQ38" s="190"/>
      <c r="BR38" s="190"/>
      <c r="BS38" s="190"/>
      <c r="BT38" s="190"/>
      <c r="BU38" s="190"/>
      <c r="BV38" s="190"/>
      <c r="BW38" s="190"/>
      <c r="BX38" s="190"/>
    </row>
    <row r="39" spans="1:76" s="191" customFormat="1" ht="159.75" customHeight="1" thickTop="1" thickBot="1" x14ac:dyDescent="0.3">
      <c r="A39" s="310"/>
      <c r="B39" s="327"/>
      <c r="C39" s="315"/>
      <c r="D39" s="315"/>
      <c r="E39" s="315"/>
      <c r="F39" s="332"/>
      <c r="G39" s="332"/>
      <c r="H39" s="333"/>
      <c r="I39" s="320"/>
      <c r="J39" s="320"/>
      <c r="K39" s="320"/>
      <c r="L39" s="320"/>
      <c r="M39" s="315"/>
      <c r="N39" s="315"/>
      <c r="O39" s="321"/>
      <c r="P39" s="322"/>
      <c r="Q39" s="323"/>
      <c r="R39" s="323"/>
      <c r="S39" s="323">
        <f ca="1">IF(NOT(ISERROR(MATCH(R39,_xlfn.ANCHORARRAY(H43),0))),#REF!&amp;"Por favor no seleccionar los criterios de impacto",R39)</f>
        <v>0</v>
      </c>
      <c r="T39" s="322"/>
      <c r="U39" s="323"/>
      <c r="V39" s="309"/>
      <c r="W39" s="252">
        <v>2</v>
      </c>
      <c r="X39" s="207" t="s">
        <v>1180</v>
      </c>
      <c r="Y39" s="250" t="str">
        <f t="shared" si="28"/>
        <v>Probabilidad</v>
      </c>
      <c r="Z39" s="185" t="s">
        <v>208</v>
      </c>
      <c r="AA39" s="185" t="s">
        <v>214</v>
      </c>
      <c r="AB39" s="186" t="str">
        <f t="shared" si="1"/>
        <v>50%</v>
      </c>
      <c r="AC39" s="185" t="s">
        <v>219</v>
      </c>
      <c r="AD39" s="185" t="s">
        <v>224</v>
      </c>
      <c r="AE39" s="185" t="s">
        <v>228</v>
      </c>
      <c r="AF39" s="187">
        <f t="shared" ref="AF39" si="63">IFERROR(IF(AND(Y38="Probabilidad",Y39="Probabilidad"),(AH38-(+AH38*AB39)),IF(Y39="Probabilidad",(Q38-(+Q38*AB39)),IF(Y39="Impacto",AH38,""))),"")</f>
        <v>0.25</v>
      </c>
      <c r="AG39" s="188" t="str">
        <f t="shared" si="29"/>
        <v>Baja</v>
      </c>
      <c r="AH39" s="186">
        <f t="shared" si="30"/>
        <v>0.25</v>
      </c>
      <c r="AI39" s="188" t="str">
        <f t="shared" ca="1" si="31"/>
        <v>Mayor</v>
      </c>
      <c r="AJ39" s="186">
        <f t="shared" ref="AJ39" ca="1" si="64">IFERROR(IF(AND(Y38="Impacto",Y39="Impacto"),(AJ38-(+AJ38*AB39)),IF(Y39="Impacto",(U38-(+U38*AB39)),IF(Y39="Probabilidad",AJ38,""))),"")</f>
        <v>0.8</v>
      </c>
      <c r="AK39" s="189" t="str">
        <f t="shared" ca="1" si="33"/>
        <v>Alto</v>
      </c>
      <c r="AL39" s="185" t="s">
        <v>262</v>
      </c>
      <c r="AM39" s="246" t="s">
        <v>534</v>
      </c>
      <c r="AN39" s="246" t="s">
        <v>526</v>
      </c>
      <c r="AO39" s="245">
        <v>45717</v>
      </c>
      <c r="AP39" s="245" t="s">
        <v>535</v>
      </c>
      <c r="AQ39" s="246" t="s">
        <v>536</v>
      </c>
      <c r="AR39" s="247" t="s">
        <v>259</v>
      </c>
    </row>
    <row r="40" spans="1:76" s="191" customFormat="1" ht="276" customHeight="1" thickTop="1" thickBot="1" x14ac:dyDescent="0.3">
      <c r="A40" s="310">
        <v>11</v>
      </c>
      <c r="B40" s="327" t="s">
        <v>539</v>
      </c>
      <c r="C40" s="315" t="s">
        <v>267</v>
      </c>
      <c r="D40" s="315" t="s">
        <v>1183</v>
      </c>
      <c r="E40" s="315" t="s">
        <v>240</v>
      </c>
      <c r="F40" s="332" t="s">
        <v>540</v>
      </c>
      <c r="G40" s="332" t="s">
        <v>541</v>
      </c>
      <c r="H40" s="333" t="s">
        <v>1093</v>
      </c>
      <c r="I40" s="320" t="s">
        <v>474</v>
      </c>
      <c r="J40" s="320" t="s">
        <v>474</v>
      </c>
      <c r="K40" s="320" t="s">
        <v>474</v>
      </c>
      <c r="L40" s="320" t="s">
        <v>474</v>
      </c>
      <c r="M40" s="315" t="s">
        <v>249</v>
      </c>
      <c r="N40" s="315" t="s">
        <v>520</v>
      </c>
      <c r="O40" s="321">
        <v>12</v>
      </c>
      <c r="P40" s="322" t="str">
        <f>IF(O40&lt;=0,"",IF(O40&lt;=2,"Muy Baja",IF(O40&lt;=24,"Baja",IF(O40&lt;=500,"Media",IF(O40&lt;=5000,"Alta","Muy Alta")))))</f>
        <v>Baja</v>
      </c>
      <c r="Q40" s="323">
        <f>IF(P40="","",IF(P40="Muy Baja",0.2,IF(P40="Baja",0.4,IF(P40="Media",0.6,IF(P40="Alta",0.8,IF(P40="Muy Alta",1,))))))</f>
        <v>0.4</v>
      </c>
      <c r="R40" s="323" t="s">
        <v>192</v>
      </c>
      <c r="S40" s="323" t="str">
        <f ca="1">IF(NOT(ISERROR(MATCH(R40,'Tabla Impacto'!$B$221:$B$223,0))),'Tabla Impacto'!$F$223&amp;"Por favor no seleccionar los criterios de impacto(Afectación Económica o presupuestal y Pérdida Reputacional)",R40)</f>
        <v xml:space="preserve">Entre 100 y 500 SMLMV </v>
      </c>
      <c r="T40" s="322" t="str">
        <f ca="1">+IF(OR(S40='[1]Tabla Impacto'!$C$11,S40='[1]Tabla Impacto'!$D$11),"Leve",IF(OR(S40='[1]Tabla Impacto'!$C$12,S40='[1]Tabla Impacto'!$D$12),"Menor",IF(OR(S40='[1]Tabla Impacto'!$C$13,S40='[1]Tabla Impacto'!$D$13),"Moderado",IF(OR(S40='[1]Tabla Impacto'!$C$14,S40='[1]Tabla Impacto'!$D$14),"Mayor",IF(OR(S40='[1]Tabla Impacto'!$C$15,S40='[1]Tabla Impacto'!$D$15),"Catastrófico","")))))</f>
        <v>Mayor</v>
      </c>
      <c r="U40" s="323">
        <f t="shared" ref="U40" ca="1" si="65">IF(T40="","",IF(T40="Leve",0.2,IF(T40="Menor",0.4,IF(T40="Moderado",0.6,IF(T40="Mayor",0.8,IF(T40="Catastrófico",1,))))))</f>
        <v>0.8</v>
      </c>
      <c r="V40" s="309" t="str">
        <f t="shared" ref="V40" ca="1" si="66">IF(OR(AND(P40="Muy Baja",T40="Leve"),AND(P40="Muy Baja",T40="Menor"),AND(P40="Baja",T40="Leve")),"Bajo",IF(OR(AND(P40="Muy baja",T40="Moderado"),AND(P40="Baja",T40="Menor"),AND(P40="Baja",T40="Moderado"),AND(P40="Media",T40="Leve"),AND(P40="Media",T40="Menor"),AND(P40="Media",T40="Moderado"),AND(P40="Alta",T40="Leve"),AND(P40="Alta",T40="Menor")),"Moderado",IF(OR(AND(P40="Muy Baja",T40="Mayor"),AND(P40="Baja",T40="Mayor"),AND(P40="Media",T40="Mayor"),AND(P40="Alta",T40="Moderado"),AND(P40="Alta",T40="Mayor"),AND(P40="Muy Alta",T40="Leve"),AND(P40="Muy Alta",T40="Menor"),AND(P40="Muy Alta",T40="Moderado"),AND(P40="Muy Alta",T40="Mayor")),"Alto",IF(OR(AND(P40="Muy Baja",T40="Catastrófico"),AND(P40="Baja",T40="Catastrófico"),AND(P40="Media",T40="Catastrófico"),AND(P40="Alta",T40="Catastrófico"),AND(P40="Muy Alta",T40="Catastrófico")),"Extremo",""))))</f>
        <v>Alto</v>
      </c>
      <c r="W40" s="252">
        <v>1</v>
      </c>
      <c r="X40" s="207" t="s">
        <v>1181</v>
      </c>
      <c r="Y40" s="250" t="str">
        <f t="shared" si="28"/>
        <v>Probabilidad</v>
      </c>
      <c r="Z40" s="185" t="s">
        <v>208</v>
      </c>
      <c r="AA40" s="185" t="s">
        <v>216</v>
      </c>
      <c r="AB40" s="186" t="str">
        <f t="shared" si="1"/>
        <v>40%</v>
      </c>
      <c r="AC40" s="185" t="s">
        <v>219</v>
      </c>
      <c r="AD40" s="185" t="s">
        <v>224</v>
      </c>
      <c r="AE40" s="185" t="s">
        <v>228</v>
      </c>
      <c r="AF40" s="187">
        <f t="shared" ref="AF40" si="67">IFERROR(IF(Y40="Probabilidad",(Q40-(+Q40*AB40)),IF(Y40="Impacto",Q40,"")),"")</f>
        <v>0.24</v>
      </c>
      <c r="AG40" s="188" t="str">
        <f t="shared" si="29"/>
        <v>Baja</v>
      </c>
      <c r="AH40" s="186">
        <f t="shared" si="30"/>
        <v>0.24</v>
      </c>
      <c r="AI40" s="188" t="str">
        <f t="shared" ca="1" si="31"/>
        <v>Mayor</v>
      </c>
      <c r="AJ40" s="186">
        <f t="shared" ref="AJ40" ca="1" si="68">IFERROR(IF(Y40="Impacto",(U40-(+U40*AB40)),IF(Y40="Probabilidad",U40,"")),"")</f>
        <v>0.8</v>
      </c>
      <c r="AK40" s="189" t="str">
        <f t="shared" ca="1" si="33"/>
        <v>Alto</v>
      </c>
      <c r="AL40" s="185" t="s">
        <v>262</v>
      </c>
      <c r="AM40" s="315" t="s">
        <v>537</v>
      </c>
      <c r="AN40" s="315" t="s">
        <v>526</v>
      </c>
      <c r="AO40" s="335">
        <v>45717</v>
      </c>
      <c r="AP40" s="335" t="s">
        <v>527</v>
      </c>
      <c r="AQ40" s="315" t="s">
        <v>538</v>
      </c>
      <c r="AR40" s="336" t="s">
        <v>259</v>
      </c>
    </row>
    <row r="41" spans="1:76" s="191" customFormat="1" ht="164.25" customHeight="1" thickTop="1" thickBot="1" x14ac:dyDescent="0.3">
      <c r="A41" s="310"/>
      <c r="B41" s="327"/>
      <c r="C41" s="315"/>
      <c r="D41" s="315"/>
      <c r="E41" s="315"/>
      <c r="F41" s="332"/>
      <c r="G41" s="332"/>
      <c r="H41" s="333"/>
      <c r="I41" s="320"/>
      <c r="J41" s="320"/>
      <c r="K41" s="320"/>
      <c r="L41" s="320"/>
      <c r="M41" s="315"/>
      <c r="N41" s="315"/>
      <c r="O41" s="321"/>
      <c r="P41" s="322"/>
      <c r="Q41" s="323"/>
      <c r="R41" s="323"/>
      <c r="S41" s="323">
        <f ca="1">IF(NOT(ISERROR(MATCH(R41,_xlfn.ANCHORARRAY(H44),0))),#REF!&amp;"Por favor no seleccionar los criterios de impacto",R41)</f>
        <v>0</v>
      </c>
      <c r="T41" s="322"/>
      <c r="U41" s="323"/>
      <c r="V41" s="309"/>
      <c r="W41" s="252">
        <v>2</v>
      </c>
      <c r="X41" s="207" t="s">
        <v>1182</v>
      </c>
      <c r="Y41" s="250" t="str">
        <f t="shared" si="28"/>
        <v>Probabilidad</v>
      </c>
      <c r="Z41" s="185" t="s">
        <v>208</v>
      </c>
      <c r="AA41" s="185" t="s">
        <v>216</v>
      </c>
      <c r="AB41" s="186" t="str">
        <f t="shared" si="1"/>
        <v>40%</v>
      </c>
      <c r="AC41" s="185" t="s">
        <v>219</v>
      </c>
      <c r="AD41" s="185" t="s">
        <v>224</v>
      </c>
      <c r="AE41" s="185" t="s">
        <v>228</v>
      </c>
      <c r="AF41" s="187">
        <f t="shared" ref="AF41" si="69">IFERROR(IF(AND(Y40="Probabilidad",Y41="Probabilidad"),(AH40-(+AH40*AB41)),IF(Y41="Probabilidad",(Q40-(+Q40*AB41)),IF(Y41="Impacto",AH40,""))),"")</f>
        <v>0.14399999999999999</v>
      </c>
      <c r="AG41" s="188" t="str">
        <f t="shared" si="29"/>
        <v>Muy Baja</v>
      </c>
      <c r="AH41" s="186">
        <f t="shared" si="30"/>
        <v>0.14399999999999999</v>
      </c>
      <c r="AI41" s="188" t="str">
        <f t="shared" ca="1" si="31"/>
        <v>Mayor</v>
      </c>
      <c r="AJ41" s="186">
        <f t="shared" ref="AJ41" ca="1" si="70">IFERROR(IF(AND(Y40="Impacto",Y41="Impacto"),(AJ40-(+AJ40*AB41)),IF(Y41="Impacto",(U40-(+U40*AB41)),IF(Y41="Probabilidad",AJ40,""))),"")</f>
        <v>0.8</v>
      </c>
      <c r="AK41" s="189" t="str">
        <f t="shared" ca="1" si="33"/>
        <v>Alto</v>
      </c>
      <c r="AL41" s="185" t="s">
        <v>262</v>
      </c>
      <c r="AM41" s="315"/>
      <c r="AN41" s="315"/>
      <c r="AO41" s="335"/>
      <c r="AP41" s="335"/>
      <c r="AQ41" s="315"/>
      <c r="AR41" s="336"/>
    </row>
    <row r="42" spans="1:76" s="191" customFormat="1" ht="250.5" customHeight="1" thickTop="1" thickBot="1" x14ac:dyDescent="0.3">
      <c r="A42" s="244">
        <v>12</v>
      </c>
      <c r="B42" s="248" t="s">
        <v>1194</v>
      </c>
      <c r="C42" s="246" t="s">
        <v>267</v>
      </c>
      <c r="D42" s="266" t="s">
        <v>1195</v>
      </c>
      <c r="E42" s="246" t="s">
        <v>240</v>
      </c>
      <c r="F42" s="266" t="s">
        <v>1196</v>
      </c>
      <c r="G42" s="266" t="s">
        <v>1197</v>
      </c>
      <c r="H42" s="237" t="s">
        <v>1198</v>
      </c>
      <c r="I42" s="238" t="s">
        <v>474</v>
      </c>
      <c r="J42" s="238" t="s">
        <v>474</v>
      </c>
      <c r="K42" s="238" t="s">
        <v>474</v>
      </c>
      <c r="L42" s="238" t="s">
        <v>474</v>
      </c>
      <c r="M42" s="236" t="s">
        <v>249</v>
      </c>
      <c r="N42" s="236" t="s">
        <v>1199</v>
      </c>
      <c r="O42" s="239">
        <v>365</v>
      </c>
      <c r="P42" s="240" t="str">
        <f>IF(O42&lt;=0,"",IF(O42&lt;=2,"Muy Baja",IF(O42&lt;=24,"Baja",IF(O42&lt;=500,"Media",IF(O42&lt;=5000,"Alta","Muy Alta")))))</f>
        <v>Media</v>
      </c>
      <c r="Q42" s="241">
        <f>IF(P42="","",IF(P42="Muy Baja",0.2,IF(P42="Baja",0.4,IF(P42="Media",0.6,IF(P42="Alta",0.8,IF(P42="Muy Alta",1,))))))</f>
        <v>0.6</v>
      </c>
      <c r="R42" s="241" t="s">
        <v>193</v>
      </c>
      <c r="S42" s="241" t="str">
        <f ca="1">IF(NOT(ISERROR(MATCH(R42,'Tabla Impacto'!$B$221:$B$223,0))),'Tabla Impacto'!$F$223&amp;"Por favor no seleccionar los criterios de impacto(Afectación Económica o presupuestal y Pérdida Reputacional)",R42)</f>
        <v>El riesgo afecta la imagen de de la entidad con efecto publicitario sostenido a nivel de sector administrativo, nivel departamental o municipal</v>
      </c>
      <c r="T42" s="240" t="str">
        <f ca="1">+IF(OR(S42='[1]Tabla Impacto'!$C$11,S42='[1]Tabla Impacto'!$D$11),"Leve",IF(OR(S42='[1]Tabla Impacto'!$C$12,S42='[1]Tabla Impacto'!$D$12),"Menor",IF(OR(S42='[1]Tabla Impacto'!$C$13,S42='[1]Tabla Impacto'!$D$13),"Moderado",IF(OR(S42='[1]Tabla Impacto'!$C$14,S42='[1]Tabla Impacto'!$D$14),"Mayor",IF(OR(S42='[1]Tabla Impacto'!$C$15,S42='[1]Tabla Impacto'!$D$15),"Catastrófico","")))))</f>
        <v>Mayor</v>
      </c>
      <c r="U42" s="241">
        <f t="shared" ref="U42" ca="1" si="71">IF(T42="","",IF(T42="Leve",0.2,IF(T42="Menor",0.4,IF(T42="Moderado",0.6,IF(T42="Mayor",0.8,IF(T42="Catastrófico",1,))))))</f>
        <v>0.8</v>
      </c>
      <c r="V42" s="260" t="str">
        <f t="shared" ref="V42" ca="1" si="72">IF(OR(AND(P42="Muy Baja",T42="Leve"),AND(P42="Muy Baja",T42="Menor"),AND(P42="Baja",T42="Leve")),"Bajo",IF(OR(AND(P42="Muy baja",T42="Moderado"),AND(P42="Baja",T42="Menor"),AND(P42="Baja",T42="Moderado"),AND(P42="Media",T42="Leve"),AND(P42="Media",T42="Menor"),AND(P42="Media",T42="Moderado"),AND(P42="Alta",T42="Leve"),AND(P42="Alta",T42="Menor")),"Moderado",IF(OR(AND(P42="Muy Baja",T42="Mayor"),AND(P42="Baja",T42="Mayor"),AND(P42="Media",T42="Mayor"),AND(P42="Alta",T42="Moderado"),AND(P42="Alta",T42="Mayor"),AND(P42="Muy Alta",T42="Leve"),AND(P42="Muy Alta",T42="Menor"),AND(P42="Muy Alta",T42="Moderado"),AND(P42="Muy Alta",T42="Mayor")),"Alto",IF(OR(AND(P42="Muy Baja",T42="Catastrófico"),AND(P42="Baja",T42="Catastrófico"),AND(P42="Media",T42="Catastrófico"),AND(P42="Alta",T42="Catastrófico"),AND(P42="Muy Alta",T42="Catastrófico")),"Extremo",""))))</f>
        <v>Alto</v>
      </c>
      <c r="W42" s="252">
        <v>1</v>
      </c>
      <c r="X42" s="207" t="s">
        <v>1200</v>
      </c>
      <c r="Y42" s="250" t="str">
        <f t="shared" si="28"/>
        <v>Probabilidad</v>
      </c>
      <c r="Z42" s="185" t="s">
        <v>208</v>
      </c>
      <c r="AA42" s="185" t="s">
        <v>216</v>
      </c>
      <c r="AB42" s="186" t="str">
        <f t="shared" ref="AB42" si="73">IF(AND(Z42="Preventivo",AA42="Automático"),"50%",IF(AND(Z42="Preventivo",AA42="Manual"),"40%",IF(AND(Z42="Detectivo",AA42="Automático"),"40%",IF(AND(Z42="Detectivo",AA42="Manual"),"30%",IF(AND(Z42="Correctivo",AA42="Automático"),"35%",IF(AND(Z42="Correctivo",AA42="Manual"),"25%",""))))))</f>
        <v>40%</v>
      </c>
      <c r="AC42" s="185" t="s">
        <v>219</v>
      </c>
      <c r="AD42" s="185" t="s">
        <v>224</v>
      </c>
      <c r="AE42" s="185" t="s">
        <v>228</v>
      </c>
      <c r="AF42" s="187">
        <f>IFERROR(IF(Y42="Probabilidad",(Q42-(+Q42*AB42)),IF(Y42="Impacto",Q42,"")),"")</f>
        <v>0.36</v>
      </c>
      <c r="AG42" s="188" t="str">
        <f t="shared" ref="AG42" si="74">IFERROR(IF(AF42="","",IF(AF42&lt;=0.2,"Muy Baja",IF(AF42&lt;=0.4,"Baja",IF(AF42&lt;=0.6,"Media",IF(AF42&lt;=0.8,"Alta","Muy Alta"))))),"")</f>
        <v>Baja</v>
      </c>
      <c r="AH42" s="186">
        <f t="shared" ref="AH42" si="75">+AF42</f>
        <v>0.36</v>
      </c>
      <c r="AI42" s="188" t="str">
        <f t="shared" ref="AI42" ca="1" si="76">IFERROR(IF(AJ42="","",IF(AJ42&lt;=0.2,"Leve",IF(AJ42&lt;=0.4,"Menor",IF(AJ42&lt;=0.6,"Moderado",IF(AJ42&lt;=0.8,"Mayor","Catastrófico"))))),"")</f>
        <v>Mayor</v>
      </c>
      <c r="AJ42" s="186">
        <f t="shared" ref="AJ42" ca="1" si="77">IFERROR(IF(Y42="Impacto",(U42-(+U42*AB42)),IF(Y42="Probabilidad",U42,"")),"")</f>
        <v>0.8</v>
      </c>
      <c r="AK42" s="189" t="str">
        <f t="shared" ref="AK42" ca="1" si="78">IFERROR(IF(OR(AND(AG42="Muy Baja",AI42="Leve"),AND(AG42="Muy Baja",AI42="Menor"),AND(AG42="Baja",AI42="Leve")),"Bajo",IF(OR(AND(AG42="Muy baja",AI42="Moderado"),AND(AG42="Baja",AI42="Menor"),AND(AG42="Baja",AI42="Moderado"),AND(AG42="Media",AI42="Leve"),AND(AG42="Media",AI42="Menor"),AND(AG42="Media",AI42="Moderado"),AND(AG42="Alta",AI42="Leve"),AND(AG42="Alta",AI42="Menor")),"Moderado",IF(OR(AND(AG42="Muy Baja",AI42="Mayor"),AND(AG42="Baja",AI42="Mayor"),AND(AG42="Media",AI42="Mayor"),AND(AG42="Alta",AI42="Moderado"),AND(AG42="Alta",AI42="Mayor"),AND(AG42="Muy Alta",AI42="Leve"),AND(AG42="Muy Alta",AI42="Menor"),AND(AG42="Muy Alta",AI42="Moderado"),AND(AG42="Muy Alta",AI42="Mayor")),"Alto",IF(OR(AND(AG42="Muy Baja",AI42="Catastrófico"),AND(AG42="Baja",AI42="Catastrófico"),AND(AG42="Media",AI42="Catastrófico"),AND(AG42="Alta",AI42="Catastrófico"),AND(AG42="Muy Alta",AI42="Catastrófico")),"Extremo","")))),"")</f>
        <v>Alto</v>
      </c>
      <c r="AL42" s="185" t="s">
        <v>262</v>
      </c>
      <c r="AM42" s="234" t="s">
        <v>1201</v>
      </c>
      <c r="AN42" s="246" t="s">
        <v>526</v>
      </c>
      <c r="AO42" s="245">
        <v>45762</v>
      </c>
      <c r="AP42" s="245" t="s">
        <v>535</v>
      </c>
      <c r="AQ42" s="246" t="s">
        <v>1202</v>
      </c>
      <c r="AR42" s="250" t="s">
        <v>259</v>
      </c>
    </row>
    <row r="43" spans="1:76" s="191" customFormat="1" ht="275.25" customHeight="1" thickTop="1" thickBot="1" x14ac:dyDescent="0.3">
      <c r="A43" s="244">
        <v>13</v>
      </c>
      <c r="B43" s="248" t="s">
        <v>542</v>
      </c>
      <c r="C43" s="246" t="s">
        <v>268</v>
      </c>
      <c r="D43" s="246" t="s">
        <v>953</v>
      </c>
      <c r="E43" s="246" t="s">
        <v>238</v>
      </c>
      <c r="F43" s="254" t="s">
        <v>1053</v>
      </c>
      <c r="G43" s="254" t="s">
        <v>543</v>
      </c>
      <c r="H43" s="255" t="s">
        <v>1094</v>
      </c>
      <c r="I43" s="242" t="s">
        <v>474</v>
      </c>
      <c r="J43" s="242" t="s">
        <v>474</v>
      </c>
      <c r="K43" s="242" t="s">
        <v>474</v>
      </c>
      <c r="L43" s="242" t="s">
        <v>474</v>
      </c>
      <c r="M43" s="246" t="s">
        <v>239</v>
      </c>
      <c r="N43" s="246"/>
      <c r="O43" s="250">
        <v>340</v>
      </c>
      <c r="P43" s="251" t="str">
        <f>IF(O43&lt;=0,"",IF(O43&lt;=2,"Muy Baja",IF(O43&lt;=24,"Baja",IF(O43&lt;=500,"Media",IF(O43&lt;=5000,"Alta","Muy Alta")))))</f>
        <v>Media</v>
      </c>
      <c r="Q43" s="243">
        <f>IF(P43="","",IF(P43="Muy Baja",0.2,IF(P43="Baja",0.4,IF(P43="Media",0.6,IF(P43="Alta",0.8,IF(P43="Muy Alta",1,))))))</f>
        <v>0.6</v>
      </c>
      <c r="R43" s="243" t="s">
        <v>190</v>
      </c>
      <c r="S43" s="243"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51"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43">
        <f t="shared" ref="U43" ca="1" si="79">IF(T43="","",IF(T43="Leve",0.2,IF(T43="Menor",0.4,IF(T43="Moderado",0.6,IF(T43="Mayor",0.8,IF(T43="Catastrófico",1,))))))</f>
        <v>0.6</v>
      </c>
      <c r="V43" s="252" t="str">
        <f t="shared" ref="V43" ca="1" si="80">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252">
        <v>1</v>
      </c>
      <c r="X43" s="207" t="s">
        <v>973</v>
      </c>
      <c r="Y43" s="250" t="str">
        <f t="shared" si="28"/>
        <v>Probabilidad</v>
      </c>
      <c r="Z43" s="185" t="s">
        <v>208</v>
      </c>
      <c r="AA43" s="185" t="s">
        <v>216</v>
      </c>
      <c r="AB43" s="186" t="str">
        <f t="shared" ref="AB43:AB71" si="81">IF(AND(Z43="Preventivo",AA43="Automático"),"50%",IF(AND(Z43="Preventivo",AA43="Manual"),"40%",IF(AND(Z43="Detectivo",AA43="Automático"),"40%",IF(AND(Z43="Detectivo",AA43="Manual"),"30%",IF(AND(Z43="Correctivo",AA43="Automático"),"35%",IF(AND(Z43="Correctivo",AA43="Manual"),"25%",""))))))</f>
        <v>40%</v>
      </c>
      <c r="AC43" s="185" t="s">
        <v>219</v>
      </c>
      <c r="AD43" s="185" t="s">
        <v>226</v>
      </c>
      <c r="AE43" s="185" t="s">
        <v>228</v>
      </c>
      <c r="AF43" s="187">
        <f t="shared" ref="AF43" si="82">IFERROR(IF(Y43="Probabilidad",(Q43-(+Q43*AB43)),IF(Y43="Impacto",Q43,"")),"")</f>
        <v>0.36</v>
      </c>
      <c r="AG43" s="188" t="str">
        <f t="shared" si="29"/>
        <v>Baja</v>
      </c>
      <c r="AH43" s="186">
        <f t="shared" si="30"/>
        <v>0.36</v>
      </c>
      <c r="AI43" s="188" t="str">
        <f t="shared" ca="1" si="31"/>
        <v>Moderado</v>
      </c>
      <c r="AJ43" s="186">
        <f t="shared" ref="AJ43" ca="1" si="83">IFERROR(IF(Y43="Impacto",(U43-(+U43*AB43)),IF(Y43="Probabilidad",U43,"")),"")</f>
        <v>0.6</v>
      </c>
      <c r="AK43" s="189" t="str">
        <f t="shared" ca="1" si="33"/>
        <v>Moderado</v>
      </c>
      <c r="AL43" s="185" t="s">
        <v>255</v>
      </c>
      <c r="AM43" s="246"/>
      <c r="AN43" s="250"/>
      <c r="AO43" s="245"/>
      <c r="AP43" s="245"/>
      <c r="AQ43" s="246"/>
      <c r="AR43" s="247"/>
    </row>
    <row r="44" spans="1:76" s="191" customFormat="1" ht="297" customHeight="1" thickTop="1" thickBot="1" x14ac:dyDescent="0.3">
      <c r="A44" s="244">
        <v>14</v>
      </c>
      <c r="B44" s="248" t="s">
        <v>544</v>
      </c>
      <c r="C44" s="246" t="s">
        <v>268</v>
      </c>
      <c r="D44" s="246" t="s">
        <v>953</v>
      </c>
      <c r="E44" s="246" t="s">
        <v>238</v>
      </c>
      <c r="F44" s="254" t="s">
        <v>1053</v>
      </c>
      <c r="G44" s="254" t="s">
        <v>545</v>
      </c>
      <c r="H44" s="255" t="s">
        <v>1095</v>
      </c>
      <c r="I44" s="242" t="s">
        <v>474</v>
      </c>
      <c r="J44" s="242" t="s">
        <v>474</v>
      </c>
      <c r="K44" s="242" t="s">
        <v>474</v>
      </c>
      <c r="L44" s="242" t="s">
        <v>474</v>
      </c>
      <c r="M44" s="246" t="s">
        <v>239</v>
      </c>
      <c r="N44" s="246"/>
      <c r="O44" s="250">
        <v>340</v>
      </c>
      <c r="P44" s="251" t="str">
        <f>IF(O44&lt;=0,"",IF(O44&lt;=2,"Muy Baja",IF(O44&lt;=24,"Baja",IF(O44&lt;=500,"Media",IF(O44&lt;=5000,"Alta","Muy Alta")))))</f>
        <v>Media</v>
      </c>
      <c r="Q44" s="243">
        <f>IF(P44="","",IF(P44="Muy Baja",0.2,IF(P44="Baja",0.4,IF(P44="Media",0.6,IF(P44="Alta",0.8,IF(P44="Muy Alta",1,))))))</f>
        <v>0.6</v>
      </c>
      <c r="R44" s="243" t="s">
        <v>190</v>
      </c>
      <c r="S44" s="243" t="str">
        <f ca="1">IF(NOT(ISERROR(MATCH(R44,'Tabla Impacto'!$B$221:$B$223,0))),'Tabla Impacto'!$F$223&amp;"Por favor no seleccionar los criterios de impacto(Afectación Económica o presupuestal y Pérdida Reputacional)",R44)</f>
        <v>El riesgo afecta la imagen de la entidad con algunos usuarios de relevancia frente al logro de los objetivos</v>
      </c>
      <c r="T44" s="251" t="str">
        <f ca="1">+IF(OR(S44='[1]Tabla Impacto'!$C$11,S44='[1]Tabla Impacto'!$D$11),"Leve",IF(OR(S44='[1]Tabla Impacto'!$C$12,S44='[1]Tabla Impacto'!$D$12),"Menor",IF(OR(S44='[1]Tabla Impacto'!$C$13,S44='[1]Tabla Impacto'!$D$13),"Moderado",IF(OR(S44='[1]Tabla Impacto'!$C$14,S44='[1]Tabla Impacto'!$D$14),"Mayor",IF(OR(S44='[1]Tabla Impacto'!$C$15,S44='[1]Tabla Impacto'!$D$15),"Catastrófico","")))))</f>
        <v>Moderado</v>
      </c>
      <c r="U44" s="243">
        <f t="shared" ref="U44" ca="1" si="84">IF(T44="","",IF(T44="Leve",0.2,IF(T44="Menor",0.4,IF(T44="Moderado",0.6,IF(T44="Mayor",0.8,IF(T44="Catastrófico",1,))))))</f>
        <v>0.6</v>
      </c>
      <c r="V44" s="252" t="str">
        <f t="shared" ref="V44" ca="1" si="85">IF(OR(AND(P44="Muy Baja",T44="Leve"),AND(P44="Muy Baja",T44="Menor"),AND(P44="Baja",T44="Leve")),"Bajo",IF(OR(AND(P44="Muy baja",T44="Moderado"),AND(P44="Baja",T44="Menor"),AND(P44="Baja",T44="Moderado"),AND(P44="Media",T44="Leve"),AND(P44="Media",T44="Menor"),AND(P44="Media",T44="Moderado"),AND(P44="Alta",T44="Leve"),AND(P44="Alta",T44="Menor")),"Moderado",IF(OR(AND(P44="Muy Baja",T44="Mayor"),AND(P44="Baja",T44="Mayor"),AND(P44="Media",T44="Mayor"),AND(P44="Alta",T44="Moderado"),AND(P44="Alta",T44="Mayor"),AND(P44="Muy Alta",T44="Leve"),AND(P44="Muy Alta",T44="Menor"),AND(P44="Muy Alta",T44="Moderado"),AND(P44="Muy Alta",T44="Mayor")),"Alto",IF(OR(AND(P44="Muy Baja",T44="Catastrófico"),AND(P44="Baja",T44="Catastrófico"),AND(P44="Media",T44="Catastrófico"),AND(P44="Alta",T44="Catastrófico"),AND(P44="Muy Alta",T44="Catastrófico")),"Extremo",""))))</f>
        <v>Moderado</v>
      </c>
      <c r="W44" s="252">
        <v>1</v>
      </c>
      <c r="X44" s="207" t="s">
        <v>974</v>
      </c>
      <c r="Y44" s="250" t="str">
        <f t="shared" ref="Y44:Y45" si="86">IF(OR(Z44="Preventivo",Z44="Detectivo"),"Probabilidad",IF(Z44="Correctivo","Impacto",""))</f>
        <v>Probabilidad</v>
      </c>
      <c r="Z44" s="185" t="s">
        <v>208</v>
      </c>
      <c r="AA44" s="185" t="s">
        <v>216</v>
      </c>
      <c r="AB44" s="186" t="str">
        <f t="shared" si="81"/>
        <v>40%</v>
      </c>
      <c r="AC44" s="185" t="s">
        <v>219</v>
      </c>
      <c r="AD44" s="185" t="s">
        <v>226</v>
      </c>
      <c r="AE44" s="185" t="s">
        <v>228</v>
      </c>
      <c r="AF44" s="187">
        <f t="shared" ref="AF44" si="87">IFERROR(IF(Y44="Probabilidad",(Q44-(+Q44*AB44)),IF(Y44="Impacto",Q44,"")),"")</f>
        <v>0.36</v>
      </c>
      <c r="AG44" s="188" t="str">
        <f t="shared" ref="AG44:AG45" si="88">IFERROR(IF(AF44="","",IF(AF44&lt;=0.2,"Muy Baja",IF(AF44&lt;=0.4,"Baja",IF(AF44&lt;=0.6,"Media",IF(AF44&lt;=0.8,"Alta","Muy Alta"))))),"")</f>
        <v>Baja</v>
      </c>
      <c r="AH44" s="186">
        <f t="shared" ref="AH44:AH45" si="89">+AF44</f>
        <v>0.36</v>
      </c>
      <c r="AI44" s="188" t="str">
        <f t="shared" ref="AI44:AI45" ca="1" si="90">IFERROR(IF(AJ44="","",IF(AJ44&lt;=0.2,"Leve",IF(AJ44&lt;=0.4,"Menor",IF(AJ44&lt;=0.6,"Moderado",IF(AJ44&lt;=0.8,"Mayor","Catastrófico"))))),"")</f>
        <v>Moderado</v>
      </c>
      <c r="AJ44" s="186">
        <f t="shared" ref="AJ44" ca="1" si="91">IFERROR(IF(Y44="Impacto",(U44-(+U44*AB44)),IF(Y44="Probabilidad",U44,"")),"")</f>
        <v>0.6</v>
      </c>
      <c r="AK44" s="189" t="str">
        <f t="shared" ref="AK44:AK45" ca="1" si="92">IFERROR(IF(OR(AND(AG44="Muy Baja",AI44="Leve"),AND(AG44="Muy Baja",AI44="Menor"),AND(AG44="Baja",AI44="Leve")),"Bajo",IF(OR(AND(AG44="Muy baja",AI44="Moderado"),AND(AG44="Baja",AI44="Menor"),AND(AG44="Baja",AI44="Moderado"),AND(AG44="Media",AI44="Leve"),AND(AG44="Media",AI44="Menor"),AND(AG44="Media",AI44="Moderado"),AND(AG44="Alta",AI44="Leve"),AND(AG44="Alta",AI44="Menor")),"Moderado",IF(OR(AND(AG44="Muy Baja",AI44="Mayor"),AND(AG44="Baja",AI44="Mayor"),AND(AG44="Media",AI44="Mayor"),AND(AG44="Alta",AI44="Moderado"),AND(AG44="Alta",AI44="Mayor"),AND(AG44="Muy Alta",AI44="Leve"),AND(AG44="Muy Alta",AI44="Menor"),AND(AG44="Muy Alta",AI44="Moderado"),AND(AG44="Muy Alta",AI44="Mayor")),"Alto",IF(OR(AND(AG44="Muy Baja",AI44="Catastrófico"),AND(AG44="Baja",AI44="Catastrófico"),AND(AG44="Media",AI44="Catastrófico"),AND(AG44="Alta",AI44="Catastrófico"),AND(AG44="Muy Alta",AI44="Catastrófico")),"Extremo","")))),"")</f>
        <v>Moderado</v>
      </c>
      <c r="AL44" s="185" t="s">
        <v>255</v>
      </c>
      <c r="AM44" s="246"/>
      <c r="AN44" s="250"/>
      <c r="AO44" s="245"/>
      <c r="AP44" s="245"/>
      <c r="AQ44" s="246"/>
      <c r="AR44" s="247"/>
    </row>
    <row r="45" spans="1:76" s="191" customFormat="1" ht="408.75" customHeight="1" thickTop="1" thickBot="1" x14ac:dyDescent="0.3">
      <c r="A45" s="244">
        <v>15</v>
      </c>
      <c r="B45" s="248" t="s">
        <v>546</v>
      </c>
      <c r="C45" s="246" t="s">
        <v>268</v>
      </c>
      <c r="D45" s="246" t="s">
        <v>954</v>
      </c>
      <c r="E45" s="246" t="s">
        <v>238</v>
      </c>
      <c r="F45" s="254" t="s">
        <v>1054</v>
      </c>
      <c r="G45" s="254" t="s">
        <v>547</v>
      </c>
      <c r="H45" s="255" t="s">
        <v>1096</v>
      </c>
      <c r="I45" s="242" t="s">
        <v>474</v>
      </c>
      <c r="J45" s="242" t="s">
        <v>474</v>
      </c>
      <c r="K45" s="242" t="s">
        <v>474</v>
      </c>
      <c r="L45" s="242" t="s">
        <v>474</v>
      </c>
      <c r="M45" s="246" t="s">
        <v>239</v>
      </c>
      <c r="N45" s="246"/>
      <c r="O45" s="250">
        <v>50001</v>
      </c>
      <c r="P45" s="251" t="str">
        <f t="shared" ref="P45" si="93">IF(O45&lt;=0,"",IF(O45&lt;=2,"Muy Baja",IF(O45&lt;=24,"Baja",IF(O45&lt;=500,"Media",IF(O45&lt;=5000,"Alta","Muy Alta")))))</f>
        <v>Muy Alta</v>
      </c>
      <c r="Q45" s="243">
        <f t="shared" ref="Q45" si="94">IF(P45="","",IF(P45="Muy Baja",0.2,IF(P45="Baja",0.4,IF(P45="Media",0.6,IF(P45="Alta",0.8,IF(P45="Muy Alta",1,))))))</f>
        <v>1</v>
      </c>
      <c r="R45" s="243" t="s">
        <v>190</v>
      </c>
      <c r="S45" s="243" t="str">
        <f ca="1">IF(NOT(ISERROR(MATCH(R45,'Tabla Impacto'!$B$221:$B$223,0))),'Tabla Impacto'!$F$223&amp;"Por favor no seleccionar los criterios de impacto(Afectación Económica o presupuestal y Pérdida Reputacional)",R45)</f>
        <v>El riesgo afecta la imagen de la entidad con algunos usuarios de relevancia frente al logro de los objetivos</v>
      </c>
      <c r="T45" s="251" t="str">
        <f ca="1">+IF(OR(S45='[1]Tabla Impacto'!$C$11,S45='[1]Tabla Impacto'!$D$11),"Leve",IF(OR(S45='[1]Tabla Impacto'!$C$12,S45='[1]Tabla Impacto'!$D$12),"Menor",IF(OR(S45='[1]Tabla Impacto'!$C$13,S45='[1]Tabla Impacto'!$D$13),"Moderado",IF(OR(S45='[1]Tabla Impacto'!$C$14,S45='[1]Tabla Impacto'!$D$14),"Mayor",IF(OR(S45='[1]Tabla Impacto'!$C$15,S45='[1]Tabla Impacto'!$D$15),"Catastrófico","")))))</f>
        <v>Moderado</v>
      </c>
      <c r="U45" s="243">
        <f t="shared" ref="U45" ca="1" si="95">IF(T45="","",IF(T45="Leve",0.2,IF(T45="Menor",0.4,IF(T45="Moderado",0.6,IF(T45="Mayor",0.8,IF(T45="Catastrófico",1,))))))</f>
        <v>0.6</v>
      </c>
      <c r="V45" s="252" t="str">
        <f t="shared" ref="V45" ca="1" si="96">IF(OR(AND(P45="Muy Baja",T45="Leve"),AND(P45="Muy Baja",T45="Menor"),AND(P45="Baja",T45="Leve")),"Bajo",IF(OR(AND(P45="Muy baja",T45="Moderado"),AND(P45="Baja",T45="Menor"),AND(P45="Baja",T45="Moderado"),AND(P45="Media",T45="Leve"),AND(P45="Media",T45="Menor"),AND(P45="Media",T45="Moderado"),AND(P45="Alta",T45="Leve"),AND(P45="Alta",T45="Menor")),"Moderado",IF(OR(AND(P45="Muy Baja",T45="Mayor"),AND(P45="Baja",T45="Mayor"),AND(P45="Media",T45="Mayor"),AND(P45="Alta",T45="Moderado"),AND(P45="Alta",T45="Mayor"),AND(P45="Muy Alta",T45="Leve"),AND(P45="Muy Alta",T45="Menor"),AND(P45="Muy Alta",T45="Moderado"),AND(P45="Muy Alta",T45="Mayor")),"Alto",IF(OR(AND(P45="Muy Baja",T45="Catastrófico"),AND(P45="Baja",T45="Catastrófico"),AND(P45="Media",T45="Catastrófico"),AND(P45="Alta",T45="Catastrófico"),AND(P45="Muy Alta",T45="Catastrófico")),"Extremo",""))))</f>
        <v>Alto</v>
      </c>
      <c r="W45" s="252">
        <v>1</v>
      </c>
      <c r="X45" s="207" t="s">
        <v>1051</v>
      </c>
      <c r="Y45" s="250" t="str">
        <f t="shared" si="86"/>
        <v>Probabilidad</v>
      </c>
      <c r="Z45" s="185" t="s">
        <v>208</v>
      </c>
      <c r="AA45" s="185" t="s">
        <v>216</v>
      </c>
      <c r="AB45" s="186" t="str">
        <f t="shared" si="81"/>
        <v>40%</v>
      </c>
      <c r="AC45" s="185" t="s">
        <v>219</v>
      </c>
      <c r="AD45" s="185" t="s">
        <v>224</v>
      </c>
      <c r="AE45" s="185" t="s">
        <v>228</v>
      </c>
      <c r="AF45" s="187">
        <f t="shared" ref="AF45" si="97">IFERROR(IF(Y45="Probabilidad",(Q45-(+Q45*AB45)),IF(Y45="Impacto",Q45,"")),"")</f>
        <v>0.6</v>
      </c>
      <c r="AG45" s="188" t="str">
        <f t="shared" si="88"/>
        <v>Media</v>
      </c>
      <c r="AH45" s="186">
        <f t="shared" si="89"/>
        <v>0.6</v>
      </c>
      <c r="AI45" s="188" t="str">
        <f t="shared" ca="1" si="90"/>
        <v>Moderado</v>
      </c>
      <c r="AJ45" s="186">
        <f t="shared" ref="AJ45" ca="1" si="98">IFERROR(IF(Y45="Impacto",(U45-(+U45*AB45)),IF(Y45="Probabilidad",U45,"")),"")</f>
        <v>0.6</v>
      </c>
      <c r="AK45" s="189" t="str">
        <f t="shared" ca="1" si="92"/>
        <v>Moderado</v>
      </c>
      <c r="AL45" s="185" t="s">
        <v>255</v>
      </c>
      <c r="AM45" s="246"/>
      <c r="AN45" s="250"/>
      <c r="AO45" s="245"/>
      <c r="AP45" s="245"/>
      <c r="AQ45" s="246"/>
      <c r="AR45" s="247"/>
    </row>
    <row r="46" spans="1:76" s="191" customFormat="1" ht="148.5" customHeight="1" thickTop="1" thickBot="1" x14ac:dyDescent="0.3">
      <c r="A46" s="310">
        <v>16</v>
      </c>
      <c r="B46" s="327" t="s">
        <v>548</v>
      </c>
      <c r="C46" s="315" t="s">
        <v>269</v>
      </c>
      <c r="D46" s="315" t="s">
        <v>549</v>
      </c>
      <c r="E46" s="315" t="s">
        <v>236</v>
      </c>
      <c r="F46" s="315" t="s">
        <v>550</v>
      </c>
      <c r="G46" s="315" t="s">
        <v>551</v>
      </c>
      <c r="H46" s="373" t="s">
        <v>552</v>
      </c>
      <c r="I46" s="320" t="s">
        <v>474</v>
      </c>
      <c r="J46" s="320" t="s">
        <v>474</v>
      </c>
      <c r="K46" s="320" t="s">
        <v>474</v>
      </c>
      <c r="L46" s="320" t="s">
        <v>474</v>
      </c>
      <c r="M46" s="315" t="s">
        <v>239</v>
      </c>
      <c r="N46" s="315"/>
      <c r="O46" s="321">
        <v>5000</v>
      </c>
      <c r="P46" s="322" t="str">
        <f t="shared" ref="P46" si="99">IF(O46&lt;=0,"",IF(O46&lt;=2,"Muy Baja",IF(O46&lt;=24,"Baja",IF(O46&lt;=500,"Media",IF(O46&lt;=5000,"Alta","Muy Alta")))))</f>
        <v>Alta</v>
      </c>
      <c r="Q46" s="323">
        <f t="shared" ref="Q46" si="100">IF(P46="","",IF(P46="Muy Baja",0.2,IF(P46="Baja",0.4,IF(P46="Media",0.6,IF(P46="Alta",0.8,IF(P46="Muy Alta",1,))))))</f>
        <v>0.8</v>
      </c>
      <c r="R46" s="323" t="s">
        <v>186</v>
      </c>
      <c r="S46" s="323" t="str">
        <f ca="1">IF(NOT(ISERROR(MATCH(R46,'Tabla Impacto'!$B$221:$B$223,0))),'Tabla Impacto'!$F$223&amp;"Por favor no seleccionar los criterios de impacto(Afectación Económica o presupuestal y Pérdida Reputacional)",R46)</f>
        <v xml:space="preserve">Entre 10 y 50 SMLMV </v>
      </c>
      <c r="T46" s="322" t="str">
        <f ca="1">+IF(OR(S46='[1]Tabla Impacto'!$C$11,S46='[1]Tabla Impacto'!$D$11),"Leve",IF(OR(S46='[1]Tabla Impacto'!$C$12,S46='[1]Tabla Impacto'!$D$12),"Menor",IF(OR(S46='[1]Tabla Impacto'!$C$13,S46='[1]Tabla Impacto'!$D$13),"Moderado",IF(OR(S46='[1]Tabla Impacto'!$C$14,S46='[1]Tabla Impacto'!$D$14),"Mayor",IF(OR(S46='[1]Tabla Impacto'!$C$15,S46='[1]Tabla Impacto'!$D$15),"Catastrófico","")))))</f>
        <v>Menor</v>
      </c>
      <c r="U46" s="323">
        <f t="shared" ref="U46" ca="1" si="101">IF(T46="","",IF(T46="Leve",0.2,IF(T46="Menor",0.4,IF(T46="Moderado",0.6,IF(T46="Mayor",0.8,IF(T46="Catastrófico",1,))))))</f>
        <v>0.4</v>
      </c>
      <c r="V46" s="309" t="str">
        <f t="shared" ref="V46" ca="1" si="102">IF(OR(AND(P46="Muy Baja",T46="Leve"),AND(P46="Muy Baja",T46="Menor"),AND(P46="Baja",T46="Leve")),"Bajo",IF(OR(AND(P46="Muy baja",T46="Moderado"),AND(P46="Baja",T46="Menor"),AND(P46="Baja",T46="Moderado"),AND(P46="Media",T46="Leve"),AND(P46="Media",T46="Menor"),AND(P46="Media",T46="Moderado"),AND(P46="Alta",T46="Leve"),AND(P46="Alta",T46="Menor")),"Moderado",IF(OR(AND(P46="Muy Baja",T46="Mayor"),AND(P46="Baja",T46="Mayor"),AND(P46="Media",T46="Mayor"),AND(P46="Alta",T46="Moderado"),AND(P46="Alta",T46="Mayor"),AND(P46="Muy Alta",T46="Leve"),AND(P46="Muy Alta",T46="Menor"),AND(P46="Muy Alta",T46="Moderado"),AND(P46="Muy Alta",T46="Mayor")),"Alto",IF(OR(AND(P46="Muy Baja",T46="Catastrófico"),AND(P46="Baja",T46="Catastrófico"),AND(P46="Media",T46="Catastrófico"),AND(P46="Alta",T46="Catastrófico"),AND(P46="Muy Alta",T46="Catastrófico")),"Extremo",""))))</f>
        <v>Moderado</v>
      </c>
      <c r="W46" s="252">
        <v>1</v>
      </c>
      <c r="X46" s="207" t="s">
        <v>975</v>
      </c>
      <c r="Y46" s="250" t="str">
        <f t="shared" ref="Y46:Y60" si="103">IF(OR(Z46="Preventivo",Z46="Detectivo"),"Probabilidad",IF(Z46="Correctivo","Impacto",""))</f>
        <v>Probabilidad</v>
      </c>
      <c r="Z46" s="185" t="s">
        <v>210</v>
      </c>
      <c r="AA46" s="185" t="s">
        <v>216</v>
      </c>
      <c r="AB46" s="186" t="str">
        <f t="shared" si="81"/>
        <v>30%</v>
      </c>
      <c r="AC46" s="185" t="s">
        <v>219</v>
      </c>
      <c r="AD46" s="185" t="s">
        <v>224</v>
      </c>
      <c r="AE46" s="185" t="s">
        <v>228</v>
      </c>
      <c r="AF46" s="187">
        <f t="shared" ref="AF46" si="104">IFERROR(IF(Y46="Probabilidad",(Q46-(+Q46*AB46)),IF(Y46="Impacto",Q46,"")),"")</f>
        <v>0.56000000000000005</v>
      </c>
      <c r="AG46" s="188" t="str">
        <f t="shared" ref="AG46:AG60" si="105">IFERROR(IF(AF46="","",IF(AF46&lt;=0.2,"Muy Baja",IF(AF46&lt;=0.4,"Baja",IF(AF46&lt;=0.6,"Media",IF(AF46&lt;=0.8,"Alta","Muy Alta"))))),"")</f>
        <v>Media</v>
      </c>
      <c r="AH46" s="186">
        <f t="shared" ref="AH46:AH60" si="106">+AF46</f>
        <v>0.56000000000000005</v>
      </c>
      <c r="AI46" s="188" t="str">
        <f t="shared" ref="AI46:AI60" ca="1" si="107">IFERROR(IF(AJ46="","",IF(AJ46&lt;=0.2,"Leve",IF(AJ46&lt;=0.4,"Menor",IF(AJ46&lt;=0.6,"Moderado",IF(AJ46&lt;=0.8,"Mayor","Catastrófico"))))),"")</f>
        <v>Menor</v>
      </c>
      <c r="AJ46" s="186">
        <f t="shared" ref="AJ46" ca="1" si="108">IFERROR(IF(Y46="Impacto",(U46-(+U46*AB46)),IF(Y46="Probabilidad",U46,"")),"")</f>
        <v>0.4</v>
      </c>
      <c r="AK46" s="189" t="str">
        <f t="shared" ref="AK46:AK60" ca="1" si="109">IFERROR(IF(OR(AND(AG46="Muy Baja",AI46="Leve"),AND(AG46="Muy Baja",AI46="Menor"),AND(AG46="Baja",AI46="Leve")),"Bajo",IF(OR(AND(AG46="Muy baja",AI46="Moderado"),AND(AG46="Baja",AI46="Menor"),AND(AG46="Baja",AI46="Moderado"),AND(AG46="Media",AI46="Leve"),AND(AG46="Media",AI46="Menor"),AND(AG46="Media",AI46="Moderado"),AND(AG46="Alta",AI46="Leve"),AND(AG46="Alta",AI46="Menor")),"Moderado",IF(OR(AND(AG46="Muy Baja",AI46="Mayor"),AND(AG46="Baja",AI46="Mayor"),AND(AG46="Media",AI46="Mayor"),AND(AG46="Alta",AI46="Moderado"),AND(AG46="Alta",AI46="Mayor"),AND(AG46="Muy Alta",AI46="Leve"),AND(AG46="Muy Alta",AI46="Menor"),AND(AG46="Muy Alta",AI46="Moderado"),AND(AG46="Muy Alta",AI46="Mayor")),"Alto",IF(OR(AND(AG46="Muy Baja",AI46="Catastrófico"),AND(AG46="Baja",AI46="Catastrófico"),AND(AG46="Media",AI46="Catastrófico"),AND(AG46="Alta",AI46="Catastrófico"),AND(AG46="Muy Alta",AI46="Catastrófico")),"Extremo","")))),"")</f>
        <v>Moderado</v>
      </c>
      <c r="AL46" s="185" t="s">
        <v>255</v>
      </c>
      <c r="AM46" s="246"/>
      <c r="AN46" s="250"/>
      <c r="AO46" s="245"/>
      <c r="AP46" s="245"/>
      <c r="AQ46" s="246"/>
      <c r="AR46" s="247"/>
    </row>
    <row r="47" spans="1:76" s="191" customFormat="1" ht="239.25" customHeight="1" thickTop="1" thickBot="1" x14ac:dyDescent="0.3">
      <c r="A47" s="310"/>
      <c r="B47" s="327"/>
      <c r="C47" s="315"/>
      <c r="D47" s="315"/>
      <c r="E47" s="315"/>
      <c r="F47" s="315"/>
      <c r="G47" s="315"/>
      <c r="H47" s="373"/>
      <c r="I47" s="320"/>
      <c r="J47" s="320"/>
      <c r="K47" s="320"/>
      <c r="L47" s="320"/>
      <c r="M47" s="315"/>
      <c r="N47" s="315"/>
      <c r="O47" s="321"/>
      <c r="P47" s="322"/>
      <c r="Q47" s="323"/>
      <c r="R47" s="323"/>
      <c r="S47" s="323"/>
      <c r="T47" s="322"/>
      <c r="U47" s="323"/>
      <c r="V47" s="309"/>
      <c r="W47" s="252">
        <v>2</v>
      </c>
      <c r="X47" s="207" t="s">
        <v>976</v>
      </c>
      <c r="Y47" s="250" t="str">
        <f t="shared" si="103"/>
        <v>Probabilidad</v>
      </c>
      <c r="Z47" s="185" t="s">
        <v>208</v>
      </c>
      <c r="AA47" s="185" t="s">
        <v>216</v>
      </c>
      <c r="AB47" s="186" t="str">
        <f t="shared" si="81"/>
        <v>40%</v>
      </c>
      <c r="AC47" s="185" t="s">
        <v>219</v>
      </c>
      <c r="AD47" s="185" t="s">
        <v>226</v>
      </c>
      <c r="AE47" s="185" t="s">
        <v>228</v>
      </c>
      <c r="AF47" s="187">
        <f t="shared" ref="AF47:AF54" si="110">IFERROR(IF(AND(Y46="Probabilidad",Y47="Probabilidad"),(AH46-(+AH46*AB47)),IF(Y47="Probabilidad",(Q46-(+Q46*AB47)),IF(Y47="Impacto",AH46,""))),"")</f>
        <v>0.33600000000000002</v>
      </c>
      <c r="AG47" s="188" t="str">
        <f t="shared" si="105"/>
        <v>Baja</v>
      </c>
      <c r="AH47" s="186">
        <f t="shared" si="106"/>
        <v>0.33600000000000002</v>
      </c>
      <c r="AI47" s="188" t="str">
        <f t="shared" ca="1" si="107"/>
        <v>Menor</v>
      </c>
      <c r="AJ47" s="186">
        <f t="shared" ref="AJ47" ca="1" si="111">IFERROR(IF(AND(Y46="Impacto",Y47="Impacto"),(AJ46-(+AJ46*AB47)),IF(Y47="Impacto",(U46-(+U46*AB47)),IF(Y47="Probabilidad",AJ46,""))),"")</f>
        <v>0.4</v>
      </c>
      <c r="AK47" s="189" t="str">
        <f t="shared" ca="1" si="109"/>
        <v>Moderado</v>
      </c>
      <c r="AL47" s="185" t="s">
        <v>255</v>
      </c>
      <c r="AM47" s="246"/>
      <c r="AN47" s="250"/>
      <c r="AO47" s="245"/>
      <c r="AP47" s="245"/>
      <c r="AQ47" s="246"/>
      <c r="AR47" s="247"/>
    </row>
    <row r="48" spans="1:76" s="191" customFormat="1" ht="233.25" customHeight="1" thickTop="1" thickBot="1" x14ac:dyDescent="0.3">
      <c r="A48" s="310"/>
      <c r="B48" s="327"/>
      <c r="C48" s="315"/>
      <c r="D48" s="315"/>
      <c r="E48" s="315"/>
      <c r="F48" s="315"/>
      <c r="G48" s="315"/>
      <c r="H48" s="373"/>
      <c r="I48" s="320"/>
      <c r="J48" s="320"/>
      <c r="K48" s="320"/>
      <c r="L48" s="320"/>
      <c r="M48" s="315"/>
      <c r="N48" s="315"/>
      <c r="O48" s="321"/>
      <c r="P48" s="322"/>
      <c r="Q48" s="323"/>
      <c r="R48" s="323"/>
      <c r="S48" s="323"/>
      <c r="T48" s="322"/>
      <c r="U48" s="323"/>
      <c r="V48" s="309"/>
      <c r="W48" s="252">
        <v>3</v>
      </c>
      <c r="X48" s="207" t="s">
        <v>977</v>
      </c>
      <c r="Y48" s="250" t="str">
        <f t="shared" si="103"/>
        <v>Probabilidad</v>
      </c>
      <c r="Z48" s="185" t="s">
        <v>208</v>
      </c>
      <c r="AA48" s="185" t="s">
        <v>216</v>
      </c>
      <c r="AB48" s="186" t="str">
        <f t="shared" si="81"/>
        <v>40%</v>
      </c>
      <c r="AC48" s="185" t="s">
        <v>219</v>
      </c>
      <c r="AD48" s="185" t="s">
        <v>224</v>
      </c>
      <c r="AE48" s="185" t="s">
        <v>228</v>
      </c>
      <c r="AF48" s="187">
        <f t="shared" si="110"/>
        <v>0.2016</v>
      </c>
      <c r="AG48" s="188" t="str">
        <f t="shared" si="105"/>
        <v>Baja</v>
      </c>
      <c r="AH48" s="186">
        <f t="shared" si="106"/>
        <v>0.2016</v>
      </c>
      <c r="AI48" s="188" t="str">
        <f t="shared" ca="1" si="107"/>
        <v>Menor</v>
      </c>
      <c r="AJ48" s="186">
        <f t="shared" ref="AJ48:AJ51" ca="1" si="112">IFERROR(IF(AND(Y47="Impacto",Y48="Impacto"),(AJ47-(+AJ47*AB48)),IF(AND(Y47="Probabilidad",Y48="Impacto"),(AJ46-(+AJ46*AB48)),IF(Y48="Probabilidad",AJ47,""))),"")</f>
        <v>0.4</v>
      </c>
      <c r="AK48" s="189" t="str">
        <f t="shared" ca="1" si="109"/>
        <v>Moderado</v>
      </c>
      <c r="AL48" s="185" t="s">
        <v>255</v>
      </c>
      <c r="AM48" s="246"/>
      <c r="AN48" s="250"/>
      <c r="AO48" s="245"/>
      <c r="AP48" s="245"/>
      <c r="AQ48" s="246"/>
      <c r="AR48" s="247"/>
    </row>
    <row r="49" spans="1:44" s="191" customFormat="1" ht="249" customHeight="1" thickTop="1" thickBot="1" x14ac:dyDescent="0.3">
      <c r="A49" s="310"/>
      <c r="B49" s="327"/>
      <c r="C49" s="315"/>
      <c r="D49" s="315"/>
      <c r="E49" s="315"/>
      <c r="F49" s="315"/>
      <c r="G49" s="315"/>
      <c r="H49" s="373"/>
      <c r="I49" s="320"/>
      <c r="J49" s="320"/>
      <c r="K49" s="320"/>
      <c r="L49" s="320"/>
      <c r="M49" s="315"/>
      <c r="N49" s="315"/>
      <c r="O49" s="321"/>
      <c r="P49" s="322"/>
      <c r="Q49" s="323"/>
      <c r="R49" s="323"/>
      <c r="S49" s="323"/>
      <c r="T49" s="322"/>
      <c r="U49" s="323"/>
      <c r="V49" s="309"/>
      <c r="W49" s="252">
        <v>4</v>
      </c>
      <c r="X49" s="207" t="s">
        <v>978</v>
      </c>
      <c r="Y49" s="250" t="str">
        <f t="shared" si="103"/>
        <v>Probabilidad</v>
      </c>
      <c r="Z49" s="185" t="s">
        <v>208</v>
      </c>
      <c r="AA49" s="185" t="s">
        <v>216</v>
      </c>
      <c r="AB49" s="186" t="str">
        <f t="shared" si="81"/>
        <v>40%</v>
      </c>
      <c r="AC49" s="185" t="s">
        <v>219</v>
      </c>
      <c r="AD49" s="185" t="s">
        <v>224</v>
      </c>
      <c r="AE49" s="185" t="s">
        <v>228</v>
      </c>
      <c r="AF49" s="187">
        <f t="shared" si="110"/>
        <v>0.12096</v>
      </c>
      <c r="AG49" s="188" t="str">
        <f t="shared" si="105"/>
        <v>Muy Baja</v>
      </c>
      <c r="AH49" s="186">
        <f t="shared" si="106"/>
        <v>0.12096</v>
      </c>
      <c r="AI49" s="188" t="str">
        <f t="shared" ca="1" si="107"/>
        <v>Menor</v>
      </c>
      <c r="AJ49" s="186">
        <f t="shared" ca="1" si="112"/>
        <v>0.4</v>
      </c>
      <c r="AK49" s="189" t="str">
        <f t="shared" ca="1" si="109"/>
        <v>Bajo</v>
      </c>
      <c r="AL49" s="185" t="s">
        <v>255</v>
      </c>
      <c r="AM49" s="246"/>
      <c r="AN49" s="250"/>
      <c r="AO49" s="245"/>
      <c r="AP49" s="245"/>
      <c r="AQ49" s="246"/>
      <c r="AR49" s="247"/>
    </row>
    <row r="50" spans="1:44" s="191" customFormat="1" ht="215.25" customHeight="1" thickTop="1" thickBot="1" x14ac:dyDescent="0.3">
      <c r="A50" s="310"/>
      <c r="B50" s="327"/>
      <c r="C50" s="315"/>
      <c r="D50" s="315"/>
      <c r="E50" s="315"/>
      <c r="F50" s="315"/>
      <c r="G50" s="315"/>
      <c r="H50" s="373"/>
      <c r="I50" s="320"/>
      <c r="J50" s="320"/>
      <c r="K50" s="320"/>
      <c r="L50" s="320"/>
      <c r="M50" s="315"/>
      <c r="N50" s="315"/>
      <c r="O50" s="321"/>
      <c r="P50" s="322"/>
      <c r="Q50" s="323"/>
      <c r="R50" s="323"/>
      <c r="S50" s="323"/>
      <c r="T50" s="322"/>
      <c r="U50" s="323"/>
      <c r="V50" s="309"/>
      <c r="W50" s="252">
        <v>5</v>
      </c>
      <c r="X50" s="207" t="s">
        <v>979</v>
      </c>
      <c r="Y50" s="250" t="str">
        <f t="shared" si="103"/>
        <v>Probabilidad</v>
      </c>
      <c r="Z50" s="185" t="s">
        <v>208</v>
      </c>
      <c r="AA50" s="185" t="s">
        <v>216</v>
      </c>
      <c r="AB50" s="186" t="str">
        <f t="shared" si="81"/>
        <v>40%</v>
      </c>
      <c r="AC50" s="185" t="s">
        <v>219</v>
      </c>
      <c r="AD50" s="185" t="s">
        <v>224</v>
      </c>
      <c r="AE50" s="185" t="s">
        <v>228</v>
      </c>
      <c r="AF50" s="187">
        <f t="shared" si="110"/>
        <v>7.2576000000000002E-2</v>
      </c>
      <c r="AG50" s="188" t="str">
        <f t="shared" si="105"/>
        <v>Muy Baja</v>
      </c>
      <c r="AH50" s="186">
        <f t="shared" si="106"/>
        <v>7.2576000000000002E-2</v>
      </c>
      <c r="AI50" s="188" t="str">
        <f t="shared" ca="1" si="107"/>
        <v>Menor</v>
      </c>
      <c r="AJ50" s="186">
        <f t="shared" ca="1" si="112"/>
        <v>0.4</v>
      </c>
      <c r="AK50" s="189" t="str">
        <f t="shared" ca="1" si="109"/>
        <v>Bajo</v>
      </c>
      <c r="AL50" s="185" t="s">
        <v>255</v>
      </c>
      <c r="AM50" s="246"/>
      <c r="AN50" s="250"/>
      <c r="AO50" s="245"/>
      <c r="AP50" s="245"/>
      <c r="AQ50" s="246"/>
      <c r="AR50" s="247"/>
    </row>
    <row r="51" spans="1:44" s="191" customFormat="1" ht="175.5" customHeight="1" thickTop="1" thickBot="1" x14ac:dyDescent="0.3">
      <c r="A51" s="310"/>
      <c r="B51" s="327"/>
      <c r="C51" s="315"/>
      <c r="D51" s="315"/>
      <c r="E51" s="315"/>
      <c r="F51" s="315"/>
      <c r="G51" s="315"/>
      <c r="H51" s="373"/>
      <c r="I51" s="320"/>
      <c r="J51" s="320"/>
      <c r="K51" s="320"/>
      <c r="L51" s="320"/>
      <c r="M51" s="315"/>
      <c r="N51" s="315"/>
      <c r="O51" s="321"/>
      <c r="P51" s="322"/>
      <c r="Q51" s="323"/>
      <c r="R51" s="323"/>
      <c r="S51" s="323"/>
      <c r="T51" s="322"/>
      <c r="U51" s="323"/>
      <c r="V51" s="309"/>
      <c r="W51" s="252">
        <v>6</v>
      </c>
      <c r="X51" s="209" t="s">
        <v>980</v>
      </c>
      <c r="Y51" s="250" t="str">
        <f t="shared" si="103"/>
        <v>Probabilidad</v>
      </c>
      <c r="Z51" s="185" t="s">
        <v>208</v>
      </c>
      <c r="AA51" s="185" t="s">
        <v>216</v>
      </c>
      <c r="AB51" s="186" t="str">
        <f t="shared" si="81"/>
        <v>40%</v>
      </c>
      <c r="AC51" s="185" t="s">
        <v>219</v>
      </c>
      <c r="AD51" s="185" t="s">
        <v>224</v>
      </c>
      <c r="AE51" s="185" t="s">
        <v>228</v>
      </c>
      <c r="AF51" s="187">
        <f t="shared" si="110"/>
        <v>4.3545600000000004E-2</v>
      </c>
      <c r="AG51" s="188" t="str">
        <f t="shared" si="105"/>
        <v>Muy Baja</v>
      </c>
      <c r="AH51" s="186">
        <f t="shared" si="106"/>
        <v>4.3545600000000004E-2</v>
      </c>
      <c r="AI51" s="188" t="str">
        <f t="shared" ca="1" si="107"/>
        <v>Menor</v>
      </c>
      <c r="AJ51" s="186">
        <f t="shared" ca="1" si="112"/>
        <v>0.4</v>
      </c>
      <c r="AK51" s="189" t="str">
        <f t="shared" ca="1" si="109"/>
        <v>Bajo</v>
      </c>
      <c r="AL51" s="185" t="s">
        <v>255</v>
      </c>
      <c r="AM51" s="246"/>
      <c r="AN51" s="250"/>
      <c r="AO51" s="245"/>
      <c r="AP51" s="245"/>
      <c r="AQ51" s="246"/>
      <c r="AR51" s="247"/>
    </row>
    <row r="52" spans="1:44" s="191" customFormat="1" ht="219.75" customHeight="1" thickTop="1" thickBot="1" x14ac:dyDescent="0.3">
      <c r="A52" s="310"/>
      <c r="B52" s="327"/>
      <c r="C52" s="315"/>
      <c r="D52" s="315"/>
      <c r="E52" s="315"/>
      <c r="F52" s="315"/>
      <c r="G52" s="315"/>
      <c r="H52" s="373"/>
      <c r="I52" s="320"/>
      <c r="J52" s="320"/>
      <c r="K52" s="320"/>
      <c r="L52" s="320"/>
      <c r="M52" s="315"/>
      <c r="N52" s="315"/>
      <c r="O52" s="321"/>
      <c r="P52" s="322"/>
      <c r="Q52" s="323"/>
      <c r="R52" s="323"/>
      <c r="S52" s="323"/>
      <c r="T52" s="322"/>
      <c r="U52" s="323"/>
      <c r="V52" s="309"/>
      <c r="W52" s="252">
        <v>7</v>
      </c>
      <c r="X52" s="209" t="s">
        <v>981</v>
      </c>
      <c r="Y52" s="250" t="str">
        <f t="shared" si="103"/>
        <v>Probabilidad</v>
      </c>
      <c r="Z52" s="185" t="s">
        <v>208</v>
      </c>
      <c r="AA52" s="185" t="s">
        <v>216</v>
      </c>
      <c r="AB52" s="186" t="str">
        <f t="shared" si="81"/>
        <v>40%</v>
      </c>
      <c r="AC52" s="185" t="s">
        <v>219</v>
      </c>
      <c r="AD52" s="185" t="s">
        <v>224</v>
      </c>
      <c r="AE52" s="185" t="s">
        <v>228</v>
      </c>
      <c r="AF52" s="187">
        <f t="shared" si="110"/>
        <v>2.6127360000000002E-2</v>
      </c>
      <c r="AG52" s="188" t="str">
        <f t="shared" si="105"/>
        <v>Muy Baja</v>
      </c>
      <c r="AH52" s="186">
        <f t="shared" si="106"/>
        <v>2.6127360000000002E-2</v>
      </c>
      <c r="AI52" s="188" t="str">
        <f t="shared" si="107"/>
        <v>Leve</v>
      </c>
      <c r="AJ52" s="186">
        <f t="shared" ref="AJ52" si="113">IFERROR(IF(Y52="Impacto",(U52-(+U52*AB52)),IF(Y52="Probabilidad",U52,"")),"")</f>
        <v>0</v>
      </c>
      <c r="AK52" s="189" t="str">
        <f t="shared" si="109"/>
        <v>Bajo</v>
      </c>
      <c r="AL52" s="185" t="s">
        <v>255</v>
      </c>
      <c r="AM52" s="246"/>
      <c r="AN52" s="250"/>
      <c r="AO52" s="245"/>
      <c r="AP52" s="245"/>
      <c r="AQ52" s="246"/>
      <c r="AR52" s="247"/>
    </row>
    <row r="53" spans="1:44" s="191" customFormat="1" ht="162" customHeight="1" thickTop="1" thickBot="1" x14ac:dyDescent="0.3">
      <c r="A53" s="310"/>
      <c r="B53" s="327"/>
      <c r="C53" s="315"/>
      <c r="D53" s="315"/>
      <c r="E53" s="315"/>
      <c r="F53" s="315"/>
      <c r="G53" s="315"/>
      <c r="H53" s="373"/>
      <c r="I53" s="320"/>
      <c r="J53" s="320"/>
      <c r="K53" s="320"/>
      <c r="L53" s="320"/>
      <c r="M53" s="315"/>
      <c r="N53" s="315"/>
      <c r="O53" s="321"/>
      <c r="P53" s="322"/>
      <c r="Q53" s="323"/>
      <c r="R53" s="323"/>
      <c r="S53" s="323"/>
      <c r="T53" s="322"/>
      <c r="U53" s="323"/>
      <c r="V53" s="309"/>
      <c r="W53" s="252">
        <v>8</v>
      </c>
      <c r="X53" s="209" t="s">
        <v>982</v>
      </c>
      <c r="Y53" s="250" t="str">
        <f t="shared" si="103"/>
        <v>Probabilidad</v>
      </c>
      <c r="Z53" s="185" t="s">
        <v>208</v>
      </c>
      <c r="AA53" s="185" t="s">
        <v>216</v>
      </c>
      <c r="AB53" s="186" t="str">
        <f t="shared" si="81"/>
        <v>40%</v>
      </c>
      <c r="AC53" s="185" t="s">
        <v>219</v>
      </c>
      <c r="AD53" s="185" t="s">
        <v>224</v>
      </c>
      <c r="AE53" s="185" t="s">
        <v>228</v>
      </c>
      <c r="AF53" s="187">
        <f t="shared" si="110"/>
        <v>1.5676415999999999E-2</v>
      </c>
      <c r="AG53" s="188" t="str">
        <f t="shared" si="105"/>
        <v>Muy Baja</v>
      </c>
      <c r="AH53" s="186">
        <f t="shared" si="106"/>
        <v>1.5676415999999999E-2</v>
      </c>
      <c r="AI53" s="188" t="str">
        <f t="shared" si="107"/>
        <v>Leve</v>
      </c>
      <c r="AJ53" s="186">
        <f t="shared" ref="AJ53" si="114">IFERROR(IF(AND(Y52="Impacto",Y53="Impacto"),(AJ52-(+AJ52*AB53)),IF(Y53="Impacto",(U52-(+U52*AB53)),IF(Y53="Probabilidad",AJ52,""))),"")</f>
        <v>0</v>
      </c>
      <c r="AK53" s="189" t="str">
        <f t="shared" si="109"/>
        <v>Bajo</v>
      </c>
      <c r="AL53" s="185" t="s">
        <v>255</v>
      </c>
      <c r="AM53" s="246"/>
      <c r="AN53" s="250"/>
      <c r="AO53" s="245"/>
      <c r="AP53" s="245"/>
      <c r="AQ53" s="246"/>
      <c r="AR53" s="247"/>
    </row>
    <row r="54" spans="1:44" s="191" customFormat="1" ht="160.5" customHeight="1" thickTop="1" thickBot="1" x14ac:dyDescent="0.3">
      <c r="A54" s="310"/>
      <c r="B54" s="327"/>
      <c r="C54" s="315"/>
      <c r="D54" s="315"/>
      <c r="E54" s="315"/>
      <c r="F54" s="315"/>
      <c r="G54" s="315"/>
      <c r="H54" s="373"/>
      <c r="I54" s="320"/>
      <c r="J54" s="320"/>
      <c r="K54" s="320"/>
      <c r="L54" s="320"/>
      <c r="M54" s="315"/>
      <c r="N54" s="315"/>
      <c r="O54" s="321"/>
      <c r="P54" s="322"/>
      <c r="Q54" s="323"/>
      <c r="R54" s="323"/>
      <c r="S54" s="323"/>
      <c r="T54" s="322"/>
      <c r="U54" s="323"/>
      <c r="V54" s="309"/>
      <c r="W54" s="252">
        <v>9</v>
      </c>
      <c r="X54" s="209" t="s">
        <v>983</v>
      </c>
      <c r="Y54" s="250" t="str">
        <f t="shared" si="103"/>
        <v>Probabilidad</v>
      </c>
      <c r="Z54" s="185" t="s">
        <v>208</v>
      </c>
      <c r="AA54" s="185" t="s">
        <v>216</v>
      </c>
      <c r="AB54" s="186" t="str">
        <f t="shared" si="81"/>
        <v>40%</v>
      </c>
      <c r="AC54" s="185" t="s">
        <v>219</v>
      </c>
      <c r="AD54" s="185" t="s">
        <v>224</v>
      </c>
      <c r="AE54" s="185" t="s">
        <v>228</v>
      </c>
      <c r="AF54" s="187">
        <f t="shared" si="110"/>
        <v>9.4058495999999985E-3</v>
      </c>
      <c r="AG54" s="188" t="str">
        <f t="shared" si="105"/>
        <v>Muy Baja</v>
      </c>
      <c r="AH54" s="186">
        <f t="shared" si="106"/>
        <v>9.4058495999999985E-3</v>
      </c>
      <c r="AI54" s="188" t="str">
        <f t="shared" si="107"/>
        <v>Leve</v>
      </c>
      <c r="AJ54" s="186">
        <f t="shared" ref="AJ54" si="115">IFERROR(IF(AND(Y53="Impacto",Y54="Impacto"),(AJ53-(+AJ53*AB54)),IF(AND(Y53="Probabilidad",Y54="Impacto"),(AJ52-(+AJ52*AB54)),IF(Y54="Probabilidad",AJ53,""))),"")</f>
        <v>0</v>
      </c>
      <c r="AK54" s="189" t="str">
        <f t="shared" si="109"/>
        <v>Bajo</v>
      </c>
      <c r="AL54" s="185" t="s">
        <v>255</v>
      </c>
      <c r="AM54" s="246"/>
      <c r="AN54" s="250"/>
      <c r="AO54" s="245"/>
      <c r="AP54" s="245"/>
      <c r="AQ54" s="246"/>
      <c r="AR54" s="247"/>
    </row>
    <row r="55" spans="1:44" s="191" customFormat="1" ht="187.5" customHeight="1" thickTop="1" thickBot="1" x14ac:dyDescent="0.3">
      <c r="A55" s="310">
        <v>17</v>
      </c>
      <c r="B55" s="327" t="s">
        <v>553</v>
      </c>
      <c r="C55" s="315" t="s">
        <v>269</v>
      </c>
      <c r="D55" s="317" t="s">
        <v>554</v>
      </c>
      <c r="E55" s="315" t="s">
        <v>238</v>
      </c>
      <c r="F55" s="332" t="s">
        <v>555</v>
      </c>
      <c r="G55" s="332" t="s">
        <v>556</v>
      </c>
      <c r="H55" s="333" t="s">
        <v>1097</v>
      </c>
      <c r="I55" s="320" t="s">
        <v>474</v>
      </c>
      <c r="J55" s="320" t="s">
        <v>474</v>
      </c>
      <c r="K55" s="320" t="s">
        <v>474</v>
      </c>
      <c r="L55" s="320" t="s">
        <v>474</v>
      </c>
      <c r="M55" s="315" t="s">
        <v>239</v>
      </c>
      <c r="N55" s="315"/>
      <c r="O55" s="321">
        <v>5000</v>
      </c>
      <c r="P55" s="322" t="str">
        <f t="shared" ref="P55" si="116">IF(O55&lt;=0,"",IF(O55&lt;=2,"Muy Baja",IF(O55&lt;=24,"Baja",IF(O55&lt;=500,"Media",IF(O55&lt;=5000,"Alta","Muy Alta")))))</f>
        <v>Alta</v>
      </c>
      <c r="Q55" s="323">
        <f t="shared" ref="Q55" si="117">IF(P55="","",IF(P55="Muy Baja",0.2,IF(P55="Baja",0.4,IF(P55="Media",0.6,IF(P55="Alta",0.8,IF(P55="Muy Alta",1,))))))</f>
        <v>0.8</v>
      </c>
      <c r="R55" s="323" t="s">
        <v>187</v>
      </c>
      <c r="S55" s="323" t="str">
        <f ca="1">IF(NOT(ISERROR(MATCH(R55,'Tabla Impacto'!$B$221:$B$223,0))),'Tabla Impacto'!$F$223&amp;"Por favor no seleccionar los criterios de impacto(Afectación Económica o presupuestal y Pérdida Reputacional)",R55)</f>
        <v>El riesgo afecta la imagen de la entidad internamente, de conocimiento general, nivel interno, de junta dircetiva y accionistas y/o de provedores</v>
      </c>
      <c r="T55" s="322" t="str">
        <f ca="1">+IF(OR(S55='[1]Tabla Impacto'!$C$11,S55='[1]Tabla Impacto'!$D$11),"Leve",IF(OR(S55='[1]Tabla Impacto'!$C$12,S55='[1]Tabla Impacto'!$D$12),"Menor",IF(OR(S55='[1]Tabla Impacto'!$C$13,S55='[1]Tabla Impacto'!$D$13),"Moderado",IF(OR(S55='[1]Tabla Impacto'!$C$14,S55='[1]Tabla Impacto'!$D$14),"Mayor",IF(OR(S55='[1]Tabla Impacto'!$C$15,S55='[1]Tabla Impacto'!$D$15),"Catastrófico","")))))</f>
        <v>Menor</v>
      </c>
      <c r="U55" s="323">
        <f t="shared" ref="U55" ca="1" si="118">IF(T55="","",IF(T55="Leve",0.2,IF(T55="Menor",0.4,IF(T55="Moderado",0.6,IF(T55="Mayor",0.8,IF(T55="Catastrófico",1,))))))</f>
        <v>0.4</v>
      </c>
      <c r="V55" s="309" t="str">
        <f t="shared" ref="V55" ca="1" si="119">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Moderado</v>
      </c>
      <c r="W55" s="252">
        <v>1</v>
      </c>
      <c r="X55" s="207" t="s">
        <v>984</v>
      </c>
      <c r="Y55" s="250" t="str">
        <f t="shared" si="103"/>
        <v>Probabilidad</v>
      </c>
      <c r="Z55" s="185" t="s">
        <v>208</v>
      </c>
      <c r="AA55" s="185" t="s">
        <v>216</v>
      </c>
      <c r="AB55" s="186" t="str">
        <f t="shared" si="81"/>
        <v>40%</v>
      </c>
      <c r="AC55" s="185" t="s">
        <v>219</v>
      </c>
      <c r="AD55" s="185" t="s">
        <v>224</v>
      </c>
      <c r="AE55" s="185" t="s">
        <v>228</v>
      </c>
      <c r="AF55" s="187">
        <f t="shared" ref="AF55" si="120">IFERROR(IF(Y55="Probabilidad",(Q55-(+Q55*AB55)),IF(Y55="Impacto",Q55,"")),"")</f>
        <v>0.48</v>
      </c>
      <c r="AG55" s="188" t="str">
        <f t="shared" si="105"/>
        <v>Media</v>
      </c>
      <c r="AH55" s="186">
        <f t="shared" si="106"/>
        <v>0.48</v>
      </c>
      <c r="AI55" s="188" t="str">
        <f t="shared" ca="1" si="107"/>
        <v>Menor</v>
      </c>
      <c r="AJ55" s="186">
        <f t="shared" ref="AJ55" ca="1" si="121">IFERROR(IF(Y55="Impacto",(U55-(+U55*AB55)),IF(Y55="Probabilidad",U55,"")),"")</f>
        <v>0.4</v>
      </c>
      <c r="AK55" s="189" t="str">
        <f t="shared" ca="1" si="109"/>
        <v>Moderado</v>
      </c>
      <c r="AL55" s="185" t="s">
        <v>255</v>
      </c>
      <c r="AM55" s="246"/>
      <c r="AN55" s="250"/>
      <c r="AO55" s="245"/>
      <c r="AP55" s="245"/>
      <c r="AQ55" s="246"/>
      <c r="AR55" s="247"/>
    </row>
    <row r="56" spans="1:44" s="191" customFormat="1" ht="139.5" customHeight="1" thickTop="1" thickBot="1" x14ac:dyDescent="0.3">
      <c r="A56" s="310"/>
      <c r="B56" s="327"/>
      <c r="C56" s="315"/>
      <c r="D56" s="317"/>
      <c r="E56" s="315"/>
      <c r="F56" s="332"/>
      <c r="G56" s="332"/>
      <c r="H56" s="333"/>
      <c r="I56" s="320"/>
      <c r="J56" s="320"/>
      <c r="K56" s="320"/>
      <c r="L56" s="320"/>
      <c r="M56" s="315"/>
      <c r="N56" s="315"/>
      <c r="O56" s="321"/>
      <c r="P56" s="322"/>
      <c r="Q56" s="323"/>
      <c r="R56" s="323"/>
      <c r="S56" s="323">
        <f ca="1">IF(NOT(ISERROR(MATCH(R56,_xlfn.ANCHORARRAY(H61),0))),#REF!&amp;"Por favor no seleccionar los criterios de impacto",R56)</f>
        <v>0</v>
      </c>
      <c r="T56" s="322"/>
      <c r="U56" s="323"/>
      <c r="V56" s="309"/>
      <c r="W56" s="252">
        <v>2</v>
      </c>
      <c r="X56" s="207" t="s">
        <v>985</v>
      </c>
      <c r="Y56" s="250" t="str">
        <f t="shared" si="103"/>
        <v>Probabilidad</v>
      </c>
      <c r="Z56" s="185" t="s">
        <v>208</v>
      </c>
      <c r="AA56" s="185" t="s">
        <v>216</v>
      </c>
      <c r="AB56" s="186" t="str">
        <f t="shared" si="81"/>
        <v>40%</v>
      </c>
      <c r="AC56" s="185" t="s">
        <v>219</v>
      </c>
      <c r="AD56" s="185" t="s">
        <v>224</v>
      </c>
      <c r="AE56" s="185" t="s">
        <v>228</v>
      </c>
      <c r="AF56" s="187">
        <f t="shared" ref="AF56:AF57" si="122">IFERROR(IF(AND(Y55="Probabilidad",Y56="Probabilidad"),(AH55-(+AH55*AB56)),IF(Y56="Probabilidad",(Q55-(+Q55*AB56)),IF(Y56="Impacto",AH55,""))),"")</f>
        <v>0.28799999999999998</v>
      </c>
      <c r="AG56" s="188" t="str">
        <f t="shared" si="105"/>
        <v>Baja</v>
      </c>
      <c r="AH56" s="186">
        <f t="shared" si="106"/>
        <v>0.28799999999999998</v>
      </c>
      <c r="AI56" s="188" t="str">
        <f t="shared" ca="1" si="107"/>
        <v>Menor</v>
      </c>
      <c r="AJ56" s="186">
        <f t="shared" ref="AJ56" ca="1" si="123">IFERROR(IF(AND(Y55="Impacto",Y56="Impacto"),(AJ55-(+AJ55*AB56)),IF(Y56="Impacto",(U55-(+U55*AB56)),IF(Y56="Probabilidad",AJ55,""))),"")</f>
        <v>0.4</v>
      </c>
      <c r="AK56" s="189" t="str">
        <f t="shared" ca="1" si="109"/>
        <v>Moderado</v>
      </c>
      <c r="AL56" s="185" t="s">
        <v>255</v>
      </c>
      <c r="AM56" s="246"/>
      <c r="AN56" s="250"/>
      <c r="AO56" s="245"/>
      <c r="AP56" s="245"/>
      <c r="AQ56" s="246"/>
      <c r="AR56" s="247"/>
    </row>
    <row r="57" spans="1:44" s="191" customFormat="1" ht="161.25" customHeight="1" thickTop="1" thickBot="1" x14ac:dyDescent="0.3">
      <c r="A57" s="310"/>
      <c r="B57" s="327"/>
      <c r="C57" s="315"/>
      <c r="D57" s="317"/>
      <c r="E57" s="315"/>
      <c r="F57" s="332"/>
      <c r="G57" s="332"/>
      <c r="H57" s="333"/>
      <c r="I57" s="320"/>
      <c r="J57" s="320"/>
      <c r="K57" s="320"/>
      <c r="L57" s="320"/>
      <c r="M57" s="315"/>
      <c r="N57" s="315"/>
      <c r="O57" s="321"/>
      <c r="P57" s="322"/>
      <c r="Q57" s="323"/>
      <c r="R57" s="323"/>
      <c r="S57" s="323">
        <f ca="1">IF(NOT(ISERROR(MATCH(R57,_xlfn.ANCHORARRAY(H62),0))),#REF!&amp;"Por favor no seleccionar los criterios de impacto",R57)</f>
        <v>0</v>
      </c>
      <c r="T57" s="322"/>
      <c r="U57" s="323"/>
      <c r="V57" s="309"/>
      <c r="W57" s="252">
        <v>3</v>
      </c>
      <c r="X57" s="207" t="s">
        <v>986</v>
      </c>
      <c r="Y57" s="250" t="str">
        <f t="shared" si="103"/>
        <v>Impacto</v>
      </c>
      <c r="Z57" s="185" t="s">
        <v>212</v>
      </c>
      <c r="AA57" s="185" t="s">
        <v>216</v>
      </c>
      <c r="AB57" s="186" t="str">
        <f t="shared" si="81"/>
        <v>25%</v>
      </c>
      <c r="AC57" s="185" t="s">
        <v>219</v>
      </c>
      <c r="AD57" s="185" t="s">
        <v>226</v>
      </c>
      <c r="AE57" s="185" t="s">
        <v>228</v>
      </c>
      <c r="AF57" s="187">
        <f t="shared" si="122"/>
        <v>0.28799999999999998</v>
      </c>
      <c r="AG57" s="188" t="str">
        <f t="shared" si="105"/>
        <v>Baja</v>
      </c>
      <c r="AH57" s="186">
        <f t="shared" si="106"/>
        <v>0.28799999999999998</v>
      </c>
      <c r="AI57" s="188" t="str">
        <f t="shared" ca="1" si="107"/>
        <v>Menor</v>
      </c>
      <c r="AJ57" s="186">
        <f t="shared" ref="AJ57" ca="1" si="124">IFERROR(IF(AND(Y56="Impacto",Y57="Impacto"),(AJ56-(+AJ56*AB57)),IF(AND(Y56="Probabilidad",Y57="Impacto"),(AJ55-(+AJ55*AB57)),IF(Y57="Probabilidad",AJ56,""))),"")</f>
        <v>0.30000000000000004</v>
      </c>
      <c r="AK57" s="189" t="str">
        <f t="shared" ca="1" si="109"/>
        <v>Moderado</v>
      </c>
      <c r="AL57" s="185" t="s">
        <v>255</v>
      </c>
      <c r="AM57" s="246"/>
      <c r="AN57" s="250"/>
      <c r="AO57" s="245"/>
      <c r="AP57" s="245"/>
      <c r="AQ57" s="246"/>
      <c r="AR57" s="247"/>
    </row>
    <row r="58" spans="1:44" s="191" customFormat="1" ht="153.75" customHeight="1" thickTop="1" thickBot="1" x14ac:dyDescent="0.3">
      <c r="A58" s="310">
        <v>18</v>
      </c>
      <c r="B58" s="327" t="s">
        <v>557</v>
      </c>
      <c r="C58" s="315" t="s">
        <v>269</v>
      </c>
      <c r="D58" s="317" t="s">
        <v>558</v>
      </c>
      <c r="E58" s="315" t="s">
        <v>238</v>
      </c>
      <c r="F58" s="332" t="s">
        <v>559</v>
      </c>
      <c r="G58" s="332" t="s">
        <v>560</v>
      </c>
      <c r="H58" s="333" t="s">
        <v>1098</v>
      </c>
      <c r="I58" s="320" t="s">
        <v>474</v>
      </c>
      <c r="J58" s="320" t="s">
        <v>474</v>
      </c>
      <c r="K58" s="320" t="s">
        <v>474</v>
      </c>
      <c r="L58" s="320" t="s">
        <v>474</v>
      </c>
      <c r="M58" s="315" t="s">
        <v>239</v>
      </c>
      <c r="N58" s="315"/>
      <c r="O58" s="321">
        <v>5000</v>
      </c>
      <c r="P58" s="322" t="str">
        <f t="shared" ref="P58" si="125">IF(O58&lt;=0,"",IF(O58&lt;=2,"Muy Baja",IF(O58&lt;=24,"Baja",IF(O58&lt;=500,"Media",IF(O58&lt;=5000,"Alta","Muy Alta")))))</f>
        <v>Alta</v>
      </c>
      <c r="Q58" s="323">
        <f t="shared" ref="Q58" si="126">IF(P58="","",IF(P58="Muy Baja",0.2,IF(P58="Baja",0.4,IF(P58="Media",0.6,IF(P58="Alta",0.8,IF(P58="Muy Alta",1,))))))</f>
        <v>0.8</v>
      </c>
      <c r="R58" s="323" t="s">
        <v>187</v>
      </c>
      <c r="S58" s="323" t="str">
        <f ca="1">IF(NOT(ISERROR(MATCH(R58,'Tabla Impacto'!$B$221:$B$223,0))),'Tabla Impacto'!$F$223&amp;"Por favor no seleccionar los criterios de impacto(Afectación Económica o presupuestal y Pérdida Reputacional)",R58)</f>
        <v>El riesgo afecta la imagen de la entidad internamente, de conocimiento general, nivel interno, de junta dircetiva y accionistas y/o de provedores</v>
      </c>
      <c r="T58" s="322" t="str">
        <f ca="1">+IF(OR(S58='[1]Tabla Impacto'!$C$11,S58='[1]Tabla Impacto'!$D$11),"Leve",IF(OR(S58='[1]Tabla Impacto'!$C$12,S58='[1]Tabla Impacto'!$D$12),"Menor",IF(OR(S58='[1]Tabla Impacto'!$C$13,S58='[1]Tabla Impacto'!$D$13),"Moderado",IF(OR(S58='[1]Tabla Impacto'!$C$14,S58='[1]Tabla Impacto'!$D$14),"Mayor",IF(OR(S58='[1]Tabla Impacto'!$C$15,S58='[1]Tabla Impacto'!$D$15),"Catastrófico","")))))</f>
        <v>Menor</v>
      </c>
      <c r="U58" s="323">
        <f t="shared" ref="U58" ca="1" si="127">IF(T58="","",IF(T58="Leve",0.2,IF(T58="Menor",0.4,IF(T58="Moderado",0.6,IF(T58="Mayor",0.8,IF(T58="Catastrófico",1,))))))</f>
        <v>0.4</v>
      </c>
      <c r="V58" s="309" t="str">
        <f t="shared" ref="V58" ca="1" si="128">IF(OR(AND(P58="Muy Baja",T58="Leve"),AND(P58="Muy Baja",T58="Menor"),AND(P58="Baja",T58="Leve")),"Bajo",IF(OR(AND(P58="Muy baja",T58="Moderado"),AND(P58="Baja",T58="Menor"),AND(P58="Baja",T58="Moderado"),AND(P58="Media",T58="Leve"),AND(P58="Media",T58="Menor"),AND(P58="Media",T58="Moderado"),AND(P58="Alta",T58="Leve"),AND(P58="Alta",T58="Menor")),"Moderado",IF(OR(AND(P58="Muy Baja",T58="Mayor"),AND(P58="Baja",T58="Mayor"),AND(P58="Media",T58="Mayor"),AND(P58="Alta",T58="Moderado"),AND(P58="Alta",T58="Mayor"),AND(P58="Muy Alta",T58="Leve"),AND(P58="Muy Alta",T58="Menor"),AND(P58="Muy Alta",T58="Moderado"),AND(P58="Muy Alta",T58="Mayor")),"Alto",IF(OR(AND(P58="Muy Baja",T58="Catastrófico"),AND(P58="Baja",T58="Catastrófico"),AND(P58="Media",T58="Catastrófico"),AND(P58="Alta",T58="Catastrófico"),AND(P58="Muy Alta",T58="Catastrófico")),"Extremo",""))))</f>
        <v>Moderado</v>
      </c>
      <c r="W58" s="252">
        <v>1</v>
      </c>
      <c r="X58" s="207" t="s">
        <v>987</v>
      </c>
      <c r="Y58" s="250" t="str">
        <f t="shared" si="103"/>
        <v>Probabilidad</v>
      </c>
      <c r="Z58" s="185" t="s">
        <v>208</v>
      </c>
      <c r="AA58" s="185" t="s">
        <v>216</v>
      </c>
      <c r="AB58" s="186" t="str">
        <f t="shared" si="81"/>
        <v>40%</v>
      </c>
      <c r="AC58" s="185" t="s">
        <v>219</v>
      </c>
      <c r="AD58" s="185" t="s">
        <v>224</v>
      </c>
      <c r="AE58" s="185" t="s">
        <v>228</v>
      </c>
      <c r="AF58" s="187">
        <f t="shared" ref="AF58" si="129">IFERROR(IF(Y58="Probabilidad",(Q58-(+Q58*AB58)),IF(Y58="Impacto",Q58,"")),"")</f>
        <v>0.48</v>
      </c>
      <c r="AG58" s="188" t="str">
        <f t="shared" si="105"/>
        <v>Media</v>
      </c>
      <c r="AH58" s="186">
        <f t="shared" si="106"/>
        <v>0.48</v>
      </c>
      <c r="AI58" s="188" t="str">
        <f t="shared" ca="1" si="107"/>
        <v>Menor</v>
      </c>
      <c r="AJ58" s="186">
        <f t="shared" ref="AJ58" ca="1" si="130">IFERROR(IF(Y58="Impacto",(U58-(+U58*AB58)),IF(Y58="Probabilidad",U58,"")),"")</f>
        <v>0.4</v>
      </c>
      <c r="AK58" s="189" t="str">
        <f t="shared" ca="1" si="109"/>
        <v>Moderado</v>
      </c>
      <c r="AL58" s="185" t="s">
        <v>255</v>
      </c>
      <c r="AM58" s="246"/>
      <c r="AN58" s="250"/>
      <c r="AO58" s="245"/>
      <c r="AP58" s="245"/>
      <c r="AQ58" s="246"/>
      <c r="AR58" s="247"/>
    </row>
    <row r="59" spans="1:44" s="191" customFormat="1" ht="147" customHeight="1" thickTop="1" thickBot="1" x14ac:dyDescent="0.3">
      <c r="A59" s="310"/>
      <c r="B59" s="327"/>
      <c r="C59" s="315"/>
      <c r="D59" s="317"/>
      <c r="E59" s="315"/>
      <c r="F59" s="332"/>
      <c r="G59" s="332"/>
      <c r="H59" s="333"/>
      <c r="I59" s="320"/>
      <c r="J59" s="320"/>
      <c r="K59" s="320"/>
      <c r="L59" s="320"/>
      <c r="M59" s="315"/>
      <c r="N59" s="315"/>
      <c r="O59" s="321"/>
      <c r="P59" s="322"/>
      <c r="Q59" s="323"/>
      <c r="R59" s="323"/>
      <c r="S59" s="323">
        <f ca="1">IF(NOT(ISERROR(MATCH(R59,_xlfn.ANCHORARRAY(H63),0))),Q65&amp;"Por favor no seleccionar los criterios de impacto",R59)</f>
        <v>0</v>
      </c>
      <c r="T59" s="322"/>
      <c r="U59" s="323"/>
      <c r="V59" s="309"/>
      <c r="W59" s="252">
        <v>2</v>
      </c>
      <c r="X59" s="207" t="s">
        <v>988</v>
      </c>
      <c r="Y59" s="250" t="str">
        <f t="shared" si="103"/>
        <v>Probabilidad</v>
      </c>
      <c r="Z59" s="185" t="s">
        <v>208</v>
      </c>
      <c r="AA59" s="185" t="s">
        <v>216</v>
      </c>
      <c r="AB59" s="186" t="str">
        <f t="shared" si="81"/>
        <v>40%</v>
      </c>
      <c r="AC59" s="185" t="s">
        <v>219</v>
      </c>
      <c r="AD59" s="185" t="s">
        <v>224</v>
      </c>
      <c r="AE59" s="185" t="s">
        <v>228</v>
      </c>
      <c r="AF59" s="187">
        <f t="shared" ref="AF59:AF60" si="131">IFERROR(IF(AND(Y58="Probabilidad",Y59="Probabilidad"),(AH58-(+AH58*AB59)),IF(Y59="Probabilidad",(Q58-(+Q58*AB59)),IF(Y59="Impacto",AH58,""))),"")</f>
        <v>0.28799999999999998</v>
      </c>
      <c r="AG59" s="188" t="str">
        <f t="shared" si="105"/>
        <v>Baja</v>
      </c>
      <c r="AH59" s="186">
        <f t="shared" si="106"/>
        <v>0.28799999999999998</v>
      </c>
      <c r="AI59" s="188" t="str">
        <f t="shared" ca="1" si="107"/>
        <v>Menor</v>
      </c>
      <c r="AJ59" s="186">
        <f t="shared" ref="AJ59" ca="1" si="132">IFERROR(IF(AND(Y58="Impacto",Y59="Impacto"),(AJ58-(+AJ58*AB59)),IF(Y59="Impacto",(U58-(+U58*AB59)),IF(Y59="Probabilidad",AJ58,""))),"")</f>
        <v>0.4</v>
      </c>
      <c r="AK59" s="189" t="str">
        <f t="shared" ca="1" si="109"/>
        <v>Moderado</v>
      </c>
      <c r="AL59" s="185" t="s">
        <v>255</v>
      </c>
      <c r="AM59" s="246"/>
      <c r="AN59" s="250"/>
      <c r="AO59" s="245"/>
      <c r="AP59" s="245"/>
      <c r="AQ59" s="246"/>
      <c r="AR59" s="247"/>
    </row>
    <row r="60" spans="1:44" s="191" customFormat="1" ht="159.75" customHeight="1" thickTop="1" thickBot="1" x14ac:dyDescent="0.3">
      <c r="A60" s="310"/>
      <c r="B60" s="327"/>
      <c r="C60" s="315"/>
      <c r="D60" s="317"/>
      <c r="E60" s="315"/>
      <c r="F60" s="332"/>
      <c r="G60" s="332"/>
      <c r="H60" s="333"/>
      <c r="I60" s="320"/>
      <c r="J60" s="320"/>
      <c r="K60" s="320"/>
      <c r="L60" s="320"/>
      <c r="M60" s="315"/>
      <c r="N60" s="315"/>
      <c r="O60" s="321"/>
      <c r="P60" s="322"/>
      <c r="Q60" s="323"/>
      <c r="R60" s="323"/>
      <c r="S60" s="323">
        <f ca="1">IF(NOT(ISERROR(MATCH(R60,_xlfn.ANCHORARRAY(H64),0))),Q66&amp;"Por favor no seleccionar los criterios de impacto",R60)</f>
        <v>0</v>
      </c>
      <c r="T60" s="322"/>
      <c r="U60" s="323"/>
      <c r="V60" s="309"/>
      <c r="W60" s="252">
        <v>3</v>
      </c>
      <c r="X60" s="207" t="s">
        <v>989</v>
      </c>
      <c r="Y60" s="250" t="str">
        <f t="shared" si="103"/>
        <v>Probabilidad</v>
      </c>
      <c r="Z60" s="185" t="s">
        <v>208</v>
      </c>
      <c r="AA60" s="185" t="s">
        <v>216</v>
      </c>
      <c r="AB60" s="186" t="str">
        <f t="shared" si="81"/>
        <v>40%</v>
      </c>
      <c r="AC60" s="185" t="s">
        <v>219</v>
      </c>
      <c r="AD60" s="185" t="s">
        <v>224</v>
      </c>
      <c r="AE60" s="185" t="s">
        <v>228</v>
      </c>
      <c r="AF60" s="187">
        <f t="shared" si="131"/>
        <v>0.17279999999999998</v>
      </c>
      <c r="AG60" s="188" t="str">
        <f t="shared" si="105"/>
        <v>Muy Baja</v>
      </c>
      <c r="AH60" s="186">
        <f t="shared" si="106"/>
        <v>0.17279999999999998</v>
      </c>
      <c r="AI60" s="188" t="str">
        <f t="shared" ca="1" si="107"/>
        <v>Menor</v>
      </c>
      <c r="AJ60" s="186">
        <f t="shared" ref="AJ60" ca="1" si="133">IFERROR(IF(AND(Y59="Impacto",Y60="Impacto"),(AJ59-(+AJ59*AB60)),IF(AND(Y59="Probabilidad",Y60="Impacto"),(AJ58-(+AJ58*AB60)),IF(Y60="Probabilidad",AJ59,""))),"")</f>
        <v>0.4</v>
      </c>
      <c r="AK60" s="189" t="str">
        <f t="shared" ca="1" si="109"/>
        <v>Bajo</v>
      </c>
      <c r="AL60" s="185" t="s">
        <v>255</v>
      </c>
      <c r="AM60" s="246"/>
      <c r="AN60" s="250"/>
      <c r="AO60" s="245"/>
      <c r="AP60" s="245"/>
      <c r="AQ60" s="246"/>
      <c r="AR60" s="247"/>
    </row>
    <row r="61" spans="1:44" s="191" customFormat="1" ht="141" customHeight="1" thickTop="1" thickBot="1" x14ac:dyDescent="0.3">
      <c r="A61" s="310">
        <v>19</v>
      </c>
      <c r="B61" s="327" t="s">
        <v>561</v>
      </c>
      <c r="C61" s="315" t="s">
        <v>269</v>
      </c>
      <c r="D61" s="317" t="s">
        <v>562</v>
      </c>
      <c r="E61" s="315" t="s">
        <v>238</v>
      </c>
      <c r="F61" s="332" t="s">
        <v>563</v>
      </c>
      <c r="G61" s="332" t="s">
        <v>564</v>
      </c>
      <c r="H61" s="333" t="s">
        <v>1099</v>
      </c>
      <c r="I61" s="320" t="s">
        <v>474</v>
      </c>
      <c r="J61" s="320" t="s">
        <v>474</v>
      </c>
      <c r="K61" s="320" t="s">
        <v>474</v>
      </c>
      <c r="L61" s="320" t="s">
        <v>474</v>
      </c>
      <c r="M61" s="315" t="s">
        <v>239</v>
      </c>
      <c r="N61" s="315"/>
      <c r="O61" s="321">
        <v>5000</v>
      </c>
      <c r="P61" s="322" t="str">
        <f t="shared" ref="P61:P76" si="134">IF(O61&lt;=0,"",IF(O61&lt;=2,"Muy Baja",IF(O61&lt;=24,"Baja",IF(O61&lt;=500,"Media",IF(O61&lt;=5000,"Alta","Muy Alta")))))</f>
        <v>Alta</v>
      </c>
      <c r="Q61" s="323">
        <f t="shared" ref="Q61:Q76" si="135">IF(P61="","",IF(P61="Muy Baja",0.2,IF(P61="Baja",0.4,IF(P61="Media",0.6,IF(P61="Alta",0.8,IF(P61="Muy Alta",1,))))))</f>
        <v>0.8</v>
      </c>
      <c r="R61" s="323" t="s">
        <v>190</v>
      </c>
      <c r="S61" s="323" t="str">
        <f ca="1">IF(NOT(ISERROR(MATCH(R61,'Tabla Impacto'!$B$221:$B$223,0))),'Tabla Impacto'!$F$223&amp;"Por favor no seleccionar los criterios de impacto(Afectación Económica o presupuestal y Pérdida Reputacional)",R61)</f>
        <v>El riesgo afecta la imagen de la entidad con algunos usuarios de relevancia frente al logro de los objetivos</v>
      </c>
      <c r="T61" s="322" t="str">
        <f ca="1">+IF(OR(S61='[1]Tabla Impacto'!$C$11,S61='[1]Tabla Impacto'!$D$11),"Leve",IF(OR(S61='[1]Tabla Impacto'!$C$12,S61='[1]Tabla Impacto'!$D$12),"Menor",IF(OR(S61='[1]Tabla Impacto'!$C$13,S61='[1]Tabla Impacto'!$D$13),"Moderado",IF(OR(S61='[1]Tabla Impacto'!$C$14,S61='[1]Tabla Impacto'!$D$14),"Mayor",IF(OR(S61='[1]Tabla Impacto'!$C$15,S61='[1]Tabla Impacto'!$D$15),"Catastrófico","")))))</f>
        <v>Moderado</v>
      </c>
      <c r="U61" s="323">
        <f t="shared" ref="U61" ca="1" si="136">IF(T61="","",IF(T61="Leve",0.2,IF(T61="Menor",0.4,IF(T61="Moderado",0.6,IF(T61="Mayor",0.8,IF(T61="Catastrófico",1,))))))</f>
        <v>0.6</v>
      </c>
      <c r="V61" s="309" t="str">
        <f t="shared" ref="V61" ca="1" si="13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Alto</v>
      </c>
      <c r="W61" s="252">
        <v>1</v>
      </c>
      <c r="X61" s="207" t="s">
        <v>990</v>
      </c>
      <c r="Y61" s="250" t="str">
        <f t="shared" ref="Y61:Y77" si="138">IF(OR(Z61="Preventivo",Z61="Detectivo"),"Probabilidad",IF(Z61="Correctivo","Impacto",""))</f>
        <v>Probabilidad</v>
      </c>
      <c r="Z61" s="185" t="s">
        <v>208</v>
      </c>
      <c r="AA61" s="185" t="s">
        <v>216</v>
      </c>
      <c r="AB61" s="186" t="str">
        <f t="shared" si="81"/>
        <v>40%</v>
      </c>
      <c r="AC61" s="185" t="s">
        <v>219</v>
      </c>
      <c r="AD61" s="185" t="s">
        <v>224</v>
      </c>
      <c r="AE61" s="185" t="s">
        <v>228</v>
      </c>
      <c r="AF61" s="187">
        <f t="shared" ref="AF61" si="139">IFERROR(IF(Y61="Probabilidad",(Q61-(+Q61*AB61)),IF(Y61="Impacto",Q61,"")),"")</f>
        <v>0.48</v>
      </c>
      <c r="AG61" s="188" t="str">
        <f t="shared" ref="AG61:AG77" si="140">IFERROR(IF(AF61="","",IF(AF61&lt;=0.2,"Muy Baja",IF(AF61&lt;=0.4,"Baja",IF(AF61&lt;=0.6,"Media",IF(AF61&lt;=0.8,"Alta","Muy Alta"))))),"")</f>
        <v>Media</v>
      </c>
      <c r="AH61" s="186">
        <f t="shared" ref="AH61:AH77" si="141">+AF61</f>
        <v>0.48</v>
      </c>
      <c r="AI61" s="188" t="str">
        <f t="shared" ref="AI61:AI77" ca="1" si="142">IFERROR(IF(AJ61="","",IF(AJ61&lt;=0.2,"Leve",IF(AJ61&lt;=0.4,"Menor",IF(AJ61&lt;=0.6,"Moderado",IF(AJ61&lt;=0.8,"Mayor","Catastrófico"))))),"")</f>
        <v>Moderado</v>
      </c>
      <c r="AJ61" s="186">
        <f t="shared" ref="AJ61" ca="1" si="143">IFERROR(IF(Y61="Impacto",(U61-(+U61*AB61)),IF(Y61="Probabilidad",U61,"")),"")</f>
        <v>0.6</v>
      </c>
      <c r="AK61" s="189" t="str">
        <f t="shared" ref="AK61:AK77" ca="1" si="144">IFERROR(IF(OR(AND(AG61="Muy Baja",AI61="Leve"),AND(AG61="Muy Baja",AI61="Menor"),AND(AG61="Baja",AI61="Leve")),"Bajo",IF(OR(AND(AG61="Muy baja",AI61="Moderado"),AND(AG61="Baja",AI61="Menor"),AND(AG61="Baja",AI61="Moderado"),AND(AG61="Media",AI61="Leve"),AND(AG61="Media",AI61="Menor"),AND(AG61="Media",AI61="Moderado"),AND(AG61="Alta",AI61="Leve"),AND(AG61="Alta",AI61="Menor")),"Moderado",IF(OR(AND(AG61="Muy Baja",AI61="Mayor"),AND(AG61="Baja",AI61="Mayor"),AND(AG61="Media",AI61="Mayor"),AND(AG61="Alta",AI61="Moderado"),AND(AG61="Alta",AI61="Mayor"),AND(AG61="Muy Alta",AI61="Leve"),AND(AG61="Muy Alta",AI61="Menor"),AND(AG61="Muy Alta",AI61="Moderado"),AND(AG61="Muy Alta",AI61="Mayor")),"Alto",IF(OR(AND(AG61="Muy Baja",AI61="Catastrófico"),AND(AG61="Baja",AI61="Catastrófico"),AND(AG61="Media",AI61="Catastrófico"),AND(AG61="Alta",AI61="Catastrófico"),AND(AG61="Muy Alta",AI61="Catastrófico")),"Extremo","")))),"")</f>
        <v>Moderado</v>
      </c>
      <c r="AL61" s="185" t="s">
        <v>255</v>
      </c>
      <c r="AM61" s="246"/>
      <c r="AN61" s="250"/>
      <c r="AO61" s="245"/>
      <c r="AP61" s="245"/>
      <c r="AQ61" s="246"/>
      <c r="AR61" s="247"/>
    </row>
    <row r="62" spans="1:44" s="191" customFormat="1" ht="187.5" customHeight="1" thickTop="1" thickBot="1" x14ac:dyDescent="0.3">
      <c r="A62" s="310"/>
      <c r="B62" s="327"/>
      <c r="C62" s="315"/>
      <c r="D62" s="317"/>
      <c r="E62" s="315"/>
      <c r="F62" s="332"/>
      <c r="G62" s="332"/>
      <c r="H62" s="333"/>
      <c r="I62" s="320"/>
      <c r="J62" s="320"/>
      <c r="K62" s="320"/>
      <c r="L62" s="320"/>
      <c r="M62" s="315"/>
      <c r="N62" s="315"/>
      <c r="O62" s="321"/>
      <c r="P62" s="322"/>
      <c r="Q62" s="323"/>
      <c r="R62" s="323"/>
      <c r="S62" s="323">
        <f ca="1">IF(NOT(ISERROR(MATCH(R62,_xlfn.ANCHORARRAY(H68),0))),#REF!&amp;"Por favor no seleccionar los criterios de impacto",R62)</f>
        <v>0</v>
      </c>
      <c r="T62" s="322"/>
      <c r="U62" s="323"/>
      <c r="V62" s="309"/>
      <c r="W62" s="252">
        <v>2</v>
      </c>
      <c r="X62" s="207" t="s">
        <v>991</v>
      </c>
      <c r="Y62" s="250" t="str">
        <f t="shared" si="138"/>
        <v>Probabilidad</v>
      </c>
      <c r="Z62" s="185" t="s">
        <v>208</v>
      </c>
      <c r="AA62" s="185" t="s">
        <v>216</v>
      </c>
      <c r="AB62" s="186" t="str">
        <f t="shared" si="81"/>
        <v>40%</v>
      </c>
      <c r="AC62" s="185" t="s">
        <v>219</v>
      </c>
      <c r="AD62" s="185" t="s">
        <v>224</v>
      </c>
      <c r="AE62" s="185" t="s">
        <v>228</v>
      </c>
      <c r="AF62" s="187">
        <f t="shared" ref="AF62" si="145">IFERROR(IF(AND(Y61="Probabilidad",Y62="Probabilidad"),(AH61-(+AH61*AB62)),IF(Y62="Probabilidad",(Q61-(+Q61*AB62)),IF(Y62="Impacto",AH61,""))),"")</f>
        <v>0.28799999999999998</v>
      </c>
      <c r="AG62" s="188" t="str">
        <f t="shared" si="140"/>
        <v>Baja</v>
      </c>
      <c r="AH62" s="186">
        <f t="shared" si="141"/>
        <v>0.28799999999999998</v>
      </c>
      <c r="AI62" s="188" t="str">
        <f t="shared" ca="1" si="142"/>
        <v>Moderado</v>
      </c>
      <c r="AJ62" s="186">
        <f t="shared" ref="AJ62" ca="1" si="146">IFERROR(IF(AND(Y61="Impacto",Y62="Impacto"),(AJ61-(+AJ61*AB62)),IF(Y62="Impacto",(U61-(+U61*AB62)),IF(Y62="Probabilidad",AJ61,""))),"")</f>
        <v>0.6</v>
      </c>
      <c r="AK62" s="189" t="str">
        <f t="shared" ca="1" si="144"/>
        <v>Moderado</v>
      </c>
      <c r="AL62" s="185" t="s">
        <v>255</v>
      </c>
      <c r="AM62" s="246"/>
      <c r="AN62" s="250"/>
      <c r="AO62" s="245"/>
      <c r="AP62" s="245"/>
      <c r="AQ62" s="246"/>
      <c r="AR62" s="247"/>
    </row>
    <row r="63" spans="1:44" s="191" customFormat="1" ht="138" customHeight="1" thickTop="1" thickBot="1" x14ac:dyDescent="0.3">
      <c r="A63" s="310">
        <v>20</v>
      </c>
      <c r="B63" s="327" t="s">
        <v>565</v>
      </c>
      <c r="C63" s="315" t="s">
        <v>269</v>
      </c>
      <c r="D63" s="317" t="s">
        <v>566</v>
      </c>
      <c r="E63" s="315" t="s">
        <v>240</v>
      </c>
      <c r="F63" s="332" t="s">
        <v>567</v>
      </c>
      <c r="G63" s="332" t="s">
        <v>568</v>
      </c>
      <c r="H63" s="333" t="s">
        <v>1100</v>
      </c>
      <c r="I63" s="320" t="s">
        <v>474</v>
      </c>
      <c r="J63" s="320" t="s">
        <v>474</v>
      </c>
      <c r="K63" s="320" t="s">
        <v>474</v>
      </c>
      <c r="L63" s="320" t="s">
        <v>474</v>
      </c>
      <c r="M63" s="315" t="s">
        <v>239</v>
      </c>
      <c r="N63" s="315"/>
      <c r="O63" s="321">
        <v>365</v>
      </c>
      <c r="P63" s="322" t="str">
        <f t="shared" si="134"/>
        <v>Media</v>
      </c>
      <c r="Q63" s="323">
        <f t="shared" si="135"/>
        <v>0.6</v>
      </c>
      <c r="R63" s="323" t="s">
        <v>190</v>
      </c>
      <c r="S63" s="323" t="str">
        <f ca="1">IF(NOT(ISERROR(MATCH(R63,'Tabla Impacto'!$B$221:$B$223,0))),'Tabla Impacto'!$F$223&amp;"Por favor no seleccionar los criterios de impacto(Afectación Económica o presupuestal y Pérdida Reputacional)",R63)</f>
        <v>El riesgo afecta la imagen de la entidad con algunos usuarios de relevancia frente al logro de los objetivos</v>
      </c>
      <c r="T63" s="322" t="str">
        <f ca="1">+IF(OR(S63='[1]Tabla Impacto'!$C$11,S63='[1]Tabla Impacto'!$D$11),"Leve",IF(OR(S63='[1]Tabla Impacto'!$C$12,S63='[1]Tabla Impacto'!$D$12),"Menor",IF(OR(S63='[1]Tabla Impacto'!$C$13,S63='[1]Tabla Impacto'!$D$13),"Moderado",IF(OR(S63='[1]Tabla Impacto'!$C$14,S63='[1]Tabla Impacto'!$D$14),"Mayor",IF(OR(S63='[1]Tabla Impacto'!$C$15,S63='[1]Tabla Impacto'!$D$15),"Catastrófico","")))))</f>
        <v>Moderado</v>
      </c>
      <c r="U63" s="323">
        <f t="shared" ref="U63" ca="1" si="147">IF(T63="","",IF(T63="Leve",0.2,IF(T63="Menor",0.4,IF(T63="Moderado",0.6,IF(T63="Mayor",0.8,IF(T63="Catastrófico",1,))))))</f>
        <v>0.6</v>
      </c>
      <c r="V63" s="309" t="str">
        <f t="shared" ref="V63" ca="1" si="148">IF(OR(AND(P63="Muy Baja",T63="Leve"),AND(P63="Muy Baja",T63="Menor"),AND(P63="Baja",T63="Leve")),"Bajo",IF(OR(AND(P63="Muy baja",T63="Moderado"),AND(P63="Baja",T63="Menor"),AND(P63="Baja",T63="Moderado"),AND(P63="Media",T63="Leve"),AND(P63="Media",T63="Menor"),AND(P63="Media",T63="Moderado"),AND(P63="Alta",T63="Leve"),AND(P63="Alta",T63="Menor")),"Moderado",IF(OR(AND(P63="Muy Baja",T63="Mayor"),AND(P63="Baja",T63="Mayor"),AND(P63="Media",T63="Mayor"),AND(P63="Alta",T63="Moderado"),AND(P63="Alta",T63="Mayor"),AND(P63="Muy Alta",T63="Leve"),AND(P63="Muy Alta",T63="Menor"),AND(P63="Muy Alta",T63="Moderado"),AND(P63="Muy Alta",T63="Mayor")),"Alto",IF(OR(AND(P63="Muy Baja",T63="Catastrófico"),AND(P63="Baja",T63="Catastrófico"),AND(P63="Media",T63="Catastrófico"),AND(P63="Alta",T63="Catastrófico"),AND(P63="Muy Alta",T63="Catastrófico")),"Extremo",""))))</f>
        <v>Moderado</v>
      </c>
      <c r="W63" s="252">
        <v>1</v>
      </c>
      <c r="X63" s="207" t="s">
        <v>992</v>
      </c>
      <c r="Y63" s="250" t="str">
        <f t="shared" si="138"/>
        <v>Probabilidad</v>
      </c>
      <c r="Z63" s="185" t="s">
        <v>210</v>
      </c>
      <c r="AA63" s="185" t="s">
        <v>216</v>
      </c>
      <c r="AB63" s="186" t="str">
        <f t="shared" si="81"/>
        <v>30%</v>
      </c>
      <c r="AC63" s="185" t="s">
        <v>219</v>
      </c>
      <c r="AD63" s="185" t="s">
        <v>224</v>
      </c>
      <c r="AE63" s="185" t="s">
        <v>228</v>
      </c>
      <c r="AF63" s="187">
        <f t="shared" ref="AF63" si="149">IFERROR(IF(Y63="Probabilidad",(Q63-(+Q63*AB63)),IF(Y63="Impacto",Q63,"")),"")</f>
        <v>0.42</v>
      </c>
      <c r="AG63" s="188" t="str">
        <f t="shared" si="140"/>
        <v>Media</v>
      </c>
      <c r="AH63" s="186">
        <f t="shared" si="141"/>
        <v>0.42</v>
      </c>
      <c r="AI63" s="188" t="str">
        <f t="shared" ca="1" si="142"/>
        <v>Moderado</v>
      </c>
      <c r="AJ63" s="186">
        <f t="shared" ref="AJ63" ca="1" si="150">IFERROR(IF(Y63="Impacto",(U63-(+U63*AB63)),IF(Y63="Probabilidad",U63,"")),"")</f>
        <v>0.6</v>
      </c>
      <c r="AK63" s="189" t="str">
        <f t="shared" ca="1" si="144"/>
        <v>Moderado</v>
      </c>
      <c r="AL63" s="185" t="s">
        <v>255</v>
      </c>
      <c r="AM63" s="246"/>
      <c r="AN63" s="250"/>
      <c r="AO63" s="245"/>
      <c r="AP63" s="245"/>
      <c r="AQ63" s="246"/>
      <c r="AR63" s="247"/>
    </row>
    <row r="64" spans="1:44" s="191" customFormat="1" ht="208.5" customHeight="1" thickTop="1" thickBot="1" x14ac:dyDescent="0.3">
      <c r="A64" s="310"/>
      <c r="B64" s="327"/>
      <c r="C64" s="315"/>
      <c r="D64" s="317"/>
      <c r="E64" s="315"/>
      <c r="F64" s="332"/>
      <c r="G64" s="332"/>
      <c r="H64" s="333"/>
      <c r="I64" s="320"/>
      <c r="J64" s="320"/>
      <c r="K64" s="320"/>
      <c r="L64" s="320"/>
      <c r="M64" s="315"/>
      <c r="N64" s="315"/>
      <c r="O64" s="321"/>
      <c r="P64" s="322"/>
      <c r="Q64" s="323"/>
      <c r="R64" s="323"/>
      <c r="S64" s="323">
        <f ca="1">IF(NOT(ISERROR(MATCH(R64,_xlfn.ANCHORARRAY(H70),0))),#REF!&amp;"Por favor no seleccionar los criterios de impacto",R64)</f>
        <v>0</v>
      </c>
      <c r="T64" s="322"/>
      <c r="U64" s="323"/>
      <c r="V64" s="309"/>
      <c r="W64" s="252">
        <v>2</v>
      </c>
      <c r="X64" s="207" t="s">
        <v>993</v>
      </c>
      <c r="Y64" s="250" t="str">
        <f t="shared" si="138"/>
        <v>Probabilidad</v>
      </c>
      <c r="Z64" s="185" t="s">
        <v>208</v>
      </c>
      <c r="AA64" s="185" t="s">
        <v>216</v>
      </c>
      <c r="AB64" s="186" t="str">
        <f t="shared" si="81"/>
        <v>40%</v>
      </c>
      <c r="AC64" s="185" t="s">
        <v>219</v>
      </c>
      <c r="AD64" s="185" t="s">
        <v>224</v>
      </c>
      <c r="AE64" s="185" t="s">
        <v>228</v>
      </c>
      <c r="AF64" s="187">
        <f t="shared" ref="AF64:AF67" si="151">IFERROR(IF(AND(Y63="Probabilidad",Y64="Probabilidad"),(AH63-(+AH63*AB64)),IF(Y64="Probabilidad",(Q63-(+Q63*AB64)),IF(Y64="Impacto",AH63,""))),"")</f>
        <v>0.252</v>
      </c>
      <c r="AG64" s="188" t="str">
        <f t="shared" si="140"/>
        <v>Baja</v>
      </c>
      <c r="AH64" s="186">
        <f t="shared" si="141"/>
        <v>0.252</v>
      </c>
      <c r="AI64" s="188" t="str">
        <f t="shared" ca="1" si="142"/>
        <v>Moderado</v>
      </c>
      <c r="AJ64" s="186">
        <f t="shared" ref="AJ64" ca="1" si="152">IFERROR(IF(AND(Y63="Impacto",Y64="Impacto"),(AJ63-(+AJ63*AB64)),IF(Y64="Impacto",(U63-(+U63*AB64)),IF(Y64="Probabilidad",AJ63,""))),"")</f>
        <v>0.6</v>
      </c>
      <c r="AK64" s="189" t="str">
        <f t="shared" ca="1" si="144"/>
        <v>Moderado</v>
      </c>
      <c r="AL64" s="185" t="s">
        <v>255</v>
      </c>
      <c r="AM64" s="246"/>
      <c r="AN64" s="250"/>
      <c r="AO64" s="245"/>
      <c r="AP64" s="245"/>
      <c r="AQ64" s="246"/>
      <c r="AR64" s="247"/>
    </row>
    <row r="65" spans="1:44" s="191" customFormat="1" ht="168.75" customHeight="1" thickTop="1" thickBot="1" x14ac:dyDescent="0.3">
      <c r="A65" s="310"/>
      <c r="B65" s="327"/>
      <c r="C65" s="315"/>
      <c r="D65" s="317"/>
      <c r="E65" s="315"/>
      <c r="F65" s="332"/>
      <c r="G65" s="332"/>
      <c r="H65" s="333"/>
      <c r="I65" s="320"/>
      <c r="J65" s="320"/>
      <c r="K65" s="320"/>
      <c r="L65" s="320"/>
      <c r="M65" s="315"/>
      <c r="N65" s="315"/>
      <c r="O65" s="321"/>
      <c r="P65" s="322"/>
      <c r="Q65" s="323"/>
      <c r="R65" s="323"/>
      <c r="S65" s="323">
        <f ca="1">IF(NOT(ISERROR(MATCH(R65,_xlfn.ANCHORARRAY(H71),0))),#REF!&amp;"Por favor no seleccionar los criterios de impacto",R65)</f>
        <v>0</v>
      </c>
      <c r="T65" s="322"/>
      <c r="U65" s="323"/>
      <c r="V65" s="309"/>
      <c r="W65" s="252">
        <v>3</v>
      </c>
      <c r="X65" s="207" t="s">
        <v>994</v>
      </c>
      <c r="Y65" s="250" t="str">
        <f t="shared" si="138"/>
        <v>Probabilidad</v>
      </c>
      <c r="Z65" s="185" t="s">
        <v>208</v>
      </c>
      <c r="AA65" s="185" t="s">
        <v>216</v>
      </c>
      <c r="AB65" s="186" t="str">
        <f t="shared" si="81"/>
        <v>40%</v>
      </c>
      <c r="AC65" s="185" t="s">
        <v>219</v>
      </c>
      <c r="AD65" s="185" t="s">
        <v>224</v>
      </c>
      <c r="AE65" s="185" t="s">
        <v>228</v>
      </c>
      <c r="AF65" s="187">
        <f t="shared" si="151"/>
        <v>0.1512</v>
      </c>
      <c r="AG65" s="188" t="str">
        <f t="shared" si="140"/>
        <v>Muy Baja</v>
      </c>
      <c r="AH65" s="186">
        <f t="shared" si="141"/>
        <v>0.1512</v>
      </c>
      <c r="AI65" s="188" t="str">
        <f t="shared" ca="1" si="142"/>
        <v>Moderado</v>
      </c>
      <c r="AJ65" s="186">
        <f t="shared" ref="AJ65:AJ67" ca="1" si="153">IFERROR(IF(AND(Y64="Impacto",Y65="Impacto"),(AJ64-(+AJ64*AB65)),IF(AND(Y64="Probabilidad",Y65="Impacto"),(AJ63-(+AJ63*AB65)),IF(Y65="Probabilidad",AJ64,""))),"")</f>
        <v>0.6</v>
      </c>
      <c r="AK65" s="189" t="str">
        <f t="shared" ca="1" si="144"/>
        <v>Moderado</v>
      </c>
      <c r="AL65" s="185" t="s">
        <v>255</v>
      </c>
      <c r="AM65" s="246"/>
      <c r="AN65" s="250"/>
      <c r="AO65" s="245"/>
      <c r="AP65" s="245"/>
      <c r="AQ65" s="246"/>
      <c r="AR65" s="247"/>
    </row>
    <row r="66" spans="1:44" s="191" customFormat="1" ht="168" customHeight="1" thickTop="1" thickBot="1" x14ac:dyDescent="0.3">
      <c r="A66" s="310"/>
      <c r="B66" s="327"/>
      <c r="C66" s="315"/>
      <c r="D66" s="317"/>
      <c r="E66" s="315"/>
      <c r="F66" s="332"/>
      <c r="G66" s="332"/>
      <c r="H66" s="333"/>
      <c r="I66" s="320"/>
      <c r="J66" s="320"/>
      <c r="K66" s="320"/>
      <c r="L66" s="320"/>
      <c r="M66" s="315"/>
      <c r="N66" s="315"/>
      <c r="O66" s="321"/>
      <c r="P66" s="322"/>
      <c r="Q66" s="323"/>
      <c r="R66" s="323"/>
      <c r="S66" s="323">
        <f ca="1">IF(NOT(ISERROR(MATCH(R66,_xlfn.ANCHORARRAY(#REF!),0))),#REF!&amp;"Por favor no seleccionar los criterios de impacto",R66)</f>
        <v>0</v>
      </c>
      <c r="T66" s="322"/>
      <c r="U66" s="323"/>
      <c r="V66" s="309"/>
      <c r="W66" s="252">
        <v>4</v>
      </c>
      <c r="X66" s="209" t="s">
        <v>995</v>
      </c>
      <c r="Y66" s="250" t="str">
        <f t="shared" si="138"/>
        <v>Probabilidad</v>
      </c>
      <c r="Z66" s="185" t="s">
        <v>208</v>
      </c>
      <c r="AA66" s="185" t="s">
        <v>216</v>
      </c>
      <c r="AB66" s="186" t="str">
        <f t="shared" si="81"/>
        <v>40%</v>
      </c>
      <c r="AC66" s="185" t="s">
        <v>219</v>
      </c>
      <c r="AD66" s="185" t="s">
        <v>224</v>
      </c>
      <c r="AE66" s="185" t="s">
        <v>228</v>
      </c>
      <c r="AF66" s="187">
        <f t="shared" si="151"/>
        <v>9.0719999999999995E-2</v>
      </c>
      <c r="AG66" s="188" t="str">
        <f t="shared" si="140"/>
        <v>Muy Baja</v>
      </c>
      <c r="AH66" s="186">
        <f t="shared" si="141"/>
        <v>9.0719999999999995E-2</v>
      </c>
      <c r="AI66" s="188" t="str">
        <f t="shared" ca="1" si="142"/>
        <v>Moderado</v>
      </c>
      <c r="AJ66" s="186">
        <f t="shared" ca="1" si="153"/>
        <v>0.6</v>
      </c>
      <c r="AK66" s="189" t="str">
        <f t="shared" ca="1" si="144"/>
        <v>Moderado</v>
      </c>
      <c r="AL66" s="185" t="s">
        <v>255</v>
      </c>
      <c r="AM66" s="246"/>
      <c r="AN66" s="250"/>
      <c r="AO66" s="245"/>
      <c r="AP66" s="245"/>
      <c r="AQ66" s="246"/>
      <c r="AR66" s="247"/>
    </row>
    <row r="67" spans="1:44" s="191" customFormat="1" ht="145.5" customHeight="1" thickTop="1" thickBot="1" x14ac:dyDescent="0.3">
      <c r="A67" s="310"/>
      <c r="B67" s="327"/>
      <c r="C67" s="315"/>
      <c r="D67" s="317"/>
      <c r="E67" s="315"/>
      <c r="F67" s="332"/>
      <c r="G67" s="332"/>
      <c r="H67" s="333"/>
      <c r="I67" s="320"/>
      <c r="J67" s="320"/>
      <c r="K67" s="320"/>
      <c r="L67" s="320"/>
      <c r="M67" s="315"/>
      <c r="N67" s="315"/>
      <c r="O67" s="321"/>
      <c r="P67" s="322"/>
      <c r="Q67" s="323"/>
      <c r="R67" s="323"/>
      <c r="S67" s="323">
        <f ca="1">IF(NOT(ISERROR(MATCH(R67,_xlfn.ANCHORARRAY(#REF!),0))),#REF!&amp;"Por favor no seleccionar los criterios de impacto",R67)</f>
        <v>0</v>
      </c>
      <c r="T67" s="322"/>
      <c r="U67" s="323"/>
      <c r="V67" s="309"/>
      <c r="W67" s="252">
        <v>5</v>
      </c>
      <c r="X67" s="209" t="s">
        <v>996</v>
      </c>
      <c r="Y67" s="250" t="str">
        <f t="shared" si="138"/>
        <v>Probabilidad</v>
      </c>
      <c r="Z67" s="185" t="s">
        <v>208</v>
      </c>
      <c r="AA67" s="185" t="s">
        <v>216</v>
      </c>
      <c r="AB67" s="186" t="str">
        <f t="shared" si="81"/>
        <v>40%</v>
      </c>
      <c r="AC67" s="185" t="s">
        <v>219</v>
      </c>
      <c r="AD67" s="185" t="s">
        <v>224</v>
      </c>
      <c r="AE67" s="185" t="s">
        <v>228</v>
      </c>
      <c r="AF67" s="187">
        <f t="shared" si="151"/>
        <v>5.4431999999999994E-2</v>
      </c>
      <c r="AG67" s="188" t="str">
        <f t="shared" si="140"/>
        <v>Muy Baja</v>
      </c>
      <c r="AH67" s="186">
        <f t="shared" si="141"/>
        <v>5.4431999999999994E-2</v>
      </c>
      <c r="AI67" s="188" t="str">
        <f t="shared" ca="1" si="142"/>
        <v>Moderado</v>
      </c>
      <c r="AJ67" s="186">
        <f t="shared" ca="1" si="153"/>
        <v>0.6</v>
      </c>
      <c r="AK67" s="189" t="str">
        <f t="shared" ca="1" si="144"/>
        <v>Moderado</v>
      </c>
      <c r="AL67" s="185" t="s">
        <v>255</v>
      </c>
      <c r="AM67" s="246"/>
      <c r="AN67" s="250"/>
      <c r="AO67" s="245"/>
      <c r="AP67" s="245"/>
      <c r="AQ67" s="246"/>
      <c r="AR67" s="247"/>
    </row>
    <row r="68" spans="1:44" s="191" customFormat="1" ht="135" customHeight="1" thickTop="1" thickBot="1" x14ac:dyDescent="0.3">
      <c r="A68" s="310">
        <v>21</v>
      </c>
      <c r="B68" s="327" t="s">
        <v>569</v>
      </c>
      <c r="C68" s="315" t="s">
        <v>269</v>
      </c>
      <c r="D68" s="315" t="s">
        <v>955</v>
      </c>
      <c r="E68" s="315" t="s">
        <v>238</v>
      </c>
      <c r="F68" s="332" t="s">
        <v>570</v>
      </c>
      <c r="G68" s="332" t="s">
        <v>571</v>
      </c>
      <c r="H68" s="333" t="s">
        <v>1101</v>
      </c>
      <c r="I68" s="320" t="s">
        <v>474</v>
      </c>
      <c r="J68" s="320" t="s">
        <v>474</v>
      </c>
      <c r="K68" s="320" t="s">
        <v>474</v>
      </c>
      <c r="L68" s="320" t="s">
        <v>474</v>
      </c>
      <c r="M68" s="315" t="s">
        <v>239</v>
      </c>
      <c r="N68" s="315"/>
      <c r="O68" s="321">
        <v>5001</v>
      </c>
      <c r="P68" s="322" t="str">
        <f t="shared" si="134"/>
        <v>Muy Alta</v>
      </c>
      <c r="Q68" s="323">
        <f t="shared" si="135"/>
        <v>1</v>
      </c>
      <c r="R68" s="323" t="s">
        <v>190</v>
      </c>
      <c r="S68" s="323" t="str">
        <f ca="1">IF(NOT(ISERROR(MATCH(R68,'Tabla Impacto'!$B$221:$B$223,0))),'Tabla Impacto'!$F$223&amp;"Por favor no seleccionar los criterios de impacto(Afectación Económica o presupuestal y Pérdida Reputacional)",R68)</f>
        <v>El riesgo afecta la imagen de la entidad con algunos usuarios de relevancia frente al logro de los objetivos</v>
      </c>
      <c r="T68" s="322" t="str">
        <f ca="1">+IF(OR(S68='[1]Tabla Impacto'!$C$11,S68='[1]Tabla Impacto'!$D$11),"Leve",IF(OR(S68='[1]Tabla Impacto'!$C$12,S68='[1]Tabla Impacto'!$D$12),"Menor",IF(OR(S68='[1]Tabla Impacto'!$C$13,S68='[1]Tabla Impacto'!$D$13),"Moderado",IF(OR(S68='[1]Tabla Impacto'!$C$14,S68='[1]Tabla Impacto'!$D$14),"Mayor",IF(OR(S68='[1]Tabla Impacto'!$C$15,S68='[1]Tabla Impacto'!$D$15),"Catastrófico","")))))</f>
        <v>Moderado</v>
      </c>
      <c r="U68" s="323">
        <f t="shared" ref="U68" ca="1" si="154">IF(T68="","",IF(T68="Leve",0.2,IF(T68="Menor",0.4,IF(T68="Moderado",0.6,IF(T68="Mayor",0.8,IF(T68="Catastrófico",1,))))))</f>
        <v>0.6</v>
      </c>
      <c r="V68" s="309" t="str">
        <f t="shared" ref="V68" ca="1" si="155">IF(OR(AND(P68="Muy Baja",T68="Leve"),AND(P68="Muy Baja",T68="Menor"),AND(P68="Baja",T68="Leve")),"Bajo",IF(OR(AND(P68="Muy baja",T68="Moderado"),AND(P68="Baja",T68="Menor"),AND(P68="Baja",T68="Moderado"),AND(P68="Media",T68="Leve"),AND(P68="Media",T68="Menor"),AND(P68="Media",T68="Moderado"),AND(P68="Alta",T68="Leve"),AND(P68="Alta",T68="Menor")),"Moderado",IF(OR(AND(P68="Muy Baja",T68="Mayor"),AND(P68="Baja",T68="Mayor"),AND(P68="Media",T68="Mayor"),AND(P68="Alta",T68="Moderado"),AND(P68="Alta",T68="Mayor"),AND(P68="Muy Alta",T68="Leve"),AND(P68="Muy Alta",T68="Menor"),AND(P68="Muy Alta",T68="Moderado"),AND(P68="Muy Alta",T68="Mayor")),"Alto",IF(OR(AND(P68="Muy Baja",T68="Catastrófico"),AND(P68="Baja",T68="Catastrófico"),AND(P68="Media",T68="Catastrófico"),AND(P68="Alta",T68="Catastrófico"),AND(P68="Muy Alta",T68="Catastrófico")),"Extremo",""))))</f>
        <v>Alto</v>
      </c>
      <c r="W68" s="252">
        <v>1</v>
      </c>
      <c r="X68" s="207" t="s">
        <v>572</v>
      </c>
      <c r="Y68" s="250" t="str">
        <f t="shared" si="138"/>
        <v>Probabilidad</v>
      </c>
      <c r="Z68" s="185" t="s">
        <v>208</v>
      </c>
      <c r="AA68" s="185" t="s">
        <v>216</v>
      </c>
      <c r="AB68" s="186" t="str">
        <f t="shared" si="81"/>
        <v>40%</v>
      </c>
      <c r="AC68" s="185" t="s">
        <v>219</v>
      </c>
      <c r="AD68" s="185" t="s">
        <v>224</v>
      </c>
      <c r="AE68" s="185" t="s">
        <v>228</v>
      </c>
      <c r="AF68" s="187">
        <f t="shared" ref="AF68" si="156">IFERROR(IF(Y68="Probabilidad",(Q68-(+Q68*AB68)),IF(Y68="Impacto",Q68,"")),"")</f>
        <v>0.6</v>
      </c>
      <c r="AG68" s="188" t="str">
        <f t="shared" si="140"/>
        <v>Media</v>
      </c>
      <c r="AH68" s="186">
        <f t="shared" si="141"/>
        <v>0.6</v>
      </c>
      <c r="AI68" s="188" t="str">
        <f t="shared" ca="1" si="142"/>
        <v>Moderado</v>
      </c>
      <c r="AJ68" s="186">
        <f t="shared" ref="AJ68" ca="1" si="157">IFERROR(IF(Y68="Impacto",(U68-(+U68*AB68)),IF(Y68="Probabilidad",U68,"")),"")</f>
        <v>0.6</v>
      </c>
      <c r="AK68" s="189" t="str">
        <f t="shared" ca="1" si="144"/>
        <v>Moderado</v>
      </c>
      <c r="AL68" s="185" t="s">
        <v>255</v>
      </c>
      <c r="AM68" s="246"/>
      <c r="AN68" s="250"/>
      <c r="AO68" s="245"/>
      <c r="AP68" s="245"/>
      <c r="AQ68" s="246"/>
      <c r="AR68" s="247"/>
    </row>
    <row r="69" spans="1:44" s="191" customFormat="1" ht="195" customHeight="1" thickTop="1" thickBot="1" x14ac:dyDescent="0.3">
      <c r="A69" s="310"/>
      <c r="B69" s="327"/>
      <c r="C69" s="315"/>
      <c r="D69" s="315"/>
      <c r="E69" s="315"/>
      <c r="F69" s="332"/>
      <c r="G69" s="332"/>
      <c r="H69" s="333"/>
      <c r="I69" s="320"/>
      <c r="J69" s="320"/>
      <c r="K69" s="320"/>
      <c r="L69" s="320"/>
      <c r="M69" s="315"/>
      <c r="N69" s="315"/>
      <c r="O69" s="321"/>
      <c r="P69" s="322"/>
      <c r="Q69" s="323"/>
      <c r="R69" s="323"/>
      <c r="S69" s="323">
        <f ca="1">IF(NOT(ISERROR(MATCH(R69,_xlfn.ANCHORARRAY(H72),0))),Q74&amp;"Por favor no seleccionar los criterios de impacto",R69)</f>
        <v>0</v>
      </c>
      <c r="T69" s="322"/>
      <c r="U69" s="323"/>
      <c r="V69" s="309"/>
      <c r="W69" s="252">
        <v>2</v>
      </c>
      <c r="X69" s="209" t="s">
        <v>997</v>
      </c>
      <c r="Y69" s="250" t="str">
        <f t="shared" si="138"/>
        <v>Probabilidad</v>
      </c>
      <c r="Z69" s="185" t="s">
        <v>208</v>
      </c>
      <c r="AA69" s="185" t="s">
        <v>216</v>
      </c>
      <c r="AB69" s="186" t="str">
        <f t="shared" si="81"/>
        <v>40%</v>
      </c>
      <c r="AC69" s="185" t="s">
        <v>219</v>
      </c>
      <c r="AD69" s="185" t="s">
        <v>224</v>
      </c>
      <c r="AE69" s="185" t="s">
        <v>228</v>
      </c>
      <c r="AF69" s="187">
        <f t="shared" ref="AF69" si="158">IFERROR(IF(AND(Y68="Probabilidad",Y69="Probabilidad"),(AH68-(+AH68*AB69)),IF(Y69="Probabilidad",(Q68-(+Q68*AB69)),IF(Y69="Impacto",AH68,""))),"")</f>
        <v>0.36</v>
      </c>
      <c r="AG69" s="188" t="str">
        <f t="shared" si="140"/>
        <v>Baja</v>
      </c>
      <c r="AH69" s="186">
        <f t="shared" si="141"/>
        <v>0.36</v>
      </c>
      <c r="AI69" s="188" t="str">
        <f t="shared" ca="1" si="142"/>
        <v>Moderado</v>
      </c>
      <c r="AJ69" s="186">
        <f t="shared" ref="AJ69" ca="1" si="159">IFERROR(IF(AND(Y68="Impacto",Y69="Impacto"),(AJ68-(+AJ68*AB69)),IF(Y69="Impacto",(U68-(+U68*AB69)),IF(Y69="Probabilidad",AJ68,""))),"")</f>
        <v>0.6</v>
      </c>
      <c r="AK69" s="189" t="str">
        <f t="shared" ca="1" si="144"/>
        <v>Moderado</v>
      </c>
      <c r="AL69" s="185" t="s">
        <v>255</v>
      </c>
      <c r="AM69" s="246"/>
      <c r="AN69" s="250"/>
      <c r="AO69" s="245"/>
      <c r="AP69" s="245"/>
      <c r="AQ69" s="246"/>
      <c r="AR69" s="247"/>
    </row>
    <row r="70" spans="1:44" s="191" customFormat="1" ht="143.25" customHeight="1" thickTop="1" thickBot="1" x14ac:dyDescent="0.3">
      <c r="A70" s="310">
        <v>22</v>
      </c>
      <c r="B70" s="327" t="s">
        <v>573</v>
      </c>
      <c r="C70" s="315" t="s">
        <v>269</v>
      </c>
      <c r="D70" s="315" t="s">
        <v>574</v>
      </c>
      <c r="E70" s="315" t="s">
        <v>238</v>
      </c>
      <c r="F70" s="332" t="s">
        <v>575</v>
      </c>
      <c r="G70" s="332" t="s">
        <v>576</v>
      </c>
      <c r="H70" s="333" t="s">
        <v>1102</v>
      </c>
      <c r="I70" s="320" t="s">
        <v>474</v>
      </c>
      <c r="J70" s="320" t="s">
        <v>474</v>
      </c>
      <c r="K70" s="320" t="s">
        <v>474</v>
      </c>
      <c r="L70" s="320" t="s">
        <v>474</v>
      </c>
      <c r="M70" s="315" t="s">
        <v>239</v>
      </c>
      <c r="N70" s="315"/>
      <c r="O70" s="321">
        <v>5001</v>
      </c>
      <c r="P70" s="322" t="str">
        <f t="shared" si="134"/>
        <v>Muy Alta</v>
      </c>
      <c r="Q70" s="323">
        <f t="shared" si="135"/>
        <v>1</v>
      </c>
      <c r="R70" s="323" t="s">
        <v>190</v>
      </c>
      <c r="S70" s="323" t="str">
        <f ca="1">IF(NOT(ISERROR(MATCH(R70,'Tabla Impacto'!$B$221:$B$223,0))),'Tabla Impacto'!$F$223&amp;"Por favor no seleccionar los criterios de impacto(Afectación Económica o presupuestal y Pérdida Reputacional)",R70)</f>
        <v>El riesgo afecta la imagen de la entidad con algunos usuarios de relevancia frente al logro de los objetivos</v>
      </c>
      <c r="T70" s="322" t="str">
        <f ca="1">+IF(OR(S70='[1]Tabla Impacto'!$C$11,S70='[1]Tabla Impacto'!$D$11),"Leve",IF(OR(S70='[1]Tabla Impacto'!$C$12,S70='[1]Tabla Impacto'!$D$12),"Menor",IF(OR(S70='[1]Tabla Impacto'!$C$13,S70='[1]Tabla Impacto'!$D$13),"Moderado",IF(OR(S70='[1]Tabla Impacto'!$C$14,S70='[1]Tabla Impacto'!$D$14),"Mayor",IF(OR(S70='[1]Tabla Impacto'!$C$15,S70='[1]Tabla Impacto'!$D$15),"Catastrófico","")))))</f>
        <v>Moderado</v>
      </c>
      <c r="U70" s="323">
        <f t="shared" ref="U70" ca="1" si="160">IF(T70="","",IF(T70="Leve",0.2,IF(T70="Menor",0.4,IF(T70="Moderado",0.6,IF(T70="Mayor",0.8,IF(T70="Catastrófico",1,))))))</f>
        <v>0.6</v>
      </c>
      <c r="V70" s="309" t="str">
        <f t="shared" ref="V70" ca="1" si="161">IF(OR(AND(P70="Muy Baja",T70="Leve"),AND(P70="Muy Baja",T70="Menor"),AND(P70="Baja",T70="Leve")),"Bajo",IF(OR(AND(P70="Muy baja",T70="Moderado"),AND(P70="Baja",T70="Menor"),AND(P70="Baja",T70="Moderado"),AND(P70="Media",T70="Leve"),AND(P70="Media",T70="Menor"),AND(P70="Media",T70="Moderado"),AND(P70="Alta",T70="Leve"),AND(P70="Alta",T70="Menor")),"Moderado",IF(OR(AND(P70="Muy Baja",T70="Mayor"),AND(P70="Baja",T70="Mayor"),AND(P70="Media",T70="Mayor"),AND(P70="Alta",T70="Moderado"),AND(P70="Alta",T70="Mayor"),AND(P70="Muy Alta",T70="Leve"),AND(P70="Muy Alta",T70="Menor"),AND(P70="Muy Alta",T70="Moderado"),AND(P70="Muy Alta",T70="Mayor")),"Alto",IF(OR(AND(P70="Muy Baja",T70="Catastrófico"),AND(P70="Baja",T70="Catastrófico"),AND(P70="Media",T70="Catastrófico"),AND(P70="Alta",T70="Catastrófico"),AND(P70="Muy Alta",T70="Catastrófico")),"Extremo",""))))</f>
        <v>Alto</v>
      </c>
      <c r="W70" s="252">
        <v>1</v>
      </c>
      <c r="X70" s="207" t="s">
        <v>998</v>
      </c>
      <c r="Y70" s="250" t="str">
        <f t="shared" si="138"/>
        <v>Probabilidad</v>
      </c>
      <c r="Z70" s="185" t="s">
        <v>208</v>
      </c>
      <c r="AA70" s="185" t="s">
        <v>216</v>
      </c>
      <c r="AB70" s="186" t="str">
        <f t="shared" si="81"/>
        <v>40%</v>
      </c>
      <c r="AC70" s="185" t="s">
        <v>219</v>
      </c>
      <c r="AD70" s="185" t="s">
        <v>224</v>
      </c>
      <c r="AE70" s="185" t="s">
        <v>228</v>
      </c>
      <c r="AF70" s="187">
        <f t="shared" ref="AF70" si="162">IFERROR(IF(Y70="Probabilidad",(Q70-(+Q70*AB70)),IF(Y70="Impacto",Q70,"")),"")</f>
        <v>0.6</v>
      </c>
      <c r="AG70" s="188" t="str">
        <f t="shared" si="140"/>
        <v>Media</v>
      </c>
      <c r="AH70" s="186">
        <f t="shared" si="141"/>
        <v>0.6</v>
      </c>
      <c r="AI70" s="188" t="str">
        <f t="shared" ca="1" si="142"/>
        <v>Moderado</v>
      </c>
      <c r="AJ70" s="186">
        <f t="shared" ref="AJ70" ca="1" si="163">IFERROR(IF(Y70="Impacto",(U70-(+U70*AB70)),IF(Y70="Probabilidad",U70,"")),"")</f>
        <v>0.6</v>
      </c>
      <c r="AK70" s="189" t="str">
        <f t="shared" ca="1" si="144"/>
        <v>Moderado</v>
      </c>
      <c r="AL70" s="185" t="s">
        <v>255</v>
      </c>
      <c r="AM70" s="246"/>
      <c r="AN70" s="250"/>
      <c r="AO70" s="245"/>
      <c r="AP70" s="245"/>
      <c r="AQ70" s="246"/>
      <c r="AR70" s="247"/>
    </row>
    <row r="71" spans="1:44" s="191" customFormat="1" ht="149.25" customHeight="1" thickTop="1" thickBot="1" x14ac:dyDescent="0.3">
      <c r="A71" s="310"/>
      <c r="B71" s="327"/>
      <c r="C71" s="315"/>
      <c r="D71" s="315"/>
      <c r="E71" s="315"/>
      <c r="F71" s="332"/>
      <c r="G71" s="332"/>
      <c r="H71" s="333"/>
      <c r="I71" s="320"/>
      <c r="J71" s="320"/>
      <c r="K71" s="320"/>
      <c r="L71" s="320"/>
      <c r="M71" s="315"/>
      <c r="N71" s="315"/>
      <c r="O71" s="321"/>
      <c r="P71" s="322"/>
      <c r="Q71" s="323"/>
      <c r="R71" s="323"/>
      <c r="S71" s="323">
        <f ca="1">IF(NOT(ISERROR(MATCH(R71,_xlfn.ANCHORARRAY(H75),0))),#REF!&amp;"Por favor no seleccionar los criterios de impacto",R71)</f>
        <v>0</v>
      </c>
      <c r="T71" s="322"/>
      <c r="U71" s="323"/>
      <c r="V71" s="309"/>
      <c r="W71" s="252">
        <v>2</v>
      </c>
      <c r="X71" s="207" t="s">
        <v>999</v>
      </c>
      <c r="Y71" s="250" t="str">
        <f t="shared" si="138"/>
        <v>Probabilidad</v>
      </c>
      <c r="Z71" s="185" t="s">
        <v>208</v>
      </c>
      <c r="AA71" s="185" t="s">
        <v>216</v>
      </c>
      <c r="AB71" s="186" t="str">
        <f t="shared" si="81"/>
        <v>40%</v>
      </c>
      <c r="AC71" s="185" t="s">
        <v>219</v>
      </c>
      <c r="AD71" s="185" t="s">
        <v>224</v>
      </c>
      <c r="AE71" s="185" t="s">
        <v>228</v>
      </c>
      <c r="AF71" s="187">
        <f t="shared" ref="AF71" si="164">IFERROR(IF(AND(Y70="Probabilidad",Y71="Probabilidad"),(AH70-(+AH70*AB71)),IF(Y71="Probabilidad",(Q70-(+Q70*AB71)),IF(Y71="Impacto",AH70,""))),"")</f>
        <v>0.36</v>
      </c>
      <c r="AG71" s="188" t="str">
        <f t="shared" si="140"/>
        <v>Baja</v>
      </c>
      <c r="AH71" s="186">
        <f t="shared" si="141"/>
        <v>0.36</v>
      </c>
      <c r="AI71" s="188" t="str">
        <f t="shared" ca="1" si="142"/>
        <v>Moderado</v>
      </c>
      <c r="AJ71" s="186">
        <f t="shared" ref="AJ71" ca="1" si="165">IFERROR(IF(AND(Y70="Impacto",Y71="Impacto"),(AJ70-(+AJ70*AB71)),IF(Y71="Impacto",(U70-(+U70*AB71)),IF(Y71="Probabilidad",AJ70,""))),"")</f>
        <v>0.6</v>
      </c>
      <c r="AK71" s="189" t="str">
        <f t="shared" ca="1" si="144"/>
        <v>Moderado</v>
      </c>
      <c r="AL71" s="185" t="s">
        <v>255</v>
      </c>
      <c r="AM71" s="246"/>
      <c r="AN71" s="250"/>
      <c r="AO71" s="245"/>
      <c r="AP71" s="245"/>
      <c r="AQ71" s="246"/>
      <c r="AR71" s="247"/>
    </row>
    <row r="72" spans="1:44" s="191" customFormat="1" ht="116.25" customHeight="1" thickTop="1" thickBot="1" x14ac:dyDescent="0.3">
      <c r="A72" s="310">
        <v>23</v>
      </c>
      <c r="B72" s="327" t="s">
        <v>577</v>
      </c>
      <c r="C72" s="315" t="s">
        <v>269</v>
      </c>
      <c r="D72" s="315" t="s">
        <v>955</v>
      </c>
      <c r="E72" s="315" t="s">
        <v>238</v>
      </c>
      <c r="F72" s="332" t="s">
        <v>578</v>
      </c>
      <c r="G72" s="332" t="s">
        <v>579</v>
      </c>
      <c r="H72" s="333" t="s">
        <v>1103</v>
      </c>
      <c r="I72" s="320" t="s">
        <v>474</v>
      </c>
      <c r="J72" s="320" t="s">
        <v>474</v>
      </c>
      <c r="K72" s="320" t="s">
        <v>474</v>
      </c>
      <c r="L72" s="320" t="s">
        <v>474</v>
      </c>
      <c r="M72" s="315" t="s">
        <v>239</v>
      </c>
      <c r="N72" s="315"/>
      <c r="O72" s="321">
        <v>24</v>
      </c>
      <c r="P72" s="322" t="str">
        <f t="shared" si="134"/>
        <v>Baja</v>
      </c>
      <c r="Q72" s="323">
        <f t="shared" si="135"/>
        <v>0.4</v>
      </c>
      <c r="R72" s="323" t="s">
        <v>190</v>
      </c>
      <c r="S72" s="323" t="str">
        <f ca="1">IF(NOT(ISERROR(MATCH(R72,'Tabla Impacto'!$B$221:$B$223,0))),'Tabla Impacto'!$F$223&amp;"Por favor no seleccionar los criterios de impacto(Afectación Económica o presupuestal y Pérdida Reputacional)",R72)</f>
        <v>El riesgo afecta la imagen de la entidad con algunos usuarios de relevancia frente al logro de los objetivos</v>
      </c>
      <c r="T72" s="322" t="str">
        <f ca="1">+IF(OR(S72='[1]Tabla Impacto'!$C$11,S72='[1]Tabla Impacto'!$D$11),"Leve",IF(OR(S72='[1]Tabla Impacto'!$C$12,S72='[1]Tabla Impacto'!$D$12),"Menor",IF(OR(S72='[1]Tabla Impacto'!$C$13,S72='[1]Tabla Impacto'!$D$13),"Moderado",IF(OR(S72='[1]Tabla Impacto'!$C$14,S72='[1]Tabla Impacto'!$D$14),"Mayor",IF(OR(S72='[1]Tabla Impacto'!$C$15,S72='[1]Tabla Impacto'!$D$15),"Catastrófico","")))))</f>
        <v>Moderado</v>
      </c>
      <c r="U72" s="323">
        <f t="shared" ref="U72" ca="1" si="166">IF(T72="","",IF(T72="Leve",0.2,IF(T72="Menor",0.4,IF(T72="Moderado",0.6,IF(T72="Mayor",0.8,IF(T72="Catastrófico",1,))))))</f>
        <v>0.6</v>
      </c>
      <c r="V72" s="309" t="str">
        <f t="shared" ref="V72" ca="1" si="167">IF(OR(AND(P72="Muy Baja",T72="Leve"),AND(P72="Muy Baja",T72="Menor"),AND(P72="Baja",T72="Leve")),"Bajo",IF(OR(AND(P72="Muy baja",T72="Moderado"),AND(P72="Baja",T72="Menor"),AND(P72="Baja",T72="Moderado"),AND(P72="Media",T72="Leve"),AND(P72="Media",T72="Menor"),AND(P72="Media",T72="Moderado"),AND(P72="Alta",T72="Leve"),AND(P72="Alta",T72="Menor")),"Moderado",IF(OR(AND(P72="Muy Baja",T72="Mayor"),AND(P72="Baja",T72="Mayor"),AND(P72="Media",T72="Mayor"),AND(P72="Alta",T72="Moderado"),AND(P72="Alta",T72="Mayor"),AND(P72="Muy Alta",T72="Leve"),AND(P72="Muy Alta",T72="Menor"),AND(P72="Muy Alta",T72="Moderado"),AND(P72="Muy Alta",T72="Mayor")),"Alto",IF(OR(AND(P72="Muy Baja",T72="Catastrófico"),AND(P72="Baja",T72="Catastrófico"),AND(P72="Media",T72="Catastrófico"),AND(P72="Alta",T72="Catastrófico"),AND(P72="Muy Alta",T72="Catastrófico")),"Extremo",""))))</f>
        <v>Moderado</v>
      </c>
      <c r="W72" s="252">
        <v>1</v>
      </c>
      <c r="X72" s="208" t="s">
        <v>580</v>
      </c>
      <c r="Y72" s="250" t="str">
        <f t="shared" si="138"/>
        <v>Probabilidad</v>
      </c>
      <c r="Z72" s="185" t="s">
        <v>208</v>
      </c>
      <c r="AA72" s="185" t="s">
        <v>216</v>
      </c>
      <c r="AB72" s="186" t="str">
        <f t="shared" ref="AB72:AB89" si="168">IF(AND(Z72="Preventivo",AA72="Automático"),"50%",IF(AND(Z72="Preventivo",AA72="Manual"),"40%",IF(AND(Z72="Detectivo",AA72="Automático"),"40%",IF(AND(Z72="Detectivo",AA72="Manual"),"30%",IF(AND(Z72="Correctivo",AA72="Automático"),"35%",IF(AND(Z72="Correctivo",AA72="Manual"),"25%",""))))))</f>
        <v>40%</v>
      </c>
      <c r="AC72" s="185" t="s">
        <v>219</v>
      </c>
      <c r="AD72" s="185" t="s">
        <v>224</v>
      </c>
      <c r="AE72" s="185" t="s">
        <v>228</v>
      </c>
      <c r="AF72" s="187">
        <f t="shared" ref="AF72" si="169">IFERROR(IF(Y72="Probabilidad",(Q72-(+Q72*AB72)),IF(Y72="Impacto",Q72,"")),"")</f>
        <v>0.24</v>
      </c>
      <c r="AG72" s="188" t="str">
        <f t="shared" si="140"/>
        <v>Baja</v>
      </c>
      <c r="AH72" s="186">
        <f t="shared" si="141"/>
        <v>0.24</v>
      </c>
      <c r="AI72" s="188" t="str">
        <f t="shared" ca="1" si="142"/>
        <v>Moderado</v>
      </c>
      <c r="AJ72" s="186">
        <f t="shared" ref="AJ72" ca="1" si="170">IFERROR(IF(Y72="Impacto",(U72-(+U72*AB72)),IF(Y72="Probabilidad",U72,"")),"")</f>
        <v>0.6</v>
      </c>
      <c r="AK72" s="189" t="str">
        <f t="shared" ca="1" si="144"/>
        <v>Moderado</v>
      </c>
      <c r="AL72" s="185" t="s">
        <v>255</v>
      </c>
      <c r="AM72" s="246"/>
      <c r="AN72" s="250"/>
      <c r="AO72" s="245"/>
      <c r="AP72" s="245"/>
      <c r="AQ72" s="246"/>
      <c r="AR72" s="247"/>
    </row>
    <row r="73" spans="1:44" s="191" customFormat="1" ht="125.25" customHeight="1" thickTop="1" thickBot="1" x14ac:dyDescent="0.3">
      <c r="A73" s="310"/>
      <c r="B73" s="327"/>
      <c r="C73" s="315"/>
      <c r="D73" s="315"/>
      <c r="E73" s="315"/>
      <c r="F73" s="332"/>
      <c r="G73" s="332"/>
      <c r="H73" s="333"/>
      <c r="I73" s="320"/>
      <c r="J73" s="320"/>
      <c r="K73" s="320"/>
      <c r="L73" s="320"/>
      <c r="M73" s="315"/>
      <c r="N73" s="315"/>
      <c r="O73" s="321"/>
      <c r="P73" s="322"/>
      <c r="Q73" s="323"/>
      <c r="R73" s="323"/>
      <c r="S73" s="323">
        <f ca="1">IF(NOT(ISERROR(MATCH(R73,_xlfn.ANCHORARRAY(H76),0))),#REF!&amp;"Por favor no seleccionar los criterios de impacto",R73)</f>
        <v>0</v>
      </c>
      <c r="T73" s="322"/>
      <c r="U73" s="323"/>
      <c r="V73" s="309"/>
      <c r="W73" s="252">
        <v>2</v>
      </c>
      <c r="X73" s="208" t="s">
        <v>1000</v>
      </c>
      <c r="Y73" s="250" t="str">
        <f t="shared" si="138"/>
        <v>Probabilidad</v>
      </c>
      <c r="Z73" s="185" t="s">
        <v>208</v>
      </c>
      <c r="AA73" s="185" t="s">
        <v>216</v>
      </c>
      <c r="AB73" s="186" t="str">
        <f t="shared" si="168"/>
        <v>40%</v>
      </c>
      <c r="AC73" s="185" t="s">
        <v>219</v>
      </c>
      <c r="AD73" s="185" t="s">
        <v>224</v>
      </c>
      <c r="AE73" s="185" t="s">
        <v>228</v>
      </c>
      <c r="AF73" s="187">
        <f t="shared" ref="AF73:AF74" si="171">IFERROR(IF(AND(Y72="Probabilidad",Y73="Probabilidad"),(AH72-(+AH72*AB73)),IF(Y73="Probabilidad",(Q72-(+Q72*AB73)),IF(Y73="Impacto",AH72,""))),"")</f>
        <v>0.14399999999999999</v>
      </c>
      <c r="AG73" s="188" t="str">
        <f t="shared" si="140"/>
        <v>Muy Baja</v>
      </c>
      <c r="AH73" s="186">
        <f t="shared" si="141"/>
        <v>0.14399999999999999</v>
      </c>
      <c r="AI73" s="188" t="str">
        <f t="shared" ca="1" si="142"/>
        <v>Moderado</v>
      </c>
      <c r="AJ73" s="186">
        <f t="shared" ref="AJ73" ca="1" si="172">IFERROR(IF(AND(Y72="Impacto",Y73="Impacto"),(AJ72-(+AJ72*AB73)),IF(Y73="Impacto",(U72-(+U72*AB73)),IF(Y73="Probabilidad",AJ72,""))),"")</f>
        <v>0.6</v>
      </c>
      <c r="AK73" s="189" t="str">
        <f t="shared" ca="1" si="144"/>
        <v>Moderado</v>
      </c>
      <c r="AL73" s="185" t="s">
        <v>255</v>
      </c>
      <c r="AM73" s="246"/>
      <c r="AN73" s="250"/>
      <c r="AO73" s="245"/>
      <c r="AP73" s="245"/>
      <c r="AQ73" s="246"/>
      <c r="AR73" s="247"/>
    </row>
    <row r="74" spans="1:44" s="191" customFormat="1" ht="142.5" customHeight="1" thickTop="1" thickBot="1" x14ac:dyDescent="0.3">
      <c r="A74" s="310"/>
      <c r="B74" s="327"/>
      <c r="C74" s="315"/>
      <c r="D74" s="315"/>
      <c r="E74" s="315"/>
      <c r="F74" s="332"/>
      <c r="G74" s="332"/>
      <c r="H74" s="333"/>
      <c r="I74" s="320"/>
      <c r="J74" s="320"/>
      <c r="K74" s="320"/>
      <c r="L74" s="320"/>
      <c r="M74" s="315"/>
      <c r="N74" s="315"/>
      <c r="O74" s="321"/>
      <c r="P74" s="322"/>
      <c r="Q74" s="323"/>
      <c r="R74" s="323"/>
      <c r="S74" s="323">
        <f ca="1">IF(NOT(ISERROR(MATCH(R74,_xlfn.ANCHORARRAY(H77),0))),#REF!&amp;"Por favor no seleccionar los criterios de impacto",R74)</f>
        <v>0</v>
      </c>
      <c r="T74" s="322"/>
      <c r="U74" s="323"/>
      <c r="V74" s="309"/>
      <c r="W74" s="252">
        <v>3</v>
      </c>
      <c r="X74" s="207" t="s">
        <v>581</v>
      </c>
      <c r="Y74" s="250" t="str">
        <f t="shared" si="138"/>
        <v>Probabilidad</v>
      </c>
      <c r="Z74" s="185" t="s">
        <v>208</v>
      </c>
      <c r="AA74" s="185" t="s">
        <v>216</v>
      </c>
      <c r="AB74" s="186" t="str">
        <f t="shared" si="168"/>
        <v>40%</v>
      </c>
      <c r="AC74" s="185" t="s">
        <v>219</v>
      </c>
      <c r="AD74" s="185" t="s">
        <v>224</v>
      </c>
      <c r="AE74" s="185" t="s">
        <v>228</v>
      </c>
      <c r="AF74" s="187">
        <f t="shared" si="171"/>
        <v>8.6399999999999991E-2</v>
      </c>
      <c r="AG74" s="188" t="str">
        <f t="shared" si="140"/>
        <v>Muy Baja</v>
      </c>
      <c r="AH74" s="186">
        <f t="shared" si="141"/>
        <v>8.6399999999999991E-2</v>
      </c>
      <c r="AI74" s="188" t="str">
        <f t="shared" ca="1" si="142"/>
        <v>Moderado</v>
      </c>
      <c r="AJ74" s="186">
        <f t="shared" ref="AJ74" ca="1" si="173">IFERROR(IF(AND(Y73="Impacto",Y74="Impacto"),(AJ73-(+AJ73*AB74)),IF(AND(Y73="Probabilidad",Y74="Impacto"),(AJ72-(+AJ72*AB74)),IF(Y74="Probabilidad",AJ73,""))),"")</f>
        <v>0.6</v>
      </c>
      <c r="AK74" s="189" t="str">
        <f t="shared" ca="1" si="144"/>
        <v>Moderado</v>
      </c>
      <c r="AL74" s="185" t="s">
        <v>255</v>
      </c>
      <c r="AM74" s="246"/>
      <c r="AN74" s="250"/>
      <c r="AO74" s="245"/>
      <c r="AP74" s="245"/>
      <c r="AQ74" s="246"/>
      <c r="AR74" s="247"/>
    </row>
    <row r="75" spans="1:44" s="191" customFormat="1" ht="230.25" customHeight="1" thickTop="1" thickBot="1" x14ac:dyDescent="0.3">
      <c r="A75" s="244">
        <v>24</v>
      </c>
      <c r="B75" s="248" t="s">
        <v>582</v>
      </c>
      <c r="C75" s="246" t="s">
        <v>269</v>
      </c>
      <c r="D75" s="249" t="s">
        <v>956</v>
      </c>
      <c r="E75" s="246" t="s">
        <v>238</v>
      </c>
      <c r="F75" s="254" t="s">
        <v>583</v>
      </c>
      <c r="G75" s="254" t="s">
        <v>584</v>
      </c>
      <c r="H75" s="255" t="s">
        <v>1104</v>
      </c>
      <c r="I75" s="242" t="s">
        <v>474</v>
      </c>
      <c r="J75" s="242" t="s">
        <v>474</v>
      </c>
      <c r="K75" s="242" t="s">
        <v>474</v>
      </c>
      <c r="L75" s="242" t="s">
        <v>474</v>
      </c>
      <c r="M75" s="246" t="s">
        <v>239</v>
      </c>
      <c r="N75" s="246"/>
      <c r="O75" s="250">
        <v>365</v>
      </c>
      <c r="P75" s="251" t="str">
        <f t="shared" si="134"/>
        <v>Media</v>
      </c>
      <c r="Q75" s="243">
        <f t="shared" si="135"/>
        <v>0.6</v>
      </c>
      <c r="R75" s="243" t="s">
        <v>190</v>
      </c>
      <c r="S75" s="243" t="str">
        <f ca="1">IF(NOT(ISERROR(MATCH(R75,'Tabla Impacto'!$B$221:$B$223,0))),'Tabla Impacto'!$F$223&amp;"Por favor no seleccionar los criterios de impacto(Afectación Económica o presupuestal y Pérdida Reputacional)",R75)</f>
        <v>El riesgo afecta la imagen de la entidad con algunos usuarios de relevancia frente al logro de los objetivos</v>
      </c>
      <c r="T75" s="251" t="str">
        <f ca="1">+IF(OR(S75='[1]Tabla Impacto'!$C$11,S75='[1]Tabla Impacto'!$D$11),"Leve",IF(OR(S75='[1]Tabla Impacto'!$C$12,S75='[1]Tabla Impacto'!$D$12),"Menor",IF(OR(S75='[1]Tabla Impacto'!$C$13,S75='[1]Tabla Impacto'!$D$13),"Moderado",IF(OR(S75='[1]Tabla Impacto'!$C$14,S75='[1]Tabla Impacto'!$D$14),"Mayor",IF(OR(S75='[1]Tabla Impacto'!$C$15,S75='[1]Tabla Impacto'!$D$15),"Catastrófico","")))))</f>
        <v>Moderado</v>
      </c>
      <c r="U75" s="243">
        <f t="shared" ref="U75" ca="1" si="174">IF(T75="","",IF(T75="Leve",0.2,IF(T75="Menor",0.4,IF(T75="Moderado",0.6,IF(T75="Mayor",0.8,IF(T75="Catastrófico",1,))))))</f>
        <v>0.6</v>
      </c>
      <c r="V75" s="252" t="str">
        <f t="shared" ref="V75" ca="1" si="175">IF(OR(AND(P75="Muy Baja",T75="Leve"),AND(P75="Muy Baja",T75="Menor"),AND(P75="Baja",T75="Leve")),"Bajo",IF(OR(AND(P75="Muy baja",T75="Moderado"),AND(P75="Baja",T75="Menor"),AND(P75="Baja",T75="Moderado"),AND(P75="Media",T75="Leve"),AND(P75="Media",T75="Menor"),AND(P75="Media",T75="Moderado"),AND(P75="Alta",T75="Leve"),AND(P75="Alta",T75="Menor")),"Moderado",IF(OR(AND(P75="Muy Baja",T75="Mayor"),AND(P75="Baja",T75="Mayor"),AND(P75="Media",T75="Mayor"),AND(P75="Alta",T75="Moderado"),AND(P75="Alta",T75="Mayor"),AND(P75="Muy Alta",T75="Leve"),AND(P75="Muy Alta",T75="Menor"),AND(P75="Muy Alta",T75="Moderado"),AND(P75="Muy Alta",T75="Mayor")),"Alto",IF(OR(AND(P75="Muy Baja",T75="Catastrófico"),AND(P75="Baja",T75="Catastrófico"),AND(P75="Media",T75="Catastrófico"),AND(P75="Alta",T75="Catastrófico"),AND(P75="Muy Alta",T75="Catastrófico")),"Extremo",""))))</f>
        <v>Moderado</v>
      </c>
      <c r="W75" s="252">
        <v>1</v>
      </c>
      <c r="X75" s="207" t="s">
        <v>1001</v>
      </c>
      <c r="Y75" s="250" t="str">
        <f t="shared" si="138"/>
        <v>Probabilidad</v>
      </c>
      <c r="Z75" s="185" t="s">
        <v>208</v>
      </c>
      <c r="AA75" s="185" t="s">
        <v>216</v>
      </c>
      <c r="AB75" s="186" t="str">
        <f t="shared" si="168"/>
        <v>40%</v>
      </c>
      <c r="AC75" s="185" t="s">
        <v>219</v>
      </c>
      <c r="AD75" s="185" t="s">
        <v>224</v>
      </c>
      <c r="AE75" s="185" t="s">
        <v>228</v>
      </c>
      <c r="AF75" s="187">
        <f t="shared" ref="AF75" si="176">IFERROR(IF(Y75="Probabilidad",(Q75-(+Q75*AB75)),IF(Y75="Impacto",Q75,"")),"")</f>
        <v>0.36</v>
      </c>
      <c r="AG75" s="188" t="str">
        <f t="shared" si="140"/>
        <v>Baja</v>
      </c>
      <c r="AH75" s="186">
        <f t="shared" si="141"/>
        <v>0.36</v>
      </c>
      <c r="AI75" s="188" t="str">
        <f t="shared" ca="1" si="142"/>
        <v>Moderado</v>
      </c>
      <c r="AJ75" s="186">
        <f t="shared" ref="AJ75" ca="1" si="177">IFERROR(IF(Y75="Impacto",(U75-(+U75*AB75)),IF(Y75="Probabilidad",U75,"")),"")</f>
        <v>0.6</v>
      </c>
      <c r="AK75" s="189" t="str">
        <f t="shared" ca="1" si="144"/>
        <v>Moderado</v>
      </c>
      <c r="AL75" s="185" t="s">
        <v>255</v>
      </c>
      <c r="AM75" s="246"/>
      <c r="AN75" s="250"/>
      <c r="AO75" s="245"/>
      <c r="AP75" s="245"/>
      <c r="AQ75" s="246"/>
      <c r="AR75" s="247"/>
    </row>
    <row r="76" spans="1:44" s="191" customFormat="1" ht="147" customHeight="1" thickTop="1" thickBot="1" x14ac:dyDescent="0.3">
      <c r="A76" s="310">
        <v>25</v>
      </c>
      <c r="B76" s="327" t="s">
        <v>585</v>
      </c>
      <c r="C76" s="315" t="s">
        <v>269</v>
      </c>
      <c r="D76" s="317" t="s">
        <v>586</v>
      </c>
      <c r="E76" s="315" t="s">
        <v>236</v>
      </c>
      <c r="F76" s="318" t="s">
        <v>587</v>
      </c>
      <c r="G76" s="318" t="s">
        <v>588</v>
      </c>
      <c r="H76" s="319" t="s">
        <v>1105</v>
      </c>
      <c r="I76" s="320" t="s">
        <v>474</v>
      </c>
      <c r="J76" s="320" t="s">
        <v>474</v>
      </c>
      <c r="K76" s="320" t="s">
        <v>474</v>
      </c>
      <c r="L76" s="320" t="s">
        <v>474</v>
      </c>
      <c r="M76" s="315" t="s">
        <v>246</v>
      </c>
      <c r="N76" s="315"/>
      <c r="O76" s="321">
        <v>3650</v>
      </c>
      <c r="P76" s="322" t="str">
        <f t="shared" si="134"/>
        <v>Alta</v>
      </c>
      <c r="Q76" s="323">
        <f t="shared" si="135"/>
        <v>0.8</v>
      </c>
      <c r="R76" s="323" t="s">
        <v>186</v>
      </c>
      <c r="S76" s="323" t="str">
        <f ca="1">IF(NOT(ISERROR(MATCH(R76,'Tabla Impacto'!$B$221:$B$223,0))),'Tabla Impacto'!$F$223&amp;"Por favor no seleccionar los criterios de impacto(Afectación Económica o presupuestal y Pérdida Reputacional)",R76)</f>
        <v xml:space="preserve">Entre 10 y 50 SMLMV </v>
      </c>
      <c r="T76" s="322" t="str">
        <f ca="1">+IF(OR(S76='[1]Tabla Impacto'!$C$11,S76='[1]Tabla Impacto'!$D$11),"Leve",IF(OR(S76='[1]Tabla Impacto'!$C$12,S76='[1]Tabla Impacto'!$D$12),"Menor",IF(OR(S76='[1]Tabla Impacto'!$C$13,S76='[1]Tabla Impacto'!$D$13),"Moderado",IF(OR(S76='[1]Tabla Impacto'!$C$14,S76='[1]Tabla Impacto'!$D$14),"Mayor",IF(OR(S76='[1]Tabla Impacto'!$C$15,S76='[1]Tabla Impacto'!$D$15),"Catastrófico","")))))</f>
        <v>Menor</v>
      </c>
      <c r="U76" s="323">
        <f t="shared" ref="U76" ca="1" si="178">IF(T76="","",IF(T76="Leve",0.2,IF(T76="Menor",0.4,IF(T76="Moderado",0.6,IF(T76="Mayor",0.8,IF(T76="Catastrófico",1,))))))</f>
        <v>0.4</v>
      </c>
      <c r="V76" s="309" t="str">
        <f t="shared" ref="V76" ca="1" si="179">IF(OR(AND(P76="Muy Baja",T76="Leve"),AND(P76="Muy Baja",T76="Menor"),AND(P76="Baja",T76="Leve")),"Bajo",IF(OR(AND(P76="Muy baja",T76="Moderado"),AND(P76="Baja",T76="Menor"),AND(P76="Baja",T76="Moderado"),AND(P76="Media",T76="Leve"),AND(P76="Media",T76="Menor"),AND(P76="Media",T76="Moderado"),AND(P76="Alta",T76="Leve"),AND(P76="Alta",T76="Menor")),"Moderado",IF(OR(AND(P76="Muy Baja",T76="Mayor"),AND(P76="Baja",T76="Mayor"),AND(P76="Media",T76="Mayor"),AND(P76="Alta",T76="Moderado"),AND(P76="Alta",T76="Mayor"),AND(P76="Muy Alta",T76="Leve"),AND(P76="Muy Alta",T76="Menor"),AND(P76="Muy Alta",T76="Moderado"),AND(P76="Muy Alta",T76="Mayor")),"Alto",IF(OR(AND(P76="Muy Baja",T76="Catastrófico"),AND(P76="Baja",T76="Catastrófico"),AND(P76="Media",T76="Catastrófico"),AND(P76="Alta",T76="Catastrófico"),AND(P76="Muy Alta",T76="Catastrófico")),"Extremo",""))))</f>
        <v>Moderado</v>
      </c>
      <c r="W76" s="252">
        <v>1</v>
      </c>
      <c r="X76" s="209" t="s">
        <v>1002</v>
      </c>
      <c r="Y76" s="250" t="str">
        <f t="shared" si="138"/>
        <v>Probabilidad</v>
      </c>
      <c r="Z76" s="185" t="s">
        <v>210</v>
      </c>
      <c r="AA76" s="185" t="s">
        <v>216</v>
      </c>
      <c r="AB76" s="186" t="str">
        <f t="shared" si="168"/>
        <v>30%</v>
      </c>
      <c r="AC76" s="185" t="s">
        <v>219</v>
      </c>
      <c r="AD76" s="185" t="s">
        <v>226</v>
      </c>
      <c r="AE76" s="185" t="s">
        <v>228</v>
      </c>
      <c r="AF76" s="187">
        <f t="shared" ref="AF76" si="180">IFERROR(IF(Y76="Probabilidad",(Q76-(+Q76*AB76)),IF(Y76="Impacto",Q76,"")),"")</f>
        <v>0.56000000000000005</v>
      </c>
      <c r="AG76" s="188" t="str">
        <f t="shared" si="140"/>
        <v>Media</v>
      </c>
      <c r="AH76" s="186">
        <f t="shared" si="141"/>
        <v>0.56000000000000005</v>
      </c>
      <c r="AI76" s="188" t="str">
        <f t="shared" ca="1" si="142"/>
        <v>Menor</v>
      </c>
      <c r="AJ76" s="186">
        <f t="shared" ref="AJ76" ca="1" si="181">IFERROR(IF(Y76="Impacto",(U76-(+U76*AB76)),IF(Y76="Probabilidad",U76,"")),"")</f>
        <v>0.4</v>
      </c>
      <c r="AK76" s="189" t="str">
        <f t="shared" ca="1" si="144"/>
        <v>Moderado</v>
      </c>
      <c r="AL76" s="185" t="s">
        <v>255</v>
      </c>
      <c r="AM76" s="246"/>
      <c r="AN76" s="250"/>
      <c r="AO76" s="245"/>
      <c r="AP76" s="245"/>
      <c r="AQ76" s="246"/>
      <c r="AR76" s="247"/>
    </row>
    <row r="77" spans="1:44" s="191" customFormat="1" ht="183.75" customHeight="1" thickTop="1" thickBot="1" x14ac:dyDescent="0.3">
      <c r="A77" s="310"/>
      <c r="B77" s="327"/>
      <c r="C77" s="315"/>
      <c r="D77" s="317"/>
      <c r="E77" s="315"/>
      <c r="F77" s="318"/>
      <c r="G77" s="318"/>
      <c r="H77" s="319"/>
      <c r="I77" s="320"/>
      <c r="J77" s="320"/>
      <c r="K77" s="320"/>
      <c r="L77" s="320"/>
      <c r="M77" s="315"/>
      <c r="N77" s="315"/>
      <c r="O77" s="321"/>
      <c r="P77" s="322"/>
      <c r="Q77" s="323"/>
      <c r="R77" s="323"/>
      <c r="S77" s="323">
        <f ca="1">IF(NOT(ISERROR(MATCH(R77,_xlfn.ANCHORARRAY(H81),0))),#REF!&amp;"Por favor no seleccionar los criterios de impacto",R77)</f>
        <v>0</v>
      </c>
      <c r="T77" s="322"/>
      <c r="U77" s="323"/>
      <c r="V77" s="309"/>
      <c r="W77" s="252">
        <v>2</v>
      </c>
      <c r="X77" s="209" t="s">
        <v>1003</v>
      </c>
      <c r="Y77" s="250" t="str">
        <f t="shared" si="138"/>
        <v>Probabilidad</v>
      </c>
      <c r="Z77" s="185" t="s">
        <v>208</v>
      </c>
      <c r="AA77" s="185" t="s">
        <v>216</v>
      </c>
      <c r="AB77" s="186" t="str">
        <f t="shared" si="168"/>
        <v>40%</v>
      </c>
      <c r="AC77" s="185" t="s">
        <v>219</v>
      </c>
      <c r="AD77" s="185" t="s">
        <v>226</v>
      </c>
      <c r="AE77" s="185" t="s">
        <v>228</v>
      </c>
      <c r="AF77" s="187">
        <f t="shared" ref="AF77" si="182">IFERROR(IF(AND(Y76="Probabilidad",Y77="Probabilidad"),(AH76-(+AH76*AB77)),IF(Y77="Probabilidad",(Q76-(+Q76*AB77)),IF(Y77="Impacto",AH76,""))),"")</f>
        <v>0.33600000000000002</v>
      </c>
      <c r="AG77" s="188" t="str">
        <f t="shared" si="140"/>
        <v>Baja</v>
      </c>
      <c r="AH77" s="186">
        <f t="shared" si="141"/>
        <v>0.33600000000000002</v>
      </c>
      <c r="AI77" s="188" t="str">
        <f t="shared" ca="1" si="142"/>
        <v>Menor</v>
      </c>
      <c r="AJ77" s="186">
        <f t="shared" ref="AJ77" ca="1" si="183">IFERROR(IF(AND(Y76="Impacto",Y77="Impacto"),(AJ76-(+AJ76*AB77)),IF(Y77="Impacto",(U76-(+U76*AB77)),IF(Y77="Probabilidad",AJ76,""))),"")</f>
        <v>0.4</v>
      </c>
      <c r="AK77" s="189" t="str">
        <f t="shared" ca="1" si="144"/>
        <v>Moderado</v>
      </c>
      <c r="AL77" s="185" t="s">
        <v>255</v>
      </c>
      <c r="AM77" s="246"/>
      <c r="AN77" s="250"/>
      <c r="AO77" s="245"/>
      <c r="AP77" s="245"/>
      <c r="AQ77" s="246"/>
      <c r="AR77" s="247"/>
    </row>
    <row r="78" spans="1:44" s="191" customFormat="1" ht="216" customHeight="1" thickTop="1" thickBot="1" x14ac:dyDescent="0.3">
      <c r="A78" s="310">
        <v>26</v>
      </c>
      <c r="B78" s="327" t="s">
        <v>589</v>
      </c>
      <c r="C78" s="315" t="s">
        <v>269</v>
      </c>
      <c r="D78" s="317" t="s">
        <v>590</v>
      </c>
      <c r="E78" s="315" t="s">
        <v>236</v>
      </c>
      <c r="F78" s="318" t="s">
        <v>591</v>
      </c>
      <c r="G78" s="318" t="s">
        <v>592</v>
      </c>
      <c r="H78" s="319" t="s">
        <v>1158</v>
      </c>
      <c r="I78" s="320" t="s">
        <v>593</v>
      </c>
      <c r="J78" s="320" t="s">
        <v>593</v>
      </c>
      <c r="K78" s="320" t="s">
        <v>593</v>
      </c>
      <c r="L78" s="320" t="s">
        <v>593</v>
      </c>
      <c r="M78" s="331" t="s">
        <v>244</v>
      </c>
      <c r="N78" s="315"/>
      <c r="O78" s="321">
        <v>500</v>
      </c>
      <c r="P78" s="322" t="str">
        <f t="shared" ref="P78:P85" si="184">IF(O78&lt;=0,"",IF(O78&lt;=2,"Muy Baja",IF(O78&lt;=24,"Baja",IF(O78&lt;=500,"Media",IF(O78&lt;=5000,"Alta","Muy Alta")))))</f>
        <v>Media</v>
      </c>
      <c r="Q78" s="323">
        <f t="shared" ref="Q78:Q85" si="185">IF(P78="","",IF(P78="Muy Baja",0.2,IF(P78="Baja",0.4,IF(P78="Media",0.6,IF(P78="Alta",0.8,IF(P78="Muy Alta",1,))))))</f>
        <v>0.6</v>
      </c>
      <c r="R78" s="323" t="s">
        <v>195</v>
      </c>
      <c r="S78" s="323" t="str">
        <f ca="1">IF(NOT(ISERROR(MATCH(R78,'Tabla Impacto'!$B$221:$B$223,0))),'Tabla Impacto'!$F$223&amp;"Por favor no seleccionar los criterios de impacto(Afectación Económica o presupuestal y Pérdida Reputacional)",R78)</f>
        <v xml:space="preserve">Mayor a 500 SMLMV </v>
      </c>
      <c r="T78" s="322" t="str">
        <f ca="1">+IF(OR(S78='[1]Tabla Impacto'!$C$11,S78='[1]Tabla Impacto'!$D$11),"Leve",IF(OR(S78='[1]Tabla Impacto'!$C$12,S78='[1]Tabla Impacto'!$D$12),"Menor",IF(OR(S78='[1]Tabla Impacto'!$C$13,S78='[1]Tabla Impacto'!$D$13),"Moderado",IF(OR(S78='[1]Tabla Impacto'!$C$14,S78='[1]Tabla Impacto'!$D$14),"Mayor",IF(OR(S78='[1]Tabla Impacto'!$C$15,S78='[1]Tabla Impacto'!$D$15),"Catastrófico","")))))</f>
        <v>Catastrófico</v>
      </c>
      <c r="U78" s="323">
        <f t="shared" ref="U78" ca="1" si="186">IF(T78="","",IF(T78="Leve",0.2,IF(T78="Menor",0.4,IF(T78="Moderado",0.6,IF(T78="Mayor",0.8,IF(T78="Catastrófico",1,))))))</f>
        <v>1</v>
      </c>
      <c r="V78" s="309" t="str">
        <f t="shared" ref="V78" ca="1" si="187">IF(OR(AND(P78="Muy Baja",T78="Leve"),AND(P78="Muy Baja",T78="Menor"),AND(P78="Baja",T78="Leve")),"Bajo",IF(OR(AND(P78="Muy baja",T78="Moderado"),AND(P78="Baja",T78="Menor"),AND(P78="Baja",T78="Moderado"),AND(P78="Media",T78="Leve"),AND(P78="Media",T78="Menor"),AND(P78="Media",T78="Moderado"),AND(P78="Alta",T78="Leve"),AND(P78="Alta",T78="Menor")),"Moderado",IF(OR(AND(P78="Muy Baja",T78="Mayor"),AND(P78="Baja",T78="Mayor"),AND(P78="Media",T78="Mayor"),AND(P78="Alta",T78="Moderado"),AND(P78="Alta",T78="Mayor"),AND(P78="Muy Alta",T78="Leve"),AND(P78="Muy Alta",T78="Menor"),AND(P78="Muy Alta",T78="Moderado"),AND(P78="Muy Alta",T78="Mayor")),"Alto",IF(OR(AND(P78="Muy Baja",T78="Catastrófico"),AND(P78="Baja",T78="Catastrófico"),AND(P78="Media",T78="Catastrófico"),AND(P78="Alta",T78="Catastrófico"),AND(P78="Muy Alta",T78="Catastrófico")),"Extremo",""))))</f>
        <v>Extremo</v>
      </c>
      <c r="W78" s="252">
        <v>1</v>
      </c>
      <c r="X78" s="207" t="s">
        <v>1004</v>
      </c>
      <c r="Y78" s="250" t="str">
        <f t="shared" ref="Y78:Y85" si="188">IF(OR(Z78="Preventivo",Z78="Detectivo"),"Probabilidad",IF(Z78="Correctivo","Impacto",""))</f>
        <v>Probabilidad</v>
      </c>
      <c r="Z78" s="185" t="s">
        <v>208</v>
      </c>
      <c r="AA78" s="185" t="s">
        <v>216</v>
      </c>
      <c r="AB78" s="186" t="str">
        <f t="shared" si="168"/>
        <v>40%</v>
      </c>
      <c r="AC78" s="185" t="s">
        <v>219</v>
      </c>
      <c r="AD78" s="185" t="s">
        <v>224</v>
      </c>
      <c r="AE78" s="185" t="s">
        <v>228</v>
      </c>
      <c r="AF78" s="187">
        <f t="shared" ref="AF78" si="189">IFERROR(IF(Y78="Probabilidad",(Q78-(+Q78*AB78)),IF(Y78="Impacto",Q78,"")),"")</f>
        <v>0.36</v>
      </c>
      <c r="AG78" s="188" t="str">
        <f t="shared" ref="AG78:AG85" si="190">IFERROR(IF(AF78="","",IF(AF78&lt;=0.2,"Muy Baja",IF(AF78&lt;=0.4,"Baja",IF(AF78&lt;=0.6,"Media",IF(AF78&lt;=0.8,"Alta","Muy Alta"))))),"")</f>
        <v>Baja</v>
      </c>
      <c r="AH78" s="186">
        <f t="shared" ref="AH78:AH85" si="191">+AF78</f>
        <v>0.36</v>
      </c>
      <c r="AI78" s="188" t="str">
        <f t="shared" ref="AI78:AI85" ca="1" si="192">IFERROR(IF(AJ78="","",IF(AJ78&lt;=0.2,"Leve",IF(AJ78&lt;=0.4,"Menor",IF(AJ78&lt;=0.6,"Moderado",IF(AJ78&lt;=0.8,"Mayor","Catastrófico"))))),"")</f>
        <v>Catastrófico</v>
      </c>
      <c r="AJ78" s="186">
        <f t="shared" ref="AJ78" ca="1" si="193">IFERROR(IF(Y78="Impacto",(U78-(+U78*AB78)),IF(Y78="Probabilidad",U78,"")),"")</f>
        <v>1</v>
      </c>
      <c r="AK78" s="189" t="str">
        <f t="shared" ref="AK78:AK85" ca="1" si="194">IFERROR(IF(OR(AND(AG78="Muy Baja",AI78="Leve"),AND(AG78="Muy Baja",AI78="Menor"),AND(AG78="Baja",AI78="Leve")),"Bajo",IF(OR(AND(AG78="Muy baja",AI78="Moderado"),AND(AG78="Baja",AI78="Menor"),AND(AG78="Baja",AI78="Moderado"),AND(AG78="Media",AI78="Leve"),AND(AG78="Media",AI78="Menor"),AND(AG78="Media",AI78="Moderado"),AND(AG78="Alta",AI78="Leve"),AND(AG78="Alta",AI78="Menor")),"Moderado",IF(OR(AND(AG78="Muy Baja",AI78="Mayor"),AND(AG78="Baja",AI78="Mayor"),AND(AG78="Media",AI78="Mayor"),AND(AG78="Alta",AI78="Moderado"),AND(AG78="Alta",AI78="Mayor"),AND(AG78="Muy Alta",AI78="Leve"),AND(AG78="Muy Alta",AI78="Menor"),AND(AG78="Muy Alta",AI78="Moderado"),AND(AG78="Muy Alta",AI78="Mayor")),"Alto",IF(OR(AND(AG78="Muy Baja",AI78="Catastrófico"),AND(AG78="Baja",AI78="Catastrófico"),AND(AG78="Media",AI78="Catastrófico"),AND(AG78="Alta",AI78="Catastrófico"),AND(AG78="Muy Alta",AI78="Catastrófico")),"Extremo","")))),"")</f>
        <v>Extremo</v>
      </c>
      <c r="AL78" s="185" t="s">
        <v>262</v>
      </c>
      <c r="AM78" s="246"/>
      <c r="AN78" s="250"/>
      <c r="AO78" s="245"/>
      <c r="AP78" s="245"/>
      <c r="AQ78" s="246"/>
      <c r="AR78" s="247"/>
    </row>
    <row r="79" spans="1:44" s="191" customFormat="1" ht="201.75" customHeight="1" thickTop="1" thickBot="1" x14ac:dyDescent="0.3">
      <c r="A79" s="310"/>
      <c r="B79" s="327"/>
      <c r="C79" s="315"/>
      <c r="D79" s="317"/>
      <c r="E79" s="315"/>
      <c r="F79" s="318"/>
      <c r="G79" s="318"/>
      <c r="H79" s="319"/>
      <c r="I79" s="320"/>
      <c r="J79" s="320"/>
      <c r="K79" s="320"/>
      <c r="L79" s="320"/>
      <c r="M79" s="331"/>
      <c r="N79" s="315"/>
      <c r="O79" s="321"/>
      <c r="P79" s="322"/>
      <c r="Q79" s="323"/>
      <c r="R79" s="323"/>
      <c r="S79" s="323">
        <f ca="1">IF(NOT(ISERROR(MATCH(R79,_xlfn.ANCHORARRAY(H83),0))),#REF!&amp;"Por favor no seleccionar los criterios de impacto",R79)</f>
        <v>0</v>
      </c>
      <c r="T79" s="322"/>
      <c r="U79" s="323"/>
      <c r="V79" s="309"/>
      <c r="W79" s="252">
        <v>2</v>
      </c>
      <c r="X79" s="207" t="s">
        <v>1005</v>
      </c>
      <c r="Y79" s="250" t="str">
        <f t="shared" si="188"/>
        <v>Probabilidad</v>
      </c>
      <c r="Z79" s="185" t="s">
        <v>208</v>
      </c>
      <c r="AA79" s="185" t="s">
        <v>216</v>
      </c>
      <c r="AB79" s="186" t="str">
        <f t="shared" si="168"/>
        <v>40%</v>
      </c>
      <c r="AC79" s="185" t="s">
        <v>219</v>
      </c>
      <c r="AD79" s="185" t="s">
        <v>224</v>
      </c>
      <c r="AE79" s="185" t="s">
        <v>228</v>
      </c>
      <c r="AF79" s="187">
        <f t="shared" ref="AF79" si="195">IFERROR(IF(AND(Y78="Probabilidad",Y79="Probabilidad"),(AH78-(+AH78*AB79)),IF(Y79="Probabilidad",(Q78-(+Q78*AB79)),IF(Y79="Impacto",AH78,""))),"")</f>
        <v>0.216</v>
      </c>
      <c r="AG79" s="188" t="str">
        <f t="shared" si="190"/>
        <v>Baja</v>
      </c>
      <c r="AH79" s="186">
        <f t="shared" si="191"/>
        <v>0.216</v>
      </c>
      <c r="AI79" s="188" t="str">
        <f t="shared" ca="1" si="192"/>
        <v>Catastrófico</v>
      </c>
      <c r="AJ79" s="186">
        <f t="shared" ref="AJ79" ca="1" si="196">IFERROR(IF(AND(Y78="Impacto",Y79="Impacto"),(AJ78-(+AJ78*AB79)),IF(Y79="Impacto",(U78-(+U78*AB79)),IF(Y79="Probabilidad",AJ78,""))),"")</f>
        <v>1</v>
      </c>
      <c r="AK79" s="189" t="str">
        <f t="shared" ca="1" si="194"/>
        <v>Extremo</v>
      </c>
      <c r="AL79" s="185" t="s">
        <v>262</v>
      </c>
      <c r="AM79" s="246"/>
      <c r="AN79" s="250"/>
      <c r="AO79" s="245"/>
      <c r="AP79" s="245"/>
      <c r="AQ79" s="246"/>
      <c r="AR79" s="247"/>
    </row>
    <row r="80" spans="1:44" s="191" customFormat="1" ht="381.75" customHeight="1" thickTop="1" thickBot="1" x14ac:dyDescent="0.3">
      <c r="A80" s="235">
        <v>27</v>
      </c>
      <c r="B80" s="248" t="s">
        <v>1190</v>
      </c>
      <c r="C80" s="236" t="s">
        <v>269</v>
      </c>
      <c r="D80" s="246" t="s">
        <v>1191</v>
      </c>
      <c r="E80" s="246" t="s">
        <v>240</v>
      </c>
      <c r="F80" s="254" t="s">
        <v>611</v>
      </c>
      <c r="G80" s="254" t="s">
        <v>612</v>
      </c>
      <c r="H80" s="255" t="s">
        <v>1161</v>
      </c>
      <c r="I80" s="242" t="s">
        <v>593</v>
      </c>
      <c r="J80" s="242" t="s">
        <v>593</v>
      </c>
      <c r="K80" s="242" t="s">
        <v>593</v>
      </c>
      <c r="L80" s="242" t="s">
        <v>593</v>
      </c>
      <c r="M80" s="259" t="s">
        <v>244</v>
      </c>
      <c r="N80" s="246"/>
      <c r="O80" s="250">
        <v>5001</v>
      </c>
      <c r="P80" s="251" t="str">
        <f t="shared" ref="P80" si="197">IF(O80&lt;=0,"",IF(O80&lt;=2,"Muy Baja",IF(O80&lt;=24,"Baja",IF(O80&lt;=500,"Media",IF(O80&lt;=5000,"Alta","Muy Alta")))))</f>
        <v>Muy Alta</v>
      </c>
      <c r="Q80" s="243">
        <f t="shared" ref="Q80" si="198">IF(P80="","",IF(P80="Muy Baja",0.2,IF(P80="Baja",0.4,IF(P80="Media",0.6,IF(P80="Alta",0.8,IF(P80="Muy Alta",1,))))))</f>
        <v>1</v>
      </c>
      <c r="R80" s="243" t="s">
        <v>195</v>
      </c>
      <c r="S80" s="243" t="str">
        <f ca="1">IF(NOT(ISERROR(MATCH(R80,'Tabla Impacto'!$B$221:$B$223,0))),'Tabla Impacto'!$F$223&amp;"Por favor no seleccionar los criterios de impacto(Afectación Económica o presupuestal y Pérdida Reputacional)",R80)</f>
        <v xml:space="preserve">Mayor a 500 SMLMV </v>
      </c>
      <c r="T80" s="251" t="str">
        <f ca="1">+IF(OR(S80='[1]Tabla Impacto'!$C$11,S80='[1]Tabla Impacto'!$D$11),"Leve",IF(OR(S80='[1]Tabla Impacto'!$C$12,S80='[1]Tabla Impacto'!$D$12),"Menor",IF(OR(S80='[1]Tabla Impacto'!$C$13,S80='[1]Tabla Impacto'!$D$13),"Moderado",IF(OR(S80='[1]Tabla Impacto'!$C$14,S80='[1]Tabla Impacto'!$D$14),"Mayor",IF(OR(S80='[1]Tabla Impacto'!$C$15,S80='[1]Tabla Impacto'!$D$15),"Catastrófico","")))))</f>
        <v>Catastrófico</v>
      </c>
      <c r="U80" s="243">
        <f t="shared" ref="U80" ca="1" si="199">IF(T80="","",IF(T80="Leve",0.2,IF(T80="Menor",0.4,IF(T80="Moderado",0.6,IF(T80="Mayor",0.8,IF(T80="Catastrófico",1,))))))</f>
        <v>1</v>
      </c>
      <c r="V80" s="252" t="str">
        <f t="shared" ref="V80" ca="1" si="200">IF(OR(AND(P80="Muy Baja",T80="Leve"),AND(P80="Muy Baja",T80="Menor"),AND(P80="Baja",T80="Leve")),"Bajo",IF(OR(AND(P80="Muy baja",T80="Moderado"),AND(P80="Baja",T80="Menor"),AND(P80="Baja",T80="Moderado"),AND(P80="Media",T80="Leve"),AND(P80="Media",T80="Menor"),AND(P80="Media",T80="Moderado"),AND(P80="Alta",T80="Leve"),AND(P80="Alta",T80="Menor")),"Moderado",IF(OR(AND(P80="Muy Baja",T80="Mayor"),AND(P80="Baja",T80="Mayor"),AND(P80="Media",T80="Mayor"),AND(P80="Alta",T80="Moderado"),AND(P80="Alta",T80="Mayor"),AND(P80="Muy Alta",T80="Leve"),AND(P80="Muy Alta",T80="Menor"),AND(P80="Muy Alta",T80="Moderado"),AND(P80="Muy Alta",T80="Mayor")),"Alto",IF(OR(AND(P80="Muy Baja",T80="Catastrófico"),AND(P80="Baja",T80="Catastrófico"),AND(P80="Media",T80="Catastrófico"),AND(P80="Alta",T80="Catastrófico"),AND(P80="Muy Alta",T80="Catastrófico")),"Extremo",""))))</f>
        <v>Extremo</v>
      </c>
      <c r="W80" s="252">
        <v>1</v>
      </c>
      <c r="X80" s="207" t="s">
        <v>1012</v>
      </c>
      <c r="Y80" s="250" t="str">
        <f>IF(OR(Z80="Preventivo",Z80="Detectivo"),"Probabilidad",IF(Z80="Correctivo","Impacto",""))</f>
        <v>Probabilidad</v>
      </c>
      <c r="Z80" s="185" t="s">
        <v>208</v>
      </c>
      <c r="AA80" s="185" t="s">
        <v>216</v>
      </c>
      <c r="AB80" s="186" t="str">
        <f>IF(AND(Z80="Preventivo",AA80="Automático"),"50%",IF(AND(Z80="Preventivo",AA80="Manual"),"40%",IF(AND(Z80="Detectivo",AA80="Automático"),"40%",IF(AND(Z80="Detectivo",AA80="Manual"),"30%",IF(AND(Z80="Correctivo",AA80="Automático"),"35%",IF(AND(Z80="Correctivo",AA80="Manual"),"25%",""))))))</f>
        <v>40%</v>
      </c>
      <c r="AC80" s="185" t="s">
        <v>219</v>
      </c>
      <c r="AD80" s="185" t="s">
        <v>224</v>
      </c>
      <c r="AE80" s="185" t="s">
        <v>228</v>
      </c>
      <c r="AF80" s="187">
        <f>IFERROR(IF(AND(Y87="Probabilidad",Y80="Probabilidad"),(AH87-(+AH87*AB80)),IF(Y80="Probabilidad",(Q87-(+Q87*AB80)),IF(Y80="Impacto",AH87,""))),"")</f>
        <v>0.36</v>
      </c>
      <c r="AG80" s="188" t="str">
        <f>IFERROR(IF(AF80="","",IF(AF80&lt;=0.2,"Muy Baja",IF(AF80&lt;=0.4,"Baja",IF(AF80&lt;=0.6,"Media",IF(AF80&lt;=0.8,"Alta","Muy Alta"))))),"")</f>
        <v>Baja</v>
      </c>
      <c r="AH80" s="186">
        <f>+AF80</f>
        <v>0.36</v>
      </c>
      <c r="AI80" s="188" t="str">
        <f ca="1">IFERROR(IF(AJ80="","",IF(AJ80&lt;=0.2,"Leve",IF(AJ80&lt;=0.4,"Menor",IF(AJ80&lt;=0.6,"Moderado",IF(AJ80&lt;=0.8,"Mayor","Catastrófico"))))),"")</f>
        <v>Moderado</v>
      </c>
      <c r="AJ80" s="186">
        <f ca="1">IFERROR(IF(AND(Y87="Impacto",Y80="Impacto"),(AJ87-(+AJ87*AB80)),IF(Y80="Impacto",(U87-(+U87*AB80)),IF(Y80="Probabilidad",AJ87,""))),"")</f>
        <v>0.6</v>
      </c>
      <c r="AK80" s="189" t="str">
        <f ca="1">IFERROR(IF(OR(AND(AG80="Muy Baja",AI80="Leve"),AND(AG80="Muy Baja",AI80="Menor"),AND(AG80="Baja",AI80="Leve")),"Bajo",IF(OR(AND(AG80="Muy baja",AI80="Moderado"),AND(AG80="Baja",AI80="Menor"),AND(AG80="Baja",AI80="Moderado"),AND(AG80="Media",AI80="Leve"),AND(AG80="Media",AI80="Menor"),AND(AG80="Media",AI80="Moderado"),AND(AG80="Alta",AI80="Leve"),AND(AG80="Alta",AI80="Menor")),"Moderado",IF(OR(AND(AG80="Muy Baja",AI80="Mayor"),AND(AG80="Baja",AI80="Mayor"),AND(AG80="Media",AI80="Mayor"),AND(AG80="Alta",AI80="Moderado"),AND(AG80="Alta",AI80="Mayor"),AND(AG80="Muy Alta",AI80="Leve"),AND(AG80="Muy Alta",AI80="Menor"),AND(AG80="Muy Alta",AI80="Moderado"),AND(AG80="Muy Alta",AI80="Mayor")),"Alto",IF(OR(AND(AG80="Muy Baja",AI80="Catastrófico"),AND(AG80="Baja",AI80="Catastrófico"),AND(AG80="Media",AI80="Catastrófico"),AND(AG80="Alta",AI80="Catastrófico"),AND(AG80="Muy Alta",AI80="Catastrófico")),"Extremo","")))),"")</f>
        <v>Moderado</v>
      </c>
      <c r="AL80" s="185" t="s">
        <v>262</v>
      </c>
      <c r="AM80" s="246"/>
      <c r="AN80" s="250"/>
      <c r="AO80" s="245"/>
      <c r="AP80" s="245"/>
      <c r="AQ80" s="246"/>
      <c r="AR80" s="247"/>
    </row>
    <row r="81" spans="1:44" s="191" customFormat="1" ht="214.5" customHeight="1" thickTop="1" thickBot="1" x14ac:dyDescent="0.3">
      <c r="A81" s="310">
        <v>28</v>
      </c>
      <c r="B81" s="327" t="s">
        <v>594</v>
      </c>
      <c r="C81" s="315" t="s">
        <v>271</v>
      </c>
      <c r="D81" s="315" t="s">
        <v>595</v>
      </c>
      <c r="E81" s="315" t="s">
        <v>240</v>
      </c>
      <c r="F81" s="332" t="s">
        <v>596</v>
      </c>
      <c r="G81" s="332" t="s">
        <v>597</v>
      </c>
      <c r="H81" s="333" t="s">
        <v>1159</v>
      </c>
      <c r="I81" s="320" t="s">
        <v>474</v>
      </c>
      <c r="J81" s="320" t="s">
        <v>474</v>
      </c>
      <c r="K81" s="320" t="s">
        <v>474</v>
      </c>
      <c r="L81" s="320" t="s">
        <v>474</v>
      </c>
      <c r="M81" s="315" t="s">
        <v>239</v>
      </c>
      <c r="N81" s="315"/>
      <c r="O81" s="321">
        <v>5001</v>
      </c>
      <c r="P81" s="322" t="str">
        <f t="shared" si="184"/>
        <v>Muy Alta</v>
      </c>
      <c r="Q81" s="323">
        <f t="shared" si="185"/>
        <v>1</v>
      </c>
      <c r="R81" s="323" t="s">
        <v>190</v>
      </c>
      <c r="S81" s="323" t="str">
        <f ca="1">IF(NOT(ISERROR(MATCH(R81,'Tabla Impacto'!$B$221:$B$223,0))),'Tabla Impacto'!$F$223&amp;"Por favor no seleccionar los criterios de impacto(Afectación Económica o presupuestal y Pérdida Reputacional)",R81)</f>
        <v>El riesgo afecta la imagen de la entidad con algunos usuarios de relevancia frente al logro de los objetivos</v>
      </c>
      <c r="T81" s="322" t="str">
        <f ca="1">+IF(OR(S81='[1]Tabla Impacto'!$C$11,S81='[1]Tabla Impacto'!$D$11),"Leve",IF(OR(S81='[1]Tabla Impacto'!$C$12,S81='[1]Tabla Impacto'!$D$12),"Menor",IF(OR(S81='[1]Tabla Impacto'!$C$13,S81='[1]Tabla Impacto'!$D$13),"Moderado",IF(OR(S81='[1]Tabla Impacto'!$C$14,S81='[1]Tabla Impacto'!$D$14),"Mayor",IF(OR(S81='[1]Tabla Impacto'!$C$15,S81='[1]Tabla Impacto'!$D$15),"Catastrófico","")))))</f>
        <v>Moderado</v>
      </c>
      <c r="U81" s="323">
        <f t="shared" ref="U81" ca="1" si="201">IF(T81="","",IF(T81="Leve",0.2,IF(T81="Menor",0.4,IF(T81="Moderado",0.6,IF(T81="Mayor",0.8,IF(T81="Catastrófico",1,))))))</f>
        <v>0.6</v>
      </c>
      <c r="V81" s="309" t="str">
        <f t="shared" ref="V81" ca="1" si="202">IF(OR(AND(P81="Muy Baja",T81="Leve"),AND(P81="Muy Baja",T81="Menor"),AND(P81="Baja",T81="Leve")),"Bajo",IF(OR(AND(P81="Muy baja",T81="Moderado"),AND(P81="Baja",T81="Menor"),AND(P81="Baja",T81="Moderado"),AND(P81="Media",T81="Leve"),AND(P81="Media",T81="Menor"),AND(P81="Media",T81="Moderado"),AND(P81="Alta",T81="Leve"),AND(P81="Alta",T81="Menor")),"Moderado",IF(OR(AND(P81="Muy Baja",T81="Mayor"),AND(P81="Baja",T81="Mayor"),AND(P81="Media",T81="Mayor"),AND(P81="Alta",T81="Moderado"),AND(P81="Alta",T81="Mayor"),AND(P81="Muy Alta",T81="Leve"),AND(P81="Muy Alta",T81="Menor"),AND(P81="Muy Alta",T81="Moderado"),AND(P81="Muy Alta",T81="Mayor")),"Alto",IF(OR(AND(P81="Muy Baja",T81="Catastrófico"),AND(P81="Baja",T81="Catastrófico"),AND(P81="Media",T81="Catastrófico"),AND(P81="Alta",T81="Catastrófico"),AND(P81="Muy Alta",T81="Catastrófico")),"Extremo",""))))</f>
        <v>Alto</v>
      </c>
      <c r="W81" s="252">
        <v>1</v>
      </c>
      <c r="X81" s="207" t="s">
        <v>1006</v>
      </c>
      <c r="Y81" s="250" t="str">
        <f t="shared" si="188"/>
        <v>Probabilidad</v>
      </c>
      <c r="Z81" s="185" t="s">
        <v>208</v>
      </c>
      <c r="AA81" s="185" t="s">
        <v>216</v>
      </c>
      <c r="AB81" s="186" t="str">
        <f t="shared" si="168"/>
        <v>40%</v>
      </c>
      <c r="AC81" s="185" t="s">
        <v>219</v>
      </c>
      <c r="AD81" s="185" t="s">
        <v>224</v>
      </c>
      <c r="AE81" s="185" t="s">
        <v>228</v>
      </c>
      <c r="AF81" s="187">
        <f t="shared" ref="AF81" si="203">IFERROR(IF(Y81="Probabilidad",(Q81-(+Q81*AB81)),IF(Y81="Impacto",Q81,"")),"")</f>
        <v>0.6</v>
      </c>
      <c r="AG81" s="188" t="str">
        <f t="shared" si="190"/>
        <v>Media</v>
      </c>
      <c r="AH81" s="186">
        <f t="shared" si="191"/>
        <v>0.6</v>
      </c>
      <c r="AI81" s="188" t="str">
        <f t="shared" ca="1" si="192"/>
        <v>Moderado</v>
      </c>
      <c r="AJ81" s="186">
        <f t="shared" ref="AJ81" ca="1" si="204">IFERROR(IF(Y81="Impacto",(U81-(+U81*AB81)),IF(Y81="Probabilidad",U81,"")),"")</f>
        <v>0.6</v>
      </c>
      <c r="AK81" s="189" t="str">
        <f t="shared" ca="1" si="194"/>
        <v>Moderado</v>
      </c>
      <c r="AL81" s="185" t="s">
        <v>255</v>
      </c>
      <c r="AM81" s="246"/>
      <c r="AN81" s="250"/>
      <c r="AO81" s="245"/>
      <c r="AP81" s="245"/>
      <c r="AQ81" s="246"/>
      <c r="AR81" s="247"/>
    </row>
    <row r="82" spans="1:44" s="191" customFormat="1" ht="214.5" customHeight="1" thickTop="1" thickBot="1" x14ac:dyDescent="0.3">
      <c r="A82" s="310"/>
      <c r="B82" s="327"/>
      <c r="C82" s="315"/>
      <c r="D82" s="315"/>
      <c r="E82" s="315"/>
      <c r="F82" s="332"/>
      <c r="G82" s="332"/>
      <c r="H82" s="333"/>
      <c r="I82" s="320"/>
      <c r="J82" s="320"/>
      <c r="K82" s="320"/>
      <c r="L82" s="320"/>
      <c r="M82" s="315"/>
      <c r="N82" s="315"/>
      <c r="O82" s="321"/>
      <c r="P82" s="322"/>
      <c r="Q82" s="323"/>
      <c r="R82" s="323"/>
      <c r="S82" s="323">
        <f ca="1">IF(NOT(ISERROR(MATCH(R82,_xlfn.ANCHORARRAY(H85),0))),#REF!&amp;"Por favor no seleccionar los criterios de impacto",R82)</f>
        <v>0</v>
      </c>
      <c r="T82" s="322"/>
      <c r="U82" s="323"/>
      <c r="V82" s="309"/>
      <c r="W82" s="252">
        <v>2</v>
      </c>
      <c r="X82" s="207" t="s">
        <v>1007</v>
      </c>
      <c r="Y82" s="250" t="str">
        <f t="shared" si="188"/>
        <v>Probabilidad</v>
      </c>
      <c r="Z82" s="185" t="s">
        <v>208</v>
      </c>
      <c r="AA82" s="185" t="s">
        <v>216</v>
      </c>
      <c r="AB82" s="186" t="str">
        <f t="shared" si="168"/>
        <v>40%</v>
      </c>
      <c r="AC82" s="185" t="s">
        <v>219</v>
      </c>
      <c r="AD82" s="185" t="s">
        <v>224</v>
      </c>
      <c r="AE82" s="185" t="s">
        <v>228</v>
      </c>
      <c r="AF82" s="187">
        <f t="shared" ref="AF82" si="205">IFERROR(IF(AND(Y81="Probabilidad",Y82="Probabilidad"),(AH81-(+AH81*AB82)),IF(Y82="Probabilidad",(Q81-(+Q81*AB82)),IF(Y82="Impacto",AH81,""))),"")</f>
        <v>0.36</v>
      </c>
      <c r="AG82" s="188" t="str">
        <f t="shared" si="190"/>
        <v>Baja</v>
      </c>
      <c r="AH82" s="186">
        <f t="shared" si="191"/>
        <v>0.36</v>
      </c>
      <c r="AI82" s="188" t="str">
        <f t="shared" ca="1" si="192"/>
        <v>Moderado</v>
      </c>
      <c r="AJ82" s="186">
        <f t="shared" ref="AJ82" ca="1" si="206">IFERROR(IF(AND(Y81="Impacto",Y82="Impacto"),(AJ81-(+AJ81*AB82)),IF(Y82="Impacto",(U81-(+U81*AB82)),IF(Y82="Probabilidad",AJ81,""))),"")</f>
        <v>0.6</v>
      </c>
      <c r="AK82" s="189" t="str">
        <f t="shared" ca="1" si="194"/>
        <v>Moderado</v>
      </c>
      <c r="AL82" s="185" t="s">
        <v>255</v>
      </c>
      <c r="AM82" s="246"/>
      <c r="AN82" s="250"/>
      <c r="AO82" s="245"/>
      <c r="AP82" s="245"/>
      <c r="AQ82" s="246"/>
      <c r="AR82" s="247"/>
    </row>
    <row r="83" spans="1:44" s="191" customFormat="1" ht="121.5" customHeight="1" thickTop="1" thickBot="1" x14ac:dyDescent="0.3">
      <c r="A83" s="310">
        <v>29</v>
      </c>
      <c r="B83" s="327" t="s">
        <v>598</v>
      </c>
      <c r="C83" s="315" t="s">
        <v>271</v>
      </c>
      <c r="D83" s="315" t="s">
        <v>595</v>
      </c>
      <c r="E83" s="315" t="s">
        <v>240</v>
      </c>
      <c r="F83" s="332" t="s">
        <v>599</v>
      </c>
      <c r="G83" s="332" t="s">
        <v>600</v>
      </c>
      <c r="H83" s="333" t="s">
        <v>1106</v>
      </c>
      <c r="I83" s="320" t="s">
        <v>474</v>
      </c>
      <c r="J83" s="320" t="s">
        <v>474</v>
      </c>
      <c r="K83" s="320" t="s">
        <v>474</v>
      </c>
      <c r="L83" s="320" t="s">
        <v>474</v>
      </c>
      <c r="M83" s="315" t="s">
        <v>239</v>
      </c>
      <c r="N83" s="315"/>
      <c r="O83" s="321">
        <v>5001</v>
      </c>
      <c r="P83" s="322" t="str">
        <f t="shared" si="184"/>
        <v>Muy Alta</v>
      </c>
      <c r="Q83" s="323">
        <f t="shared" si="185"/>
        <v>1</v>
      </c>
      <c r="R83" s="323" t="s">
        <v>190</v>
      </c>
      <c r="S83" s="323" t="str">
        <f ca="1">IF(NOT(ISERROR(MATCH(R83,'Tabla Impacto'!$B$221:$B$223,0))),'Tabla Impacto'!$F$223&amp;"Por favor no seleccionar los criterios de impacto(Afectación Económica o presupuestal y Pérdida Reputacional)",R83)</f>
        <v>El riesgo afecta la imagen de la entidad con algunos usuarios de relevancia frente al logro de los objetivos</v>
      </c>
      <c r="T83" s="322" t="str">
        <f ca="1">+IF(OR(S83='[1]Tabla Impacto'!$C$11,S83='[1]Tabla Impacto'!$D$11),"Leve",IF(OR(S83='[1]Tabla Impacto'!$C$12,S83='[1]Tabla Impacto'!$D$12),"Menor",IF(OR(S83='[1]Tabla Impacto'!$C$13,S83='[1]Tabla Impacto'!$D$13),"Moderado",IF(OR(S83='[1]Tabla Impacto'!$C$14,S83='[1]Tabla Impacto'!$D$14),"Mayor",IF(OR(S83='[1]Tabla Impacto'!$C$15,S83='[1]Tabla Impacto'!$D$15),"Catastrófico","")))))</f>
        <v>Moderado</v>
      </c>
      <c r="U83" s="323">
        <f t="shared" ref="U83" ca="1" si="207">IF(T83="","",IF(T83="Leve",0.2,IF(T83="Menor",0.4,IF(T83="Moderado",0.6,IF(T83="Mayor",0.8,IF(T83="Catastrófico",1,))))))</f>
        <v>0.6</v>
      </c>
      <c r="V83" s="309" t="str">
        <f t="shared" ref="V83" ca="1" si="208">IF(OR(AND(P83="Muy Baja",T83="Leve"),AND(P83="Muy Baja",T83="Menor"),AND(P83="Baja",T83="Leve")),"Bajo",IF(OR(AND(P83="Muy baja",T83="Moderado"),AND(P83="Baja",T83="Menor"),AND(P83="Baja",T83="Moderado"),AND(P83="Media",T83="Leve"),AND(P83="Media",T83="Menor"),AND(P83="Media",T83="Moderado"),AND(P83="Alta",T83="Leve"),AND(P83="Alta",T83="Menor")),"Moderado",IF(OR(AND(P83="Muy Baja",T83="Mayor"),AND(P83="Baja",T83="Mayor"),AND(P83="Media",T83="Mayor"),AND(P83="Alta",T83="Moderado"),AND(P83="Alta",T83="Mayor"),AND(P83="Muy Alta",T83="Leve"),AND(P83="Muy Alta",T83="Menor"),AND(P83="Muy Alta",T83="Moderado"),AND(P83="Muy Alta",T83="Mayor")),"Alto",IF(OR(AND(P83="Muy Baja",T83="Catastrófico"),AND(P83="Baja",T83="Catastrófico"),AND(P83="Media",T83="Catastrófico"),AND(P83="Alta",T83="Catastrófico"),AND(P83="Muy Alta",T83="Catastrófico")),"Extremo",""))))</f>
        <v>Alto</v>
      </c>
      <c r="W83" s="252">
        <v>1</v>
      </c>
      <c r="X83" s="207" t="s">
        <v>1008</v>
      </c>
      <c r="Y83" s="250" t="str">
        <f t="shared" si="188"/>
        <v>Probabilidad</v>
      </c>
      <c r="Z83" s="185" t="s">
        <v>208</v>
      </c>
      <c r="AA83" s="185" t="s">
        <v>216</v>
      </c>
      <c r="AB83" s="186" t="str">
        <f t="shared" si="168"/>
        <v>40%</v>
      </c>
      <c r="AC83" s="185" t="s">
        <v>219</v>
      </c>
      <c r="AD83" s="185" t="s">
        <v>224</v>
      </c>
      <c r="AE83" s="185" t="s">
        <v>228</v>
      </c>
      <c r="AF83" s="187">
        <f t="shared" ref="AF83" si="209">IFERROR(IF(Y83="Probabilidad",(Q83-(+Q83*AB83)),IF(Y83="Impacto",Q83,"")),"")</f>
        <v>0.6</v>
      </c>
      <c r="AG83" s="188" t="str">
        <f t="shared" si="190"/>
        <v>Media</v>
      </c>
      <c r="AH83" s="186">
        <f t="shared" si="191"/>
        <v>0.6</v>
      </c>
      <c r="AI83" s="188" t="str">
        <f t="shared" ca="1" si="192"/>
        <v>Moderado</v>
      </c>
      <c r="AJ83" s="186">
        <f t="shared" ref="AJ83" ca="1" si="210">IFERROR(IF(Y83="Impacto",(U83-(+U83*AB83)),IF(Y83="Probabilidad",U83,"")),"")</f>
        <v>0.6</v>
      </c>
      <c r="AK83" s="189" t="str">
        <f t="shared" ca="1" si="194"/>
        <v>Moderado</v>
      </c>
      <c r="AL83" s="185" t="s">
        <v>255</v>
      </c>
      <c r="AM83" s="246"/>
      <c r="AN83" s="250"/>
      <c r="AO83" s="245"/>
      <c r="AP83" s="245"/>
      <c r="AQ83" s="246"/>
      <c r="AR83" s="247"/>
    </row>
    <row r="84" spans="1:44" s="191" customFormat="1" ht="147.75" customHeight="1" thickTop="1" thickBot="1" x14ac:dyDescent="0.3">
      <c r="A84" s="310"/>
      <c r="B84" s="327"/>
      <c r="C84" s="315"/>
      <c r="D84" s="315"/>
      <c r="E84" s="315"/>
      <c r="F84" s="332"/>
      <c r="G84" s="332"/>
      <c r="H84" s="333"/>
      <c r="I84" s="320"/>
      <c r="J84" s="320"/>
      <c r="K84" s="320"/>
      <c r="L84" s="320"/>
      <c r="M84" s="315"/>
      <c r="N84" s="315"/>
      <c r="O84" s="321"/>
      <c r="P84" s="322"/>
      <c r="Q84" s="323"/>
      <c r="R84" s="323"/>
      <c r="S84" s="323">
        <f ca="1">IF(NOT(ISERROR(MATCH(R84,_xlfn.ANCHORARRAY(H86),0))),#REF!&amp;"Por favor no seleccionar los criterios de impacto",R84)</f>
        <v>0</v>
      </c>
      <c r="T84" s="322"/>
      <c r="U84" s="323"/>
      <c r="V84" s="309"/>
      <c r="W84" s="252">
        <v>2</v>
      </c>
      <c r="X84" s="207" t="s">
        <v>601</v>
      </c>
      <c r="Y84" s="250" t="str">
        <f t="shared" si="188"/>
        <v>Probabilidad</v>
      </c>
      <c r="Z84" s="185" t="s">
        <v>208</v>
      </c>
      <c r="AA84" s="185" t="s">
        <v>216</v>
      </c>
      <c r="AB84" s="186" t="str">
        <f t="shared" si="168"/>
        <v>40%</v>
      </c>
      <c r="AC84" s="185" t="s">
        <v>219</v>
      </c>
      <c r="AD84" s="185" t="s">
        <v>224</v>
      </c>
      <c r="AE84" s="185" t="s">
        <v>228</v>
      </c>
      <c r="AF84" s="187">
        <f t="shared" ref="AF84" si="211">IFERROR(IF(AND(Y83="Probabilidad",Y84="Probabilidad"),(AH83-(+AH83*AB84)),IF(Y84="Probabilidad",(Q83-(+Q83*AB84)),IF(Y84="Impacto",AH83,""))),"")</f>
        <v>0.36</v>
      </c>
      <c r="AG84" s="188" t="str">
        <f t="shared" si="190"/>
        <v>Baja</v>
      </c>
      <c r="AH84" s="186">
        <f t="shared" si="191"/>
        <v>0.36</v>
      </c>
      <c r="AI84" s="188" t="str">
        <f t="shared" ca="1" si="192"/>
        <v>Moderado</v>
      </c>
      <c r="AJ84" s="186">
        <f t="shared" ref="AJ84" ca="1" si="212">IFERROR(IF(AND(Y83="Impacto",Y84="Impacto"),(AJ83-(+AJ83*AB84)),IF(Y84="Impacto",(U83-(+U83*AB84)),IF(Y84="Probabilidad",AJ83,""))),"")</f>
        <v>0.6</v>
      </c>
      <c r="AK84" s="189" t="str">
        <f t="shared" ca="1" si="194"/>
        <v>Moderado</v>
      </c>
      <c r="AL84" s="185" t="s">
        <v>255</v>
      </c>
      <c r="AM84" s="246"/>
      <c r="AN84" s="250"/>
      <c r="AO84" s="245"/>
      <c r="AP84" s="245"/>
      <c r="AQ84" s="246"/>
      <c r="AR84" s="247"/>
    </row>
    <row r="85" spans="1:44" s="191" customFormat="1" ht="408.75" customHeight="1" thickTop="1" thickBot="1" x14ac:dyDescent="0.3">
      <c r="A85" s="244">
        <v>30</v>
      </c>
      <c r="B85" s="248" t="s">
        <v>602</v>
      </c>
      <c r="C85" s="246" t="s">
        <v>271</v>
      </c>
      <c r="D85" s="246" t="s">
        <v>603</v>
      </c>
      <c r="E85" s="246" t="s">
        <v>240</v>
      </c>
      <c r="F85" s="254" t="s">
        <v>604</v>
      </c>
      <c r="G85" s="255" t="s">
        <v>605</v>
      </c>
      <c r="H85" s="255" t="s">
        <v>1160</v>
      </c>
      <c r="I85" s="242" t="s">
        <v>474</v>
      </c>
      <c r="J85" s="242" t="s">
        <v>474</v>
      </c>
      <c r="K85" s="242" t="s">
        <v>474</v>
      </c>
      <c r="L85" s="242" t="s">
        <v>474</v>
      </c>
      <c r="M85" s="246" t="s">
        <v>239</v>
      </c>
      <c r="N85" s="246"/>
      <c r="O85" s="250">
        <v>5001</v>
      </c>
      <c r="P85" s="251" t="str">
        <f t="shared" si="184"/>
        <v>Muy Alta</v>
      </c>
      <c r="Q85" s="243">
        <f t="shared" si="185"/>
        <v>1</v>
      </c>
      <c r="R85" s="243" t="s">
        <v>190</v>
      </c>
      <c r="S85" s="243"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51"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43">
        <f t="shared" ref="U85" ca="1" si="213">IF(T85="","",IF(T85="Leve",0.2,IF(T85="Menor",0.4,IF(T85="Moderado",0.6,IF(T85="Mayor",0.8,IF(T85="Catastrófico",1,))))))</f>
        <v>0.6</v>
      </c>
      <c r="V85" s="252" t="str">
        <f t="shared" ref="V85" ca="1" si="214">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Alto</v>
      </c>
      <c r="W85" s="252">
        <v>1</v>
      </c>
      <c r="X85" s="207" t="s">
        <v>1009</v>
      </c>
      <c r="Y85" s="250" t="str">
        <f t="shared" si="188"/>
        <v>Probabilidad</v>
      </c>
      <c r="Z85" s="185" t="s">
        <v>208</v>
      </c>
      <c r="AA85" s="185" t="s">
        <v>216</v>
      </c>
      <c r="AB85" s="186" t="str">
        <f t="shared" si="168"/>
        <v>40%</v>
      </c>
      <c r="AC85" s="185" t="s">
        <v>219</v>
      </c>
      <c r="AD85" s="185" t="s">
        <v>224</v>
      </c>
      <c r="AE85" s="185" t="s">
        <v>228</v>
      </c>
      <c r="AF85" s="187">
        <f t="shared" ref="AF85" si="215">IFERROR(IF(Y85="Probabilidad",(Q85-(+Q85*AB85)),IF(Y85="Impacto",Q85,"")),"")</f>
        <v>0.6</v>
      </c>
      <c r="AG85" s="188" t="str">
        <f t="shared" si="190"/>
        <v>Media</v>
      </c>
      <c r="AH85" s="186">
        <f t="shared" si="191"/>
        <v>0.6</v>
      </c>
      <c r="AI85" s="188" t="str">
        <f t="shared" ca="1" si="192"/>
        <v>Moderado</v>
      </c>
      <c r="AJ85" s="186">
        <f t="shared" ref="AJ85" ca="1" si="216">IFERROR(IF(Y85="Impacto",(U85-(+U85*AB85)),IF(Y85="Probabilidad",U85,"")),"")</f>
        <v>0.6</v>
      </c>
      <c r="AK85" s="189" t="str">
        <f t="shared" ca="1" si="194"/>
        <v>Moderado</v>
      </c>
      <c r="AL85" s="185" t="s">
        <v>255</v>
      </c>
      <c r="AM85" s="246"/>
      <c r="AN85" s="250"/>
      <c r="AO85" s="245"/>
      <c r="AP85" s="245"/>
      <c r="AQ85" s="246"/>
      <c r="AR85" s="247"/>
    </row>
    <row r="86" spans="1:44" s="191" customFormat="1" ht="270" customHeight="1" thickTop="1" thickBot="1" x14ac:dyDescent="0.3">
      <c r="A86" s="244">
        <v>31</v>
      </c>
      <c r="B86" s="248" t="s">
        <v>606</v>
      </c>
      <c r="C86" s="246" t="s">
        <v>271</v>
      </c>
      <c r="D86" s="246" t="s">
        <v>607</v>
      </c>
      <c r="E86" s="246" t="s">
        <v>238</v>
      </c>
      <c r="F86" s="254" t="s">
        <v>608</v>
      </c>
      <c r="G86" s="254" t="s">
        <v>609</v>
      </c>
      <c r="H86" s="255" t="s">
        <v>1107</v>
      </c>
      <c r="I86" s="242" t="s">
        <v>474</v>
      </c>
      <c r="J86" s="242" t="s">
        <v>474</v>
      </c>
      <c r="K86" s="242" t="s">
        <v>474</v>
      </c>
      <c r="L86" s="242" t="s">
        <v>474</v>
      </c>
      <c r="M86" s="246" t="s">
        <v>239</v>
      </c>
      <c r="N86" s="246"/>
      <c r="O86" s="250">
        <v>5001</v>
      </c>
      <c r="P86" s="251" t="str">
        <f t="shared" ref="P86:P96" si="217">IF(O86&lt;=0,"",IF(O86&lt;=2,"Muy Baja",IF(O86&lt;=24,"Baja",IF(O86&lt;=500,"Media",IF(O86&lt;=5000,"Alta","Muy Alta")))))</f>
        <v>Muy Alta</v>
      </c>
      <c r="Q86" s="243">
        <f t="shared" ref="Q86:Q96" si="218">IF(P86="","",IF(P86="Muy Baja",0.2,IF(P86="Baja",0.4,IF(P86="Media",0.6,IF(P86="Alta",0.8,IF(P86="Muy Alta",1,))))))</f>
        <v>1</v>
      </c>
      <c r="R86" s="243" t="s">
        <v>190</v>
      </c>
      <c r="S86" s="243" t="str">
        <f ca="1">IF(NOT(ISERROR(MATCH(R86,'Tabla Impacto'!$B$221:$B$223,0))),'Tabla Impacto'!$F$223&amp;"Por favor no seleccionar los criterios de impacto(Afectación Económica o presupuestal y Pérdida Reputacional)",R86)</f>
        <v>El riesgo afecta la imagen de la entidad con algunos usuarios de relevancia frente al logro de los objetivos</v>
      </c>
      <c r="T86" s="251" t="str">
        <f ca="1">+IF(OR(S86='[1]Tabla Impacto'!$C$11,S86='[1]Tabla Impacto'!$D$11),"Leve",IF(OR(S86='[1]Tabla Impacto'!$C$12,S86='[1]Tabla Impacto'!$D$12),"Menor",IF(OR(S86='[1]Tabla Impacto'!$C$13,S86='[1]Tabla Impacto'!$D$13),"Moderado",IF(OR(S86='[1]Tabla Impacto'!$C$14,S86='[1]Tabla Impacto'!$D$14),"Mayor",IF(OR(S86='[1]Tabla Impacto'!$C$15,S86='[1]Tabla Impacto'!$D$15),"Catastrófico","")))))</f>
        <v>Moderado</v>
      </c>
      <c r="U86" s="243">
        <f t="shared" ref="U86" ca="1" si="219">IF(T86="","",IF(T86="Leve",0.2,IF(T86="Menor",0.4,IF(T86="Moderado",0.6,IF(T86="Mayor",0.8,IF(T86="Catastrófico",1,))))))</f>
        <v>0.6</v>
      </c>
      <c r="V86" s="252" t="str">
        <f t="shared" ref="V86" ca="1" si="220">IF(OR(AND(P86="Muy Baja",T86="Leve"),AND(P86="Muy Baja",T86="Menor"),AND(P86="Baja",T86="Leve")),"Bajo",IF(OR(AND(P86="Muy baja",T86="Moderado"),AND(P86="Baja",T86="Menor"),AND(P86="Baja",T86="Moderado"),AND(P86="Media",T86="Leve"),AND(P86="Media",T86="Menor"),AND(P86="Media",T86="Moderado"),AND(P86="Alta",T86="Leve"),AND(P86="Alta",T86="Menor")),"Moderado",IF(OR(AND(P86="Muy Baja",T86="Mayor"),AND(P86="Baja",T86="Mayor"),AND(P86="Media",T86="Mayor"),AND(P86="Alta",T86="Moderado"),AND(P86="Alta",T86="Mayor"),AND(P86="Muy Alta",T86="Leve"),AND(P86="Muy Alta",T86="Menor"),AND(P86="Muy Alta",T86="Moderado"),AND(P86="Muy Alta",T86="Mayor")),"Alto",IF(OR(AND(P86="Muy Baja",T86="Catastrófico"),AND(P86="Baja",T86="Catastrófico"),AND(P86="Media",T86="Catastrófico"),AND(P86="Alta",T86="Catastrófico"),AND(P86="Muy Alta",T86="Catastrófico")),"Extremo",""))))</f>
        <v>Alto</v>
      </c>
      <c r="W86" s="252">
        <v>1</v>
      </c>
      <c r="X86" s="207" t="s">
        <v>1010</v>
      </c>
      <c r="Y86" s="250" t="str">
        <f t="shared" ref="Y86:Y97" si="221">IF(OR(Z86="Preventivo",Z86="Detectivo"),"Probabilidad",IF(Z86="Correctivo","Impacto",""))</f>
        <v>Probabilidad</v>
      </c>
      <c r="Z86" s="185" t="s">
        <v>208</v>
      </c>
      <c r="AA86" s="185" t="s">
        <v>216</v>
      </c>
      <c r="AB86" s="186" t="str">
        <f t="shared" si="168"/>
        <v>40%</v>
      </c>
      <c r="AC86" s="185" t="s">
        <v>219</v>
      </c>
      <c r="AD86" s="185" t="s">
        <v>224</v>
      </c>
      <c r="AE86" s="185" t="s">
        <v>228</v>
      </c>
      <c r="AF86" s="187">
        <f t="shared" ref="AF86" si="222">IFERROR(IF(Y86="Probabilidad",(Q86-(+Q86*AB86)),IF(Y86="Impacto",Q86,"")),"")</f>
        <v>0.6</v>
      </c>
      <c r="AG86" s="188" t="str">
        <f t="shared" ref="AG86:AG97" si="223">IFERROR(IF(AF86="","",IF(AF86&lt;=0.2,"Muy Baja",IF(AF86&lt;=0.4,"Baja",IF(AF86&lt;=0.6,"Media",IF(AF86&lt;=0.8,"Alta","Muy Alta"))))),"")</f>
        <v>Media</v>
      </c>
      <c r="AH86" s="186">
        <f t="shared" ref="AH86:AH97" si="224">+AF86</f>
        <v>0.6</v>
      </c>
      <c r="AI86" s="188" t="str">
        <f t="shared" ref="AI86:AI97" ca="1" si="225">IFERROR(IF(AJ86="","",IF(AJ86&lt;=0.2,"Leve",IF(AJ86&lt;=0.4,"Menor",IF(AJ86&lt;=0.6,"Moderado",IF(AJ86&lt;=0.8,"Mayor","Catastrófico"))))),"")</f>
        <v>Moderado</v>
      </c>
      <c r="AJ86" s="186">
        <f t="shared" ref="AJ86" ca="1" si="226">IFERROR(IF(Y86="Impacto",(U86-(+U86*AB86)),IF(Y86="Probabilidad",U86,"")),"")</f>
        <v>0.6</v>
      </c>
      <c r="AK86" s="189" t="str">
        <f t="shared" ref="AK86:AK97" ca="1" si="227">IFERROR(IF(OR(AND(AG86="Muy Baja",AI86="Leve"),AND(AG86="Muy Baja",AI86="Menor"),AND(AG86="Baja",AI86="Leve")),"Bajo",IF(OR(AND(AG86="Muy baja",AI86="Moderado"),AND(AG86="Baja",AI86="Menor"),AND(AG86="Baja",AI86="Moderado"),AND(AG86="Media",AI86="Leve"),AND(AG86="Media",AI86="Menor"),AND(AG86="Media",AI86="Moderado"),AND(AG86="Alta",AI86="Leve"),AND(AG86="Alta",AI86="Menor")),"Moderado",IF(OR(AND(AG86="Muy Baja",AI86="Mayor"),AND(AG86="Baja",AI86="Mayor"),AND(AG86="Media",AI86="Mayor"),AND(AG86="Alta",AI86="Moderado"),AND(AG86="Alta",AI86="Mayor"),AND(AG86="Muy Alta",AI86="Leve"),AND(AG86="Muy Alta",AI86="Menor"),AND(AG86="Muy Alta",AI86="Moderado"),AND(AG86="Muy Alta",AI86="Mayor")),"Alto",IF(OR(AND(AG86="Muy Baja",AI86="Catastrófico"),AND(AG86="Baja",AI86="Catastrófico"),AND(AG86="Media",AI86="Catastrófico"),AND(AG86="Alta",AI86="Catastrófico"),AND(AG86="Muy Alta",AI86="Catastrófico")),"Extremo","")))),"")</f>
        <v>Moderado</v>
      </c>
      <c r="AL86" s="185" t="s">
        <v>255</v>
      </c>
      <c r="AM86" s="246"/>
      <c r="AN86" s="250"/>
      <c r="AO86" s="245"/>
      <c r="AP86" s="245"/>
      <c r="AQ86" s="246"/>
      <c r="AR86" s="247"/>
    </row>
    <row r="87" spans="1:44" s="191" customFormat="1" ht="385.5" customHeight="1" thickTop="1" thickBot="1" x14ac:dyDescent="0.3">
      <c r="A87" s="244">
        <v>32</v>
      </c>
      <c r="B87" s="248" t="s">
        <v>610</v>
      </c>
      <c r="C87" s="246" t="s">
        <v>271</v>
      </c>
      <c r="D87" s="246" t="s">
        <v>607</v>
      </c>
      <c r="E87" s="246" t="s">
        <v>240</v>
      </c>
      <c r="F87" s="254" t="s">
        <v>611</v>
      </c>
      <c r="G87" s="254" t="s">
        <v>612</v>
      </c>
      <c r="H87" s="255" t="s">
        <v>1161</v>
      </c>
      <c r="I87" s="242" t="s">
        <v>593</v>
      </c>
      <c r="J87" s="242" t="s">
        <v>593</v>
      </c>
      <c r="K87" s="242" t="s">
        <v>593</v>
      </c>
      <c r="L87" s="242" t="s">
        <v>593</v>
      </c>
      <c r="M87" s="259" t="s">
        <v>244</v>
      </c>
      <c r="N87" s="246"/>
      <c r="O87" s="250">
        <v>5001</v>
      </c>
      <c r="P87" s="251" t="str">
        <f t="shared" si="217"/>
        <v>Muy Alta</v>
      </c>
      <c r="Q87" s="243">
        <f t="shared" si="218"/>
        <v>1</v>
      </c>
      <c r="R87" s="243" t="s">
        <v>190</v>
      </c>
      <c r="S87" s="243" t="str">
        <f ca="1">IF(NOT(ISERROR(MATCH(R87,'Tabla Impacto'!$B$221:$B$223,0))),'Tabla Impacto'!$F$223&amp;"Por favor no seleccionar los criterios de impacto(Afectación Económica o presupuestal y Pérdida Reputacional)",R87)</f>
        <v>El riesgo afecta la imagen de la entidad con algunos usuarios de relevancia frente al logro de los objetivos</v>
      </c>
      <c r="T87" s="251" t="str">
        <f ca="1">+IF(OR(S87='[1]Tabla Impacto'!$C$11,S87='[1]Tabla Impacto'!$D$11),"Leve",IF(OR(S87='[1]Tabla Impacto'!$C$12,S87='[1]Tabla Impacto'!$D$12),"Menor",IF(OR(S87='[1]Tabla Impacto'!$C$13,S87='[1]Tabla Impacto'!$D$13),"Moderado",IF(OR(S87='[1]Tabla Impacto'!$C$14,S87='[1]Tabla Impacto'!$D$14),"Mayor",IF(OR(S87='[1]Tabla Impacto'!$C$15,S87='[1]Tabla Impacto'!$D$15),"Catastrófico","")))))</f>
        <v>Moderado</v>
      </c>
      <c r="U87" s="243">
        <f t="shared" ref="U87" ca="1" si="228">IF(T87="","",IF(T87="Leve",0.2,IF(T87="Menor",0.4,IF(T87="Moderado",0.6,IF(T87="Mayor",0.8,IF(T87="Catastrófico",1,))))))</f>
        <v>0.6</v>
      </c>
      <c r="V87" s="252" t="str">
        <f t="shared" ref="V87" ca="1" si="229">IF(OR(AND(P87="Muy Baja",T87="Leve"),AND(P87="Muy Baja",T87="Menor"),AND(P87="Baja",T87="Leve")),"Bajo",IF(OR(AND(P87="Muy baja",T87="Moderado"),AND(P87="Baja",T87="Menor"),AND(P87="Baja",T87="Moderado"),AND(P87="Media",T87="Leve"),AND(P87="Media",T87="Menor"),AND(P87="Media",T87="Moderado"),AND(P87="Alta",T87="Leve"),AND(P87="Alta",T87="Menor")),"Moderado",IF(OR(AND(P87="Muy Baja",T87="Mayor"),AND(P87="Baja",T87="Mayor"),AND(P87="Media",T87="Mayor"),AND(P87="Alta",T87="Moderado"),AND(P87="Alta",T87="Mayor"),AND(P87="Muy Alta",T87="Leve"),AND(P87="Muy Alta",T87="Menor"),AND(P87="Muy Alta",T87="Moderado"),AND(P87="Muy Alta",T87="Mayor")),"Alto",IF(OR(AND(P87="Muy Baja",T87="Catastrófico"),AND(P87="Baja",T87="Catastrófico"),AND(P87="Media",T87="Catastrófico"),AND(P87="Alta",T87="Catastrófico"),AND(P87="Muy Alta",T87="Catastrófico")),"Extremo",""))))</f>
        <v>Alto</v>
      </c>
      <c r="W87" s="252">
        <v>1</v>
      </c>
      <c r="X87" s="207" t="s">
        <v>1011</v>
      </c>
      <c r="Y87" s="250" t="str">
        <f t="shared" si="221"/>
        <v>Probabilidad</v>
      </c>
      <c r="Z87" s="185" t="s">
        <v>208</v>
      </c>
      <c r="AA87" s="185" t="s">
        <v>216</v>
      </c>
      <c r="AB87" s="186" t="str">
        <f t="shared" si="168"/>
        <v>40%</v>
      </c>
      <c r="AC87" s="185" t="s">
        <v>219</v>
      </c>
      <c r="AD87" s="185" t="s">
        <v>224</v>
      </c>
      <c r="AE87" s="185" t="s">
        <v>228</v>
      </c>
      <c r="AF87" s="187">
        <f t="shared" ref="AF87" si="230">IFERROR(IF(Y87="Probabilidad",(Q87-(+Q87*AB87)),IF(Y87="Impacto",Q87,"")),"")</f>
        <v>0.6</v>
      </c>
      <c r="AG87" s="188" t="str">
        <f t="shared" si="223"/>
        <v>Media</v>
      </c>
      <c r="AH87" s="186">
        <f t="shared" si="224"/>
        <v>0.6</v>
      </c>
      <c r="AI87" s="188" t="str">
        <f t="shared" ca="1" si="225"/>
        <v>Moderado</v>
      </c>
      <c r="AJ87" s="186">
        <f t="shared" ref="AJ87" ca="1" si="231">IFERROR(IF(Y87="Impacto",(U87-(+U87*AB87)),IF(Y87="Probabilidad",U87,"")),"")</f>
        <v>0.6</v>
      </c>
      <c r="AK87" s="189" t="str">
        <f t="shared" ca="1" si="227"/>
        <v>Moderado</v>
      </c>
      <c r="AL87" s="185" t="s">
        <v>262</v>
      </c>
      <c r="AM87" s="246"/>
      <c r="AN87" s="250"/>
      <c r="AO87" s="245"/>
      <c r="AP87" s="245"/>
      <c r="AQ87" s="246"/>
      <c r="AR87" s="247"/>
    </row>
    <row r="88" spans="1:44" s="191" customFormat="1" ht="235.5" customHeight="1" thickTop="1" thickBot="1" x14ac:dyDescent="0.3">
      <c r="A88" s="244">
        <v>33</v>
      </c>
      <c r="B88" s="248" t="s">
        <v>613</v>
      </c>
      <c r="C88" s="246" t="s">
        <v>271</v>
      </c>
      <c r="D88" s="246" t="s">
        <v>607</v>
      </c>
      <c r="E88" s="246" t="s">
        <v>240</v>
      </c>
      <c r="F88" s="254" t="s">
        <v>563</v>
      </c>
      <c r="G88" s="254" t="s">
        <v>614</v>
      </c>
      <c r="H88" s="255" t="s">
        <v>1108</v>
      </c>
      <c r="I88" s="242" t="s">
        <v>474</v>
      </c>
      <c r="J88" s="242" t="s">
        <v>474</v>
      </c>
      <c r="K88" s="242" t="s">
        <v>474</v>
      </c>
      <c r="L88" s="242" t="s">
        <v>474</v>
      </c>
      <c r="M88" s="246" t="s">
        <v>241</v>
      </c>
      <c r="N88" s="246"/>
      <c r="O88" s="250">
        <v>5001</v>
      </c>
      <c r="P88" s="251" t="str">
        <f t="shared" si="217"/>
        <v>Muy Alta</v>
      </c>
      <c r="Q88" s="243">
        <f t="shared" si="218"/>
        <v>1</v>
      </c>
      <c r="R88" s="243" t="s">
        <v>190</v>
      </c>
      <c r="S88" s="243" t="str">
        <f ca="1">IF(NOT(ISERROR(MATCH(R88,'Tabla Impacto'!$B$221:$B$223,0))),'Tabla Impacto'!$F$223&amp;"Por favor no seleccionar los criterios de impacto(Afectación Económica o presupuestal y Pérdida Reputacional)",R88)</f>
        <v>El riesgo afecta la imagen de la entidad con algunos usuarios de relevancia frente al logro de los objetivos</v>
      </c>
      <c r="T88" s="251" t="str">
        <f ca="1">+IF(OR(S88='[1]Tabla Impacto'!$C$11,S88='[1]Tabla Impacto'!$D$11),"Leve",IF(OR(S88='[1]Tabla Impacto'!$C$12,S88='[1]Tabla Impacto'!$D$12),"Menor",IF(OR(S88='[1]Tabla Impacto'!$C$13,S88='[1]Tabla Impacto'!$D$13),"Moderado",IF(OR(S88='[1]Tabla Impacto'!$C$14,S88='[1]Tabla Impacto'!$D$14),"Mayor",IF(OR(S88='[1]Tabla Impacto'!$C$15,S88='[1]Tabla Impacto'!$D$15),"Catastrófico","")))))</f>
        <v>Moderado</v>
      </c>
      <c r="U88" s="243">
        <f t="shared" ref="U88" ca="1" si="232">IF(T88="","",IF(T88="Leve",0.2,IF(T88="Menor",0.4,IF(T88="Moderado",0.6,IF(T88="Mayor",0.8,IF(T88="Catastrófico",1,))))))</f>
        <v>0.6</v>
      </c>
      <c r="V88" s="252" t="str">
        <f t="shared" ref="V88" ca="1" si="233">IF(OR(AND(P88="Muy Baja",T88="Leve"),AND(P88="Muy Baja",T88="Menor"),AND(P88="Baja",T88="Leve")),"Bajo",IF(OR(AND(P88="Muy baja",T88="Moderado"),AND(P88="Baja",T88="Menor"),AND(P88="Baja",T88="Moderado"),AND(P88="Media",T88="Leve"),AND(P88="Media",T88="Menor"),AND(P88="Media",T88="Moderado"),AND(P88="Alta",T88="Leve"),AND(P88="Alta",T88="Menor")),"Moderado",IF(OR(AND(P88="Muy Baja",T88="Mayor"),AND(P88="Baja",T88="Mayor"),AND(P88="Media",T88="Mayor"),AND(P88="Alta",T88="Moderado"),AND(P88="Alta",T88="Mayor"),AND(P88="Muy Alta",T88="Leve"),AND(P88="Muy Alta",T88="Menor"),AND(P88="Muy Alta",T88="Moderado"),AND(P88="Muy Alta",T88="Mayor")),"Alto",IF(OR(AND(P88="Muy Baja",T88="Catastrófico"),AND(P88="Baja",T88="Catastrófico"),AND(P88="Media",T88="Catastrófico"),AND(P88="Alta",T88="Catastrófico"),AND(P88="Muy Alta",T88="Catastrófico")),"Extremo",""))))</f>
        <v>Alto</v>
      </c>
      <c r="W88" s="252">
        <v>1</v>
      </c>
      <c r="X88" s="207" t="s">
        <v>1013</v>
      </c>
      <c r="Y88" s="250" t="str">
        <f t="shared" si="221"/>
        <v>Probabilidad</v>
      </c>
      <c r="Z88" s="185" t="s">
        <v>208</v>
      </c>
      <c r="AA88" s="185" t="s">
        <v>216</v>
      </c>
      <c r="AB88" s="186" t="str">
        <f t="shared" si="168"/>
        <v>40%</v>
      </c>
      <c r="AC88" s="185" t="s">
        <v>219</v>
      </c>
      <c r="AD88" s="185" t="s">
        <v>224</v>
      </c>
      <c r="AE88" s="185" t="s">
        <v>228</v>
      </c>
      <c r="AF88" s="187">
        <f t="shared" ref="AF88" si="234">IFERROR(IF(Y88="Probabilidad",(Q88-(+Q88*AB88)),IF(Y88="Impacto",Q88,"")),"")</f>
        <v>0.6</v>
      </c>
      <c r="AG88" s="188" t="str">
        <f t="shared" si="223"/>
        <v>Media</v>
      </c>
      <c r="AH88" s="186">
        <f t="shared" si="224"/>
        <v>0.6</v>
      </c>
      <c r="AI88" s="188" t="str">
        <f t="shared" ca="1" si="225"/>
        <v>Moderado</v>
      </c>
      <c r="AJ88" s="186">
        <f t="shared" ref="AJ88" ca="1" si="235">IFERROR(IF(Y88="Impacto",(U88-(+U88*AB88)),IF(Y88="Probabilidad",U88,"")),"")</f>
        <v>0.6</v>
      </c>
      <c r="AK88" s="189" t="str">
        <f t="shared" ca="1" si="227"/>
        <v>Moderado</v>
      </c>
      <c r="AL88" s="185" t="s">
        <v>255</v>
      </c>
      <c r="AM88" s="246"/>
      <c r="AN88" s="250"/>
      <c r="AO88" s="245"/>
      <c r="AP88" s="245"/>
      <c r="AQ88" s="246"/>
      <c r="AR88" s="247"/>
    </row>
    <row r="89" spans="1:44" s="191" customFormat="1" ht="293.25" customHeight="1" thickTop="1" thickBot="1" x14ac:dyDescent="0.3">
      <c r="A89" s="244">
        <v>34</v>
      </c>
      <c r="B89" s="248" t="s">
        <v>615</v>
      </c>
      <c r="C89" s="246" t="s">
        <v>272</v>
      </c>
      <c r="D89" s="256" t="s">
        <v>957</v>
      </c>
      <c r="E89" s="246" t="s">
        <v>238</v>
      </c>
      <c r="F89" s="254" t="s">
        <v>616</v>
      </c>
      <c r="G89" s="254" t="s">
        <v>617</v>
      </c>
      <c r="H89" s="255" t="s">
        <v>1109</v>
      </c>
      <c r="I89" s="242" t="s">
        <v>474</v>
      </c>
      <c r="J89" s="242" t="s">
        <v>474</v>
      </c>
      <c r="K89" s="242" t="s">
        <v>474</v>
      </c>
      <c r="L89" s="242" t="s">
        <v>474</v>
      </c>
      <c r="M89" s="246" t="s">
        <v>239</v>
      </c>
      <c r="N89" s="246"/>
      <c r="O89" s="250">
        <v>365</v>
      </c>
      <c r="P89" s="251" t="str">
        <f t="shared" si="217"/>
        <v>Media</v>
      </c>
      <c r="Q89" s="243">
        <f t="shared" si="218"/>
        <v>0.6</v>
      </c>
      <c r="R89" s="243" t="s">
        <v>187</v>
      </c>
      <c r="S89" s="243" t="str">
        <f ca="1">IF(NOT(ISERROR(MATCH(R89,'Tabla Impacto'!$B$221:$B$223,0))),'Tabla Impacto'!$F$223&amp;"Por favor no seleccionar los criterios de impacto(Afectación Económica o presupuestal y Pérdida Reputacional)",R89)</f>
        <v>El riesgo afecta la imagen de la entidad internamente, de conocimiento general, nivel interno, de junta dircetiva y accionistas y/o de provedores</v>
      </c>
      <c r="T89" s="251" t="str">
        <f ca="1">+IF(OR(S89='[1]Tabla Impacto'!$C$11,S89='[1]Tabla Impacto'!$D$11),"Leve",IF(OR(S89='[1]Tabla Impacto'!$C$12,S89='[1]Tabla Impacto'!$D$12),"Menor",IF(OR(S89='[1]Tabla Impacto'!$C$13,S89='[1]Tabla Impacto'!$D$13),"Moderado",IF(OR(S89='[1]Tabla Impacto'!$C$14,S89='[1]Tabla Impacto'!$D$14),"Mayor",IF(OR(S89='[1]Tabla Impacto'!$C$15,S89='[1]Tabla Impacto'!$D$15),"Catastrófico","")))))</f>
        <v>Menor</v>
      </c>
      <c r="U89" s="243">
        <f t="shared" ref="U89" ca="1" si="236">IF(T89="","",IF(T89="Leve",0.2,IF(T89="Menor",0.4,IF(T89="Moderado",0.6,IF(T89="Mayor",0.8,IF(T89="Catastrófico",1,))))))</f>
        <v>0.4</v>
      </c>
      <c r="V89" s="252" t="str">
        <f t="shared" ref="V89" ca="1" si="237">IF(OR(AND(P89="Muy Baja",T89="Leve"),AND(P89="Muy Baja",T89="Menor"),AND(P89="Baja",T89="Leve")),"Bajo",IF(OR(AND(P89="Muy baja",T89="Moderado"),AND(P89="Baja",T89="Menor"),AND(P89="Baja",T89="Moderado"),AND(P89="Media",T89="Leve"),AND(P89="Media",T89="Menor"),AND(P89="Media",T89="Moderado"),AND(P89="Alta",T89="Leve"),AND(P89="Alta",T89="Menor")),"Moderado",IF(OR(AND(P89="Muy Baja",T89="Mayor"),AND(P89="Baja",T89="Mayor"),AND(P89="Media",T89="Mayor"),AND(P89="Alta",T89="Moderado"),AND(P89="Alta",T89="Mayor"),AND(P89="Muy Alta",T89="Leve"),AND(P89="Muy Alta",T89="Menor"),AND(P89="Muy Alta",T89="Moderado"),AND(P89="Muy Alta",T89="Mayor")),"Alto",IF(OR(AND(P89="Muy Baja",T89="Catastrófico"),AND(P89="Baja",T89="Catastrófico"),AND(P89="Media",T89="Catastrófico"),AND(P89="Alta",T89="Catastrófico"),AND(P89="Muy Alta",T89="Catastrófico")),"Extremo",""))))</f>
        <v>Moderado</v>
      </c>
      <c r="W89" s="252">
        <v>1</v>
      </c>
      <c r="X89" s="207" t="s">
        <v>618</v>
      </c>
      <c r="Y89" s="250" t="str">
        <f t="shared" si="221"/>
        <v>Probabilidad</v>
      </c>
      <c r="Z89" s="185" t="s">
        <v>208</v>
      </c>
      <c r="AA89" s="185" t="s">
        <v>216</v>
      </c>
      <c r="AB89" s="186" t="str">
        <f t="shared" si="168"/>
        <v>40%</v>
      </c>
      <c r="AC89" s="185" t="s">
        <v>219</v>
      </c>
      <c r="AD89" s="185" t="s">
        <v>224</v>
      </c>
      <c r="AE89" s="185" t="s">
        <v>228</v>
      </c>
      <c r="AF89" s="187">
        <f t="shared" ref="AF89" si="238">IFERROR(IF(Y89="Probabilidad",(Q89-(+Q89*AB89)),IF(Y89="Impacto",Q89,"")),"")</f>
        <v>0.36</v>
      </c>
      <c r="AG89" s="188" t="str">
        <f t="shared" si="223"/>
        <v>Baja</v>
      </c>
      <c r="AH89" s="186">
        <f t="shared" si="224"/>
        <v>0.36</v>
      </c>
      <c r="AI89" s="188" t="str">
        <f t="shared" ca="1" si="225"/>
        <v>Menor</v>
      </c>
      <c r="AJ89" s="186">
        <f t="shared" ref="AJ89" ca="1" si="239">IFERROR(IF(Y89="Impacto",(U89-(+U89*AB89)),IF(Y89="Probabilidad",U89,"")),"")</f>
        <v>0.4</v>
      </c>
      <c r="AK89" s="189" t="str">
        <f t="shared" ca="1" si="227"/>
        <v>Moderado</v>
      </c>
      <c r="AL89" s="185" t="s">
        <v>255</v>
      </c>
      <c r="AM89" s="246"/>
      <c r="AN89" s="250"/>
      <c r="AO89" s="245"/>
      <c r="AP89" s="245"/>
      <c r="AQ89" s="246"/>
      <c r="AR89" s="247"/>
    </row>
    <row r="90" spans="1:44" s="191" customFormat="1" ht="226.5" customHeight="1" thickTop="1" thickBot="1" x14ac:dyDescent="0.3">
      <c r="A90" s="244">
        <v>35</v>
      </c>
      <c r="B90" s="248" t="s">
        <v>619</v>
      </c>
      <c r="C90" s="246" t="s">
        <v>272</v>
      </c>
      <c r="D90" s="256" t="s">
        <v>620</v>
      </c>
      <c r="E90" s="246" t="s">
        <v>238</v>
      </c>
      <c r="F90" s="254" t="s">
        <v>621</v>
      </c>
      <c r="G90" s="254" t="s">
        <v>622</v>
      </c>
      <c r="H90" s="255" t="s">
        <v>1110</v>
      </c>
      <c r="I90" s="242" t="s">
        <v>474</v>
      </c>
      <c r="J90" s="242" t="s">
        <v>474</v>
      </c>
      <c r="K90" s="242" t="s">
        <v>474</v>
      </c>
      <c r="L90" s="242" t="s">
        <v>474</v>
      </c>
      <c r="M90" s="246" t="s">
        <v>239</v>
      </c>
      <c r="N90" s="246"/>
      <c r="O90" s="250">
        <v>365</v>
      </c>
      <c r="P90" s="251" t="str">
        <f t="shared" si="217"/>
        <v>Media</v>
      </c>
      <c r="Q90" s="243">
        <f t="shared" si="218"/>
        <v>0.6</v>
      </c>
      <c r="R90" s="243" t="s">
        <v>187</v>
      </c>
      <c r="S90" s="243" t="str">
        <f ca="1">IF(NOT(ISERROR(MATCH(R90,'Tabla Impacto'!$B$221:$B$223,0))),'Tabla Impacto'!$F$223&amp;"Por favor no seleccionar los criterios de impacto(Afectación Económica o presupuestal y Pérdida Reputacional)",R90)</f>
        <v>El riesgo afecta la imagen de la entidad internamente, de conocimiento general, nivel interno, de junta dircetiva y accionistas y/o de provedores</v>
      </c>
      <c r="T90" s="251" t="str">
        <f ca="1">+IF(OR(S90='[1]Tabla Impacto'!$C$11,S90='[1]Tabla Impacto'!$D$11),"Leve",IF(OR(S90='[1]Tabla Impacto'!$C$12,S90='[1]Tabla Impacto'!$D$12),"Menor",IF(OR(S90='[1]Tabla Impacto'!$C$13,S90='[1]Tabla Impacto'!$D$13),"Moderado",IF(OR(S90='[1]Tabla Impacto'!$C$14,S90='[1]Tabla Impacto'!$D$14),"Mayor",IF(OR(S90='[1]Tabla Impacto'!$C$15,S90='[1]Tabla Impacto'!$D$15),"Catastrófico","")))))</f>
        <v>Menor</v>
      </c>
      <c r="U90" s="243">
        <f t="shared" ref="U90" ca="1" si="240">IF(T90="","",IF(T90="Leve",0.2,IF(T90="Menor",0.4,IF(T90="Moderado",0.6,IF(T90="Mayor",0.8,IF(T90="Catastrófico",1,))))))</f>
        <v>0.4</v>
      </c>
      <c r="V90" s="252" t="str">
        <f t="shared" ref="V90" ca="1" si="241">IF(OR(AND(P90="Muy Baja",T90="Leve"),AND(P90="Muy Baja",T90="Menor"),AND(P90="Baja",T90="Leve")),"Bajo",IF(OR(AND(P90="Muy baja",T90="Moderado"),AND(P90="Baja",T90="Menor"),AND(P90="Baja",T90="Moderado"),AND(P90="Media",T90="Leve"),AND(P90="Media",T90="Menor"),AND(P90="Media",T90="Moderado"),AND(P90="Alta",T90="Leve"),AND(P90="Alta",T90="Menor")),"Moderado",IF(OR(AND(P90="Muy Baja",T90="Mayor"),AND(P90="Baja",T90="Mayor"),AND(P90="Media",T90="Mayor"),AND(P90="Alta",T90="Moderado"),AND(P90="Alta",T90="Mayor"),AND(P90="Muy Alta",T90="Leve"),AND(P90="Muy Alta",T90="Menor"),AND(P90="Muy Alta",T90="Moderado"),AND(P90="Muy Alta",T90="Mayor")),"Alto",IF(OR(AND(P90="Muy Baja",T90="Catastrófico"),AND(P90="Baja",T90="Catastrófico"),AND(P90="Media",T90="Catastrófico"),AND(P90="Alta",T90="Catastrófico"),AND(P90="Muy Alta",T90="Catastrófico")),"Extremo",""))))</f>
        <v>Moderado</v>
      </c>
      <c r="W90" s="252">
        <v>1</v>
      </c>
      <c r="X90" s="207" t="s">
        <v>623</v>
      </c>
      <c r="Y90" s="250" t="str">
        <f t="shared" si="221"/>
        <v>Probabilidad</v>
      </c>
      <c r="Z90" s="185" t="s">
        <v>208</v>
      </c>
      <c r="AA90" s="185" t="s">
        <v>216</v>
      </c>
      <c r="AB90" s="186" t="str">
        <f t="shared" ref="AB90:AB110" si="242">IF(AND(Z90="Preventivo",AA90="Automático"),"50%",IF(AND(Z90="Preventivo",AA90="Manual"),"40%",IF(AND(Z90="Detectivo",AA90="Automático"),"40%",IF(AND(Z90="Detectivo",AA90="Manual"),"30%",IF(AND(Z90="Correctivo",AA90="Automático"),"35%",IF(AND(Z90="Correctivo",AA90="Manual"),"25%",""))))))</f>
        <v>40%</v>
      </c>
      <c r="AC90" s="185" t="s">
        <v>219</v>
      </c>
      <c r="AD90" s="185" t="s">
        <v>224</v>
      </c>
      <c r="AE90" s="185" t="s">
        <v>228</v>
      </c>
      <c r="AF90" s="187">
        <f t="shared" ref="AF90" si="243">IFERROR(IF(Y90="Probabilidad",(Q90-(+Q90*AB90)),IF(Y90="Impacto",Q90,"")),"")</f>
        <v>0.36</v>
      </c>
      <c r="AG90" s="188" t="str">
        <f t="shared" si="223"/>
        <v>Baja</v>
      </c>
      <c r="AH90" s="186">
        <f t="shared" si="224"/>
        <v>0.36</v>
      </c>
      <c r="AI90" s="188" t="str">
        <f t="shared" ca="1" si="225"/>
        <v>Menor</v>
      </c>
      <c r="AJ90" s="186">
        <f t="shared" ref="AJ90" ca="1" si="244">IFERROR(IF(Y90="Impacto",(U90-(+U90*AB90)),IF(Y90="Probabilidad",U90,"")),"")</f>
        <v>0.4</v>
      </c>
      <c r="AK90" s="189" t="str">
        <f t="shared" ca="1" si="227"/>
        <v>Moderado</v>
      </c>
      <c r="AL90" s="185" t="s">
        <v>255</v>
      </c>
      <c r="AM90" s="246"/>
      <c r="AN90" s="250"/>
      <c r="AO90" s="245"/>
      <c r="AP90" s="245"/>
      <c r="AQ90" s="246"/>
      <c r="AR90" s="247"/>
    </row>
    <row r="91" spans="1:44" s="191" customFormat="1" ht="156" customHeight="1" thickTop="1" thickBot="1" x14ac:dyDescent="0.3">
      <c r="A91" s="310">
        <v>36</v>
      </c>
      <c r="B91" s="327" t="s">
        <v>624</v>
      </c>
      <c r="C91" s="315" t="s">
        <v>272</v>
      </c>
      <c r="D91" s="317" t="s">
        <v>625</v>
      </c>
      <c r="E91" s="315" t="s">
        <v>240</v>
      </c>
      <c r="F91" s="332" t="s">
        <v>626</v>
      </c>
      <c r="G91" s="332" t="s">
        <v>627</v>
      </c>
      <c r="H91" s="333" t="s">
        <v>1111</v>
      </c>
      <c r="I91" s="320" t="s">
        <v>474</v>
      </c>
      <c r="J91" s="320" t="s">
        <v>474</v>
      </c>
      <c r="K91" s="320" t="s">
        <v>474</v>
      </c>
      <c r="L91" s="320" t="s">
        <v>474</v>
      </c>
      <c r="M91" s="315" t="s">
        <v>239</v>
      </c>
      <c r="N91" s="315"/>
      <c r="O91" s="321">
        <v>6000</v>
      </c>
      <c r="P91" s="322" t="str">
        <f t="shared" si="217"/>
        <v>Muy Alta</v>
      </c>
      <c r="Q91" s="323">
        <f t="shared" si="218"/>
        <v>1</v>
      </c>
      <c r="R91" s="323" t="s">
        <v>190</v>
      </c>
      <c r="S91" s="323"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322"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323">
        <f t="shared" ref="U91" ca="1" si="245">IF(T91="","",IF(T91="Leve",0.2,IF(T91="Menor",0.4,IF(T91="Moderado",0.6,IF(T91="Mayor",0.8,IF(T91="Catastrófico",1,))))))</f>
        <v>0.6</v>
      </c>
      <c r="V91" s="309" t="str">
        <f t="shared" ref="V91" ca="1" si="246">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252">
        <v>1</v>
      </c>
      <c r="X91" s="207" t="s">
        <v>628</v>
      </c>
      <c r="Y91" s="250" t="str">
        <f t="shared" si="221"/>
        <v>Probabilidad</v>
      </c>
      <c r="Z91" s="185" t="s">
        <v>208</v>
      </c>
      <c r="AA91" s="185" t="s">
        <v>216</v>
      </c>
      <c r="AB91" s="186" t="str">
        <f t="shared" si="242"/>
        <v>40%</v>
      </c>
      <c r="AC91" s="185" t="s">
        <v>219</v>
      </c>
      <c r="AD91" s="185" t="s">
        <v>224</v>
      </c>
      <c r="AE91" s="185" t="s">
        <v>228</v>
      </c>
      <c r="AF91" s="187">
        <f t="shared" ref="AF91" si="247">IFERROR(IF(Y91="Probabilidad",(Q91-(+Q91*AB91)),IF(Y91="Impacto",Q91,"")),"")</f>
        <v>0.6</v>
      </c>
      <c r="AG91" s="188" t="str">
        <f t="shared" si="223"/>
        <v>Media</v>
      </c>
      <c r="AH91" s="186">
        <f t="shared" si="224"/>
        <v>0.6</v>
      </c>
      <c r="AI91" s="188" t="str">
        <f t="shared" ca="1" si="225"/>
        <v>Moderado</v>
      </c>
      <c r="AJ91" s="186">
        <f t="shared" ref="AJ91" ca="1" si="248">IFERROR(IF(Y91="Impacto",(U91-(+U91*AB91)),IF(Y91="Probabilidad",U91,"")),"")</f>
        <v>0.6</v>
      </c>
      <c r="AK91" s="189" t="str">
        <f t="shared" ca="1" si="227"/>
        <v>Moderado</v>
      </c>
      <c r="AL91" s="185" t="s">
        <v>255</v>
      </c>
      <c r="AM91" s="246"/>
      <c r="AN91" s="250"/>
      <c r="AO91" s="245"/>
      <c r="AP91" s="245"/>
      <c r="AQ91" s="246"/>
      <c r="AR91" s="247"/>
    </row>
    <row r="92" spans="1:44" s="191" customFormat="1" ht="156" customHeight="1" thickTop="1" thickBot="1" x14ac:dyDescent="0.3">
      <c r="A92" s="310"/>
      <c r="B92" s="327"/>
      <c r="C92" s="315"/>
      <c r="D92" s="317"/>
      <c r="E92" s="315"/>
      <c r="F92" s="332"/>
      <c r="G92" s="332"/>
      <c r="H92" s="333"/>
      <c r="I92" s="320"/>
      <c r="J92" s="320"/>
      <c r="K92" s="320"/>
      <c r="L92" s="320"/>
      <c r="M92" s="315"/>
      <c r="N92" s="315"/>
      <c r="O92" s="321"/>
      <c r="P92" s="322"/>
      <c r="Q92" s="323"/>
      <c r="R92" s="323"/>
      <c r="S92" s="323">
        <f ca="1">IF(NOT(ISERROR(MATCH(R92,_xlfn.ANCHORARRAY(H95),0))),#REF!&amp;"Por favor no seleccionar los criterios de impacto",R92)</f>
        <v>0</v>
      </c>
      <c r="T92" s="322"/>
      <c r="U92" s="323"/>
      <c r="V92" s="309"/>
      <c r="W92" s="252">
        <v>2</v>
      </c>
      <c r="X92" s="207" t="s">
        <v>629</v>
      </c>
      <c r="Y92" s="250" t="str">
        <f t="shared" si="221"/>
        <v>Probabilidad</v>
      </c>
      <c r="Z92" s="185" t="s">
        <v>208</v>
      </c>
      <c r="AA92" s="185" t="s">
        <v>216</v>
      </c>
      <c r="AB92" s="186" t="str">
        <f t="shared" si="242"/>
        <v>40%</v>
      </c>
      <c r="AC92" s="185" t="s">
        <v>219</v>
      </c>
      <c r="AD92" s="185" t="s">
        <v>224</v>
      </c>
      <c r="AE92" s="185" t="s">
        <v>228</v>
      </c>
      <c r="AF92" s="187">
        <f t="shared" ref="AF92" si="249">IFERROR(IF(AND(Y91="Probabilidad",Y92="Probabilidad"),(AH91-(+AH91*AB92)),IF(Y92="Probabilidad",(Q91-(+Q91*AB92)),IF(Y92="Impacto",AH91,""))),"")</f>
        <v>0.36</v>
      </c>
      <c r="AG92" s="188" t="str">
        <f t="shared" si="223"/>
        <v>Baja</v>
      </c>
      <c r="AH92" s="186">
        <f t="shared" si="224"/>
        <v>0.36</v>
      </c>
      <c r="AI92" s="188" t="str">
        <f t="shared" ca="1" si="225"/>
        <v>Moderado</v>
      </c>
      <c r="AJ92" s="186">
        <f t="shared" ref="AJ92" ca="1" si="250">IFERROR(IF(AND(Y91="Impacto",Y92="Impacto"),(AJ91-(+AJ91*AB92)),IF(Y92="Impacto",(U91-(+U91*AB92)),IF(Y92="Probabilidad",AJ91,""))),"")</f>
        <v>0.6</v>
      </c>
      <c r="AK92" s="189" t="str">
        <f t="shared" ca="1" si="227"/>
        <v>Moderado</v>
      </c>
      <c r="AL92" s="185" t="s">
        <v>255</v>
      </c>
      <c r="AM92" s="246"/>
      <c r="AN92" s="250"/>
      <c r="AO92" s="245"/>
      <c r="AP92" s="245"/>
      <c r="AQ92" s="246"/>
      <c r="AR92" s="247"/>
    </row>
    <row r="93" spans="1:44" s="191" customFormat="1" ht="252.75" customHeight="1" thickTop="1" thickBot="1" x14ac:dyDescent="0.3">
      <c r="A93" s="310">
        <v>37</v>
      </c>
      <c r="B93" s="327" t="s">
        <v>630</v>
      </c>
      <c r="C93" s="315" t="s">
        <v>272</v>
      </c>
      <c r="D93" s="317" t="s">
        <v>631</v>
      </c>
      <c r="E93" s="315" t="s">
        <v>240</v>
      </c>
      <c r="F93" s="332" t="s">
        <v>632</v>
      </c>
      <c r="G93" s="332" t="s">
        <v>633</v>
      </c>
      <c r="H93" s="333" t="s">
        <v>1112</v>
      </c>
      <c r="I93" s="320" t="s">
        <v>474</v>
      </c>
      <c r="J93" s="320" t="s">
        <v>474</v>
      </c>
      <c r="K93" s="320" t="s">
        <v>474</v>
      </c>
      <c r="L93" s="320" t="s">
        <v>474</v>
      </c>
      <c r="M93" s="315" t="s">
        <v>239</v>
      </c>
      <c r="N93" s="315"/>
      <c r="O93" s="321">
        <v>5001</v>
      </c>
      <c r="P93" s="322" t="str">
        <f t="shared" si="217"/>
        <v>Muy Alta</v>
      </c>
      <c r="Q93" s="323">
        <f t="shared" si="218"/>
        <v>1</v>
      </c>
      <c r="R93" s="323" t="s">
        <v>190</v>
      </c>
      <c r="S93" s="323" t="str">
        <f ca="1">IF(NOT(ISERROR(MATCH(R93,'Tabla Impacto'!$B$221:$B$223,0))),'Tabla Impacto'!$F$223&amp;"Por favor no seleccionar los criterios de impacto(Afectación Económica o presupuestal y Pérdida Reputacional)",R93)</f>
        <v>El riesgo afecta la imagen de la entidad con algunos usuarios de relevancia frente al logro de los objetivos</v>
      </c>
      <c r="T93" s="322" t="str">
        <f ca="1">+IF(OR(S93='[1]Tabla Impacto'!$C$11,S93='[1]Tabla Impacto'!$D$11),"Leve",IF(OR(S93='[1]Tabla Impacto'!$C$12,S93='[1]Tabla Impacto'!$D$12),"Menor",IF(OR(S93='[1]Tabla Impacto'!$C$13,S93='[1]Tabla Impacto'!$D$13),"Moderado",IF(OR(S93='[1]Tabla Impacto'!$C$14,S93='[1]Tabla Impacto'!$D$14),"Mayor",IF(OR(S93='[1]Tabla Impacto'!$C$15,S93='[1]Tabla Impacto'!$D$15),"Catastrófico","")))))</f>
        <v>Moderado</v>
      </c>
      <c r="U93" s="323">
        <f t="shared" ref="U93" ca="1" si="251">IF(T93="","",IF(T93="Leve",0.2,IF(T93="Menor",0.4,IF(T93="Moderado",0.6,IF(T93="Mayor",0.8,IF(T93="Catastrófico",1,))))))</f>
        <v>0.6</v>
      </c>
      <c r="V93" s="309" t="str">
        <f t="shared" ref="V93" ca="1" si="252">IF(OR(AND(P93="Muy Baja",T93="Leve"),AND(P93="Muy Baja",T93="Menor"),AND(P93="Baja",T93="Leve")),"Bajo",IF(OR(AND(P93="Muy baja",T93="Moderado"),AND(P93="Baja",T93="Menor"),AND(P93="Baja",T93="Moderado"),AND(P93="Media",T93="Leve"),AND(P93="Media",T93="Menor"),AND(P93="Media",T93="Moderado"),AND(P93="Alta",T93="Leve"),AND(P93="Alta",T93="Menor")),"Moderado",IF(OR(AND(P93="Muy Baja",T93="Mayor"),AND(P93="Baja",T93="Mayor"),AND(P93="Media",T93="Mayor"),AND(P93="Alta",T93="Moderado"),AND(P93="Alta",T93="Mayor"),AND(P93="Muy Alta",T93="Leve"),AND(P93="Muy Alta",T93="Menor"),AND(P93="Muy Alta",T93="Moderado"),AND(P93="Muy Alta",T93="Mayor")),"Alto",IF(OR(AND(P93="Muy Baja",T93="Catastrófico"),AND(P93="Baja",T93="Catastrófico"),AND(P93="Media",T93="Catastrófico"),AND(P93="Alta",T93="Catastrófico"),AND(P93="Muy Alta",T93="Catastrófico")),"Extremo",""))))</f>
        <v>Alto</v>
      </c>
      <c r="W93" s="252">
        <v>1</v>
      </c>
      <c r="X93" s="207" t="s">
        <v>1014</v>
      </c>
      <c r="Y93" s="250" t="str">
        <f t="shared" si="221"/>
        <v>Probabilidad</v>
      </c>
      <c r="Z93" s="185" t="s">
        <v>208</v>
      </c>
      <c r="AA93" s="185" t="s">
        <v>216</v>
      </c>
      <c r="AB93" s="186" t="str">
        <f t="shared" si="242"/>
        <v>40%</v>
      </c>
      <c r="AC93" s="185" t="s">
        <v>219</v>
      </c>
      <c r="AD93" s="185" t="s">
        <v>224</v>
      </c>
      <c r="AE93" s="185" t="s">
        <v>228</v>
      </c>
      <c r="AF93" s="187">
        <f t="shared" ref="AF93" si="253">IFERROR(IF(Y93="Probabilidad",(Q93-(+Q93*AB93)),IF(Y93="Impacto",Q93,"")),"")</f>
        <v>0.6</v>
      </c>
      <c r="AG93" s="188" t="str">
        <f t="shared" si="223"/>
        <v>Media</v>
      </c>
      <c r="AH93" s="186">
        <f t="shared" si="224"/>
        <v>0.6</v>
      </c>
      <c r="AI93" s="188" t="str">
        <f t="shared" ca="1" si="225"/>
        <v>Moderado</v>
      </c>
      <c r="AJ93" s="186">
        <f t="shared" ref="AJ93" ca="1" si="254">IFERROR(IF(Y93="Impacto",(U93-(+U93*AB93)),IF(Y93="Probabilidad",U93,"")),"")</f>
        <v>0.6</v>
      </c>
      <c r="AK93" s="189" t="str">
        <f t="shared" ca="1" si="227"/>
        <v>Moderado</v>
      </c>
      <c r="AL93" s="185" t="s">
        <v>255</v>
      </c>
      <c r="AM93" s="246"/>
      <c r="AN93" s="250"/>
      <c r="AO93" s="245"/>
      <c r="AP93" s="245"/>
      <c r="AQ93" s="246"/>
      <c r="AR93" s="247"/>
    </row>
    <row r="94" spans="1:44" s="191" customFormat="1" ht="218.25" customHeight="1" thickTop="1" thickBot="1" x14ac:dyDescent="0.3">
      <c r="A94" s="310"/>
      <c r="B94" s="327"/>
      <c r="C94" s="315"/>
      <c r="D94" s="317"/>
      <c r="E94" s="315"/>
      <c r="F94" s="332"/>
      <c r="G94" s="332"/>
      <c r="H94" s="333"/>
      <c r="I94" s="320"/>
      <c r="J94" s="320"/>
      <c r="K94" s="320"/>
      <c r="L94" s="320"/>
      <c r="M94" s="315"/>
      <c r="N94" s="315"/>
      <c r="O94" s="321"/>
      <c r="P94" s="322"/>
      <c r="Q94" s="323"/>
      <c r="R94" s="323"/>
      <c r="S94" s="323">
        <f ca="1">IF(NOT(ISERROR(MATCH(R94,_xlfn.ANCHORARRAY(#REF!),0))),#REF!&amp;"Por favor no seleccionar los criterios de impacto",R94)</f>
        <v>0</v>
      </c>
      <c r="T94" s="322"/>
      <c r="U94" s="323"/>
      <c r="V94" s="309"/>
      <c r="W94" s="252">
        <v>2</v>
      </c>
      <c r="X94" s="207" t="s">
        <v>634</v>
      </c>
      <c r="Y94" s="250" t="str">
        <f t="shared" si="221"/>
        <v>Probabilidad</v>
      </c>
      <c r="Z94" s="185" t="s">
        <v>208</v>
      </c>
      <c r="AA94" s="185" t="s">
        <v>216</v>
      </c>
      <c r="AB94" s="186" t="str">
        <f t="shared" si="242"/>
        <v>40%</v>
      </c>
      <c r="AC94" s="185" t="s">
        <v>219</v>
      </c>
      <c r="AD94" s="185" t="s">
        <v>224</v>
      </c>
      <c r="AE94" s="185" t="s">
        <v>228</v>
      </c>
      <c r="AF94" s="187">
        <f t="shared" ref="AF94" si="255">IFERROR(IF(AND(Y93="Probabilidad",Y94="Probabilidad"),(AH93-(+AH93*AB94)),IF(Y94="Probabilidad",(Q93-(+Q93*AB94)),IF(Y94="Impacto",AH93,""))),"")</f>
        <v>0.36</v>
      </c>
      <c r="AG94" s="188" t="str">
        <f t="shared" si="223"/>
        <v>Baja</v>
      </c>
      <c r="AH94" s="186">
        <f t="shared" si="224"/>
        <v>0.36</v>
      </c>
      <c r="AI94" s="188" t="str">
        <f t="shared" ca="1" si="225"/>
        <v>Moderado</v>
      </c>
      <c r="AJ94" s="186">
        <f t="shared" ref="AJ94" ca="1" si="256">IFERROR(IF(AND(Y93="Impacto",Y94="Impacto"),(AJ93-(+AJ93*AB94)),IF(Y94="Impacto",(U93-(+U93*AB94)),IF(Y94="Probabilidad",AJ93,""))),"")</f>
        <v>0.6</v>
      </c>
      <c r="AK94" s="189" t="str">
        <f t="shared" ca="1" si="227"/>
        <v>Moderado</v>
      </c>
      <c r="AL94" s="185" t="s">
        <v>255</v>
      </c>
      <c r="AM94" s="246"/>
      <c r="AN94" s="250"/>
      <c r="AO94" s="245"/>
      <c r="AP94" s="245"/>
      <c r="AQ94" s="246"/>
      <c r="AR94" s="247"/>
    </row>
    <row r="95" spans="1:44" s="191" customFormat="1" ht="229.5" customHeight="1" thickTop="1" thickBot="1" x14ac:dyDescent="0.3">
      <c r="A95" s="244">
        <v>38</v>
      </c>
      <c r="B95" s="248" t="s">
        <v>635</v>
      </c>
      <c r="C95" s="246" t="s">
        <v>272</v>
      </c>
      <c r="D95" s="256" t="s">
        <v>631</v>
      </c>
      <c r="E95" s="246" t="s">
        <v>240</v>
      </c>
      <c r="F95" s="254" t="s">
        <v>636</v>
      </c>
      <c r="G95" s="254" t="s">
        <v>637</v>
      </c>
      <c r="H95" s="255" t="s">
        <v>1113</v>
      </c>
      <c r="I95" s="242" t="s">
        <v>474</v>
      </c>
      <c r="J95" s="242" t="s">
        <v>474</v>
      </c>
      <c r="K95" s="242" t="s">
        <v>474</v>
      </c>
      <c r="L95" s="242" t="s">
        <v>474</v>
      </c>
      <c r="M95" s="246" t="s">
        <v>241</v>
      </c>
      <c r="N95" s="246"/>
      <c r="O95" s="250">
        <v>5001</v>
      </c>
      <c r="P95" s="251" t="str">
        <f t="shared" si="217"/>
        <v>Muy Alta</v>
      </c>
      <c r="Q95" s="243">
        <f t="shared" si="218"/>
        <v>1</v>
      </c>
      <c r="R95" s="243" t="s">
        <v>190</v>
      </c>
      <c r="S95" s="243" t="str">
        <f ca="1">IF(NOT(ISERROR(MATCH(R95,'Tabla Impacto'!$B$221:$B$223,0))),'Tabla Impacto'!$F$223&amp;"Por favor no seleccionar los criterios de impacto(Afectación Económica o presupuestal y Pérdida Reputacional)",R95)</f>
        <v>El riesgo afecta la imagen de la entidad con algunos usuarios de relevancia frente al logro de los objetivos</v>
      </c>
      <c r="T95" s="251" t="str">
        <f ca="1">+IF(OR(S95='[1]Tabla Impacto'!$C$11,S95='[1]Tabla Impacto'!$D$11),"Leve",IF(OR(S95='[1]Tabla Impacto'!$C$12,S95='[1]Tabla Impacto'!$D$12),"Menor",IF(OR(S95='[1]Tabla Impacto'!$C$13,S95='[1]Tabla Impacto'!$D$13),"Moderado",IF(OR(S95='[1]Tabla Impacto'!$C$14,S95='[1]Tabla Impacto'!$D$14),"Mayor",IF(OR(S95='[1]Tabla Impacto'!$C$15,S95='[1]Tabla Impacto'!$D$15),"Catastrófico","")))))</f>
        <v>Moderado</v>
      </c>
      <c r="U95" s="243">
        <f t="shared" ref="U95" ca="1" si="257">IF(T95="","",IF(T95="Leve",0.2,IF(T95="Menor",0.4,IF(T95="Moderado",0.6,IF(T95="Mayor",0.8,IF(T95="Catastrófico",1,))))))</f>
        <v>0.6</v>
      </c>
      <c r="V95" s="252" t="str">
        <f t="shared" ref="V95" ca="1" si="258">IF(OR(AND(P95="Muy Baja",T95="Leve"),AND(P95="Muy Baja",T95="Menor"),AND(P95="Baja",T95="Leve")),"Bajo",IF(OR(AND(P95="Muy baja",T95="Moderado"),AND(P95="Baja",T95="Menor"),AND(P95="Baja",T95="Moderado"),AND(P95="Media",T95="Leve"),AND(P95="Media",T95="Menor"),AND(P95="Media",T95="Moderado"),AND(P95="Alta",T95="Leve"),AND(P95="Alta",T95="Menor")),"Moderado",IF(OR(AND(P95="Muy Baja",T95="Mayor"),AND(P95="Baja",T95="Mayor"),AND(P95="Media",T95="Mayor"),AND(P95="Alta",T95="Moderado"),AND(P95="Alta",T95="Mayor"),AND(P95="Muy Alta",T95="Leve"),AND(P95="Muy Alta",T95="Menor"),AND(P95="Muy Alta",T95="Moderado"),AND(P95="Muy Alta",T95="Mayor")),"Alto",IF(OR(AND(P95="Muy Baja",T95="Catastrófico"),AND(P95="Baja",T95="Catastrófico"),AND(P95="Media",T95="Catastrófico"),AND(P95="Alta",T95="Catastrófico"),AND(P95="Muy Alta",T95="Catastrófico")),"Extremo",""))))</f>
        <v>Alto</v>
      </c>
      <c r="W95" s="252">
        <v>1</v>
      </c>
      <c r="X95" s="207" t="s">
        <v>1015</v>
      </c>
      <c r="Y95" s="250" t="str">
        <f t="shared" si="221"/>
        <v>Probabilidad</v>
      </c>
      <c r="Z95" s="185" t="s">
        <v>208</v>
      </c>
      <c r="AA95" s="185" t="s">
        <v>216</v>
      </c>
      <c r="AB95" s="186" t="str">
        <f t="shared" si="242"/>
        <v>40%</v>
      </c>
      <c r="AC95" s="185" t="s">
        <v>219</v>
      </c>
      <c r="AD95" s="185" t="s">
        <v>224</v>
      </c>
      <c r="AE95" s="185" t="s">
        <v>228</v>
      </c>
      <c r="AF95" s="187">
        <f t="shared" ref="AF95" si="259">IFERROR(IF(Y95="Probabilidad",(Q95-(+Q95*AB95)),IF(Y95="Impacto",Q95,"")),"")</f>
        <v>0.6</v>
      </c>
      <c r="AG95" s="188" t="str">
        <f t="shared" si="223"/>
        <v>Media</v>
      </c>
      <c r="AH95" s="186">
        <f t="shared" si="224"/>
        <v>0.6</v>
      </c>
      <c r="AI95" s="188" t="str">
        <f t="shared" ca="1" si="225"/>
        <v>Moderado</v>
      </c>
      <c r="AJ95" s="186">
        <f t="shared" ref="AJ95" ca="1" si="260">IFERROR(IF(Y95="Impacto",(U95-(+U95*AB95)),IF(Y95="Probabilidad",U95,"")),"")</f>
        <v>0.6</v>
      </c>
      <c r="AK95" s="189" t="str">
        <f t="shared" ca="1" si="227"/>
        <v>Moderado</v>
      </c>
      <c r="AL95" s="185" t="s">
        <v>255</v>
      </c>
      <c r="AM95" s="246"/>
      <c r="AN95" s="250"/>
      <c r="AO95" s="245"/>
      <c r="AP95" s="245"/>
      <c r="AQ95" s="246"/>
      <c r="AR95" s="247"/>
    </row>
    <row r="96" spans="1:44" s="191" customFormat="1" ht="148.5" customHeight="1" thickTop="1" thickBot="1" x14ac:dyDescent="0.3">
      <c r="A96" s="310">
        <v>39</v>
      </c>
      <c r="B96" s="327" t="s">
        <v>640</v>
      </c>
      <c r="C96" s="315" t="s">
        <v>273</v>
      </c>
      <c r="D96" s="315" t="s">
        <v>638</v>
      </c>
      <c r="E96" s="315" t="s">
        <v>236</v>
      </c>
      <c r="F96" s="332" t="s">
        <v>641</v>
      </c>
      <c r="G96" s="332" t="s">
        <v>642</v>
      </c>
      <c r="H96" s="333" t="s">
        <v>1114</v>
      </c>
      <c r="I96" s="320" t="s">
        <v>474</v>
      </c>
      <c r="J96" s="320" t="s">
        <v>474</v>
      </c>
      <c r="K96" s="320" t="s">
        <v>474</v>
      </c>
      <c r="L96" s="320" t="s">
        <v>474</v>
      </c>
      <c r="M96" s="315" t="s">
        <v>246</v>
      </c>
      <c r="N96" s="315"/>
      <c r="O96" s="321">
        <v>4</v>
      </c>
      <c r="P96" s="322" t="str">
        <f t="shared" si="217"/>
        <v>Baja</v>
      </c>
      <c r="Q96" s="323">
        <f t="shared" si="218"/>
        <v>0.4</v>
      </c>
      <c r="R96" s="323" t="s">
        <v>189</v>
      </c>
      <c r="S96" s="323" t="str">
        <f ca="1">IF(NOT(ISERROR(MATCH(R96,'Tabla Impacto'!$B$221:$B$223,0))),'Tabla Impacto'!$F$223&amp;"Por favor no seleccionar los criterios de impacto(Afectación Económica o presupuestal y Pérdida Reputacional)",R96)</f>
        <v xml:space="preserve">Entre 50 y 100 SMLMV </v>
      </c>
      <c r="T96" s="322" t="str">
        <f ca="1">+IF(OR(S96='[1]Tabla Impacto'!$C$11,S96='[1]Tabla Impacto'!$D$11),"Leve",IF(OR(S96='[1]Tabla Impacto'!$C$12,S96='[1]Tabla Impacto'!$D$12),"Menor",IF(OR(S96='[1]Tabla Impacto'!$C$13,S96='[1]Tabla Impacto'!$D$13),"Moderado",IF(OR(S96='[1]Tabla Impacto'!$C$14,S96='[1]Tabla Impacto'!$D$14),"Mayor",IF(OR(S96='[1]Tabla Impacto'!$C$15,S96='[1]Tabla Impacto'!$D$15),"Catastrófico","")))))</f>
        <v>Moderado</v>
      </c>
      <c r="U96" s="323">
        <f t="shared" ref="U96" ca="1" si="261">IF(T96="","",IF(T96="Leve",0.2,IF(T96="Menor",0.4,IF(T96="Moderado",0.6,IF(T96="Mayor",0.8,IF(T96="Catastrófico",1,))))))</f>
        <v>0.6</v>
      </c>
      <c r="V96" s="309" t="str">
        <f t="shared" ref="V96" ca="1" si="262">IF(OR(AND(P96="Muy Baja",T96="Leve"),AND(P96="Muy Baja",T96="Menor"),AND(P96="Baja",T96="Leve")),"Bajo",IF(OR(AND(P96="Muy baja",T96="Moderado"),AND(P96="Baja",T96="Menor"),AND(P96="Baja",T96="Moderado"),AND(P96="Media",T96="Leve"),AND(P96="Media",T96="Menor"),AND(P96="Media",T96="Moderado"),AND(P96="Alta",T96="Leve"),AND(P96="Alta",T96="Menor")),"Moderado",IF(OR(AND(P96="Muy Baja",T96="Mayor"),AND(P96="Baja",T96="Mayor"),AND(P96="Media",T96="Mayor"),AND(P96="Alta",T96="Moderado"),AND(P96="Alta",T96="Mayor"),AND(P96="Muy Alta",T96="Leve"),AND(P96="Muy Alta",T96="Menor"),AND(P96="Muy Alta",T96="Moderado"),AND(P96="Muy Alta",T96="Mayor")),"Alto",IF(OR(AND(P96="Muy Baja",T96="Catastrófico"),AND(P96="Baja",T96="Catastrófico"),AND(P96="Media",T96="Catastrófico"),AND(P96="Alta",T96="Catastrófico"),AND(P96="Muy Alta",T96="Catastrófico")),"Extremo",""))))</f>
        <v>Moderado</v>
      </c>
      <c r="W96" s="252">
        <v>1</v>
      </c>
      <c r="X96" s="207" t="s">
        <v>1016</v>
      </c>
      <c r="Y96" s="250" t="str">
        <f t="shared" si="221"/>
        <v>Probabilidad</v>
      </c>
      <c r="Z96" s="185" t="s">
        <v>208</v>
      </c>
      <c r="AA96" s="185" t="s">
        <v>216</v>
      </c>
      <c r="AB96" s="186" t="str">
        <f t="shared" si="242"/>
        <v>40%</v>
      </c>
      <c r="AC96" s="185" t="s">
        <v>219</v>
      </c>
      <c r="AD96" s="185" t="s">
        <v>224</v>
      </c>
      <c r="AE96" s="185" t="s">
        <v>228</v>
      </c>
      <c r="AF96" s="187">
        <f t="shared" ref="AF96" si="263">IFERROR(IF(Y96="Probabilidad",(Q96-(+Q96*AB96)),IF(Y96="Impacto",Q96,"")),"")</f>
        <v>0.24</v>
      </c>
      <c r="AG96" s="188" t="str">
        <f t="shared" si="223"/>
        <v>Baja</v>
      </c>
      <c r="AH96" s="186">
        <f t="shared" si="224"/>
        <v>0.24</v>
      </c>
      <c r="AI96" s="188" t="str">
        <f t="shared" ca="1" si="225"/>
        <v>Moderado</v>
      </c>
      <c r="AJ96" s="186">
        <f t="shared" ref="AJ96" ca="1" si="264">IFERROR(IF(Y96="Impacto",(U96-(+U96*AB96)),IF(Y96="Probabilidad",U96,"")),"")</f>
        <v>0.6</v>
      </c>
      <c r="AK96" s="189" t="str">
        <f t="shared" ca="1" si="227"/>
        <v>Moderado</v>
      </c>
      <c r="AL96" s="185" t="s">
        <v>255</v>
      </c>
      <c r="AM96" s="246"/>
      <c r="AN96" s="250"/>
      <c r="AO96" s="245"/>
      <c r="AP96" s="245"/>
      <c r="AQ96" s="246"/>
      <c r="AR96" s="247"/>
    </row>
    <row r="97" spans="1:44" s="191" customFormat="1" ht="148.5" customHeight="1" thickTop="1" thickBot="1" x14ac:dyDescent="0.3">
      <c r="A97" s="310"/>
      <c r="B97" s="327"/>
      <c r="C97" s="315"/>
      <c r="D97" s="315"/>
      <c r="E97" s="315"/>
      <c r="F97" s="332"/>
      <c r="G97" s="332"/>
      <c r="H97" s="333"/>
      <c r="I97" s="320"/>
      <c r="J97" s="320"/>
      <c r="K97" s="320"/>
      <c r="L97" s="320"/>
      <c r="M97" s="315"/>
      <c r="N97" s="315"/>
      <c r="O97" s="321"/>
      <c r="P97" s="322"/>
      <c r="Q97" s="323"/>
      <c r="R97" s="323"/>
      <c r="S97" s="323">
        <f ca="1">IF(NOT(ISERROR(MATCH(R97,_xlfn.ANCHORARRAY(H101),0))),#REF!&amp;"Por favor no seleccionar los criterios de impacto",R97)</f>
        <v>0</v>
      </c>
      <c r="T97" s="322"/>
      <c r="U97" s="323"/>
      <c r="V97" s="309"/>
      <c r="W97" s="252">
        <v>2</v>
      </c>
      <c r="X97" s="207" t="s">
        <v>639</v>
      </c>
      <c r="Y97" s="250" t="str">
        <f t="shared" si="221"/>
        <v>Probabilidad</v>
      </c>
      <c r="Z97" s="185" t="s">
        <v>208</v>
      </c>
      <c r="AA97" s="185" t="s">
        <v>216</v>
      </c>
      <c r="AB97" s="186" t="str">
        <f t="shared" si="242"/>
        <v>40%</v>
      </c>
      <c r="AC97" s="185" t="s">
        <v>219</v>
      </c>
      <c r="AD97" s="185" t="s">
        <v>224</v>
      </c>
      <c r="AE97" s="185" t="s">
        <v>228</v>
      </c>
      <c r="AF97" s="187">
        <f t="shared" ref="AF97" si="265">IFERROR(IF(AND(Y96="Probabilidad",Y97="Probabilidad"),(AH96-(+AH96*AB97)),IF(Y97="Probabilidad",(Q96-(+Q96*AB97)),IF(Y97="Impacto",AH96,""))),"")</f>
        <v>0.14399999999999999</v>
      </c>
      <c r="AG97" s="188" t="str">
        <f t="shared" si="223"/>
        <v>Muy Baja</v>
      </c>
      <c r="AH97" s="186">
        <f t="shared" si="224"/>
        <v>0.14399999999999999</v>
      </c>
      <c r="AI97" s="188" t="str">
        <f t="shared" ca="1" si="225"/>
        <v>Moderado</v>
      </c>
      <c r="AJ97" s="186">
        <f t="shared" ref="AJ97" ca="1" si="266">IFERROR(IF(AND(Y96="Impacto",Y97="Impacto"),(AJ96-(+AJ96*AB97)),IF(Y97="Impacto",(U96-(+U96*AB97)),IF(Y97="Probabilidad",AJ96,""))),"")</f>
        <v>0.6</v>
      </c>
      <c r="AK97" s="189" t="str">
        <f t="shared" ca="1" si="227"/>
        <v>Moderado</v>
      </c>
      <c r="AL97" s="185" t="s">
        <v>255</v>
      </c>
      <c r="AM97" s="246"/>
      <c r="AN97" s="250"/>
      <c r="AO97" s="245"/>
      <c r="AP97" s="245"/>
      <c r="AQ97" s="246"/>
      <c r="AR97" s="247"/>
    </row>
    <row r="98" spans="1:44" s="191" customFormat="1" ht="133.5" customHeight="1" thickTop="1" thickBot="1" x14ac:dyDescent="0.3">
      <c r="A98" s="402">
        <v>40</v>
      </c>
      <c r="B98" s="404" t="s">
        <v>643</v>
      </c>
      <c r="C98" s="312" t="s">
        <v>273</v>
      </c>
      <c r="D98" s="312" t="s">
        <v>958</v>
      </c>
      <c r="E98" s="312" t="s">
        <v>238</v>
      </c>
      <c r="F98" s="312" t="s">
        <v>644</v>
      </c>
      <c r="G98" s="312" t="s">
        <v>645</v>
      </c>
      <c r="H98" s="406" t="s">
        <v>1115</v>
      </c>
      <c r="I98" s="408" t="s">
        <v>474</v>
      </c>
      <c r="J98" s="408" t="s">
        <v>474</v>
      </c>
      <c r="K98" s="408" t="s">
        <v>474</v>
      </c>
      <c r="L98" s="408" t="s">
        <v>474</v>
      </c>
      <c r="M98" s="312" t="s">
        <v>239</v>
      </c>
      <c r="N98" s="312"/>
      <c r="O98" s="410">
        <v>4</v>
      </c>
      <c r="P98" s="347" t="str">
        <f t="shared" ref="P98:P113" si="267">IF(O98&lt;=0,"",IF(O98&lt;=2,"Muy Baja",IF(O98&lt;=24,"Baja",IF(O98&lt;=500,"Media",IF(O98&lt;=5000,"Alta","Muy Alta")))))</f>
        <v>Baja</v>
      </c>
      <c r="Q98" s="306">
        <f t="shared" ref="Q98:Q113" si="268">IF(P98="","",IF(P98="Muy Baja",0.2,IF(P98="Baja",0.4,IF(P98="Media",0.6,IF(P98="Alta",0.8,IF(P98="Muy Alta",1,))))))</f>
        <v>0.4</v>
      </c>
      <c r="R98" s="306" t="s">
        <v>190</v>
      </c>
      <c r="S98" s="306" t="str">
        <f ca="1">IF(NOT(ISERROR(MATCH(R98,'Tabla Impacto'!$B$221:$B$223,0))),'Tabla Impacto'!$F$223&amp;"Por favor no seleccionar los criterios de impacto(Afectación Económica o presupuestal y Pérdida Reputacional)",R98)</f>
        <v>El riesgo afecta la imagen de la entidad con algunos usuarios de relevancia frente al logro de los objetivos</v>
      </c>
      <c r="T98" s="347" t="str">
        <f ca="1">+IF(OR(S98='[1]Tabla Impacto'!$C$11,S98='[1]Tabla Impacto'!$D$11),"Leve",IF(OR(S98='[1]Tabla Impacto'!$C$12,S98='[1]Tabla Impacto'!$D$12),"Menor",IF(OR(S98='[1]Tabla Impacto'!$C$13,S98='[1]Tabla Impacto'!$D$13),"Moderado",IF(OR(S98='[1]Tabla Impacto'!$C$14,S98='[1]Tabla Impacto'!$D$14),"Mayor",IF(OR(S98='[1]Tabla Impacto'!$C$15,S98='[1]Tabla Impacto'!$D$15),"Catastrófico","")))))</f>
        <v>Moderado</v>
      </c>
      <c r="U98" s="306">
        <f t="shared" ref="U98" ca="1" si="269">IF(T98="","",IF(T98="Leve",0.2,IF(T98="Menor",0.4,IF(T98="Moderado",0.6,IF(T98="Mayor",0.8,IF(T98="Catastrófico",1,))))))</f>
        <v>0.6</v>
      </c>
      <c r="V98" s="349" t="str">
        <f t="shared" ref="V98" ca="1" si="270">IF(OR(AND(P98="Muy Baja",T98="Leve"),AND(P98="Muy Baja",T98="Menor"),AND(P98="Baja",T98="Leve")),"Bajo",IF(OR(AND(P98="Muy baja",T98="Moderado"),AND(P98="Baja",T98="Menor"),AND(P98="Baja",T98="Moderado"),AND(P98="Media",T98="Leve"),AND(P98="Media",T98="Menor"),AND(P98="Media",T98="Moderado"),AND(P98="Alta",T98="Leve"),AND(P98="Alta",T98="Menor")),"Moderado",IF(OR(AND(P98="Muy Baja",T98="Mayor"),AND(P98="Baja",T98="Mayor"),AND(P98="Media",T98="Mayor"),AND(P98="Alta",T98="Moderado"),AND(P98="Alta",T98="Mayor"),AND(P98="Muy Alta",T98="Leve"),AND(P98="Muy Alta",T98="Menor"),AND(P98="Muy Alta",T98="Moderado"),AND(P98="Muy Alta",T98="Mayor")),"Alto",IF(OR(AND(P98="Muy Baja",T98="Catastrófico"),AND(P98="Baja",T98="Catastrófico"),AND(P98="Media",T98="Catastrófico"),AND(P98="Alta",T98="Catastrófico"),AND(P98="Muy Alta",T98="Catastrófico")),"Extremo",""))))</f>
        <v>Moderado</v>
      </c>
      <c r="W98" s="252">
        <v>1</v>
      </c>
      <c r="X98" s="207" t="s">
        <v>1188</v>
      </c>
      <c r="Y98" s="250" t="str">
        <f t="shared" ref="Y98:Y115" si="271">IF(OR(Z98="Preventivo",Z98="Detectivo"),"Probabilidad",IF(Z98="Correctivo","Impacto",""))</f>
        <v>Probabilidad</v>
      </c>
      <c r="Z98" s="185" t="s">
        <v>208</v>
      </c>
      <c r="AA98" s="185" t="s">
        <v>216</v>
      </c>
      <c r="AB98" s="186" t="str">
        <f t="shared" si="242"/>
        <v>40%</v>
      </c>
      <c r="AC98" s="185" t="s">
        <v>219</v>
      </c>
      <c r="AD98" s="185" t="s">
        <v>224</v>
      </c>
      <c r="AE98" s="185" t="s">
        <v>228</v>
      </c>
      <c r="AF98" s="187">
        <f t="shared" ref="AF98" si="272">IFERROR(IF(Y98="Probabilidad",(Q98-(+Q98*AB98)),IF(Y98="Impacto",Q98,"")),"")</f>
        <v>0.24</v>
      </c>
      <c r="AG98" s="188" t="str">
        <f t="shared" ref="AG98:AG115" si="273">IFERROR(IF(AF98="","",IF(AF98&lt;=0.2,"Muy Baja",IF(AF98&lt;=0.4,"Baja",IF(AF98&lt;=0.6,"Media",IF(AF98&lt;=0.8,"Alta","Muy Alta"))))),"")</f>
        <v>Baja</v>
      </c>
      <c r="AH98" s="186">
        <f t="shared" ref="AH98:AH115" si="274">+AF98</f>
        <v>0.24</v>
      </c>
      <c r="AI98" s="188" t="str">
        <f t="shared" ref="AI98:AI115" ca="1" si="275">IFERROR(IF(AJ98="","",IF(AJ98&lt;=0.2,"Leve",IF(AJ98&lt;=0.4,"Menor",IF(AJ98&lt;=0.6,"Moderado",IF(AJ98&lt;=0.8,"Mayor","Catastrófico"))))),"")</f>
        <v>Moderado</v>
      </c>
      <c r="AJ98" s="186">
        <f t="shared" ref="AJ98" ca="1" si="276">IFERROR(IF(Y98="Impacto",(U98-(+U98*AB98)),IF(Y98="Probabilidad",U98,"")),"")</f>
        <v>0.6</v>
      </c>
      <c r="AK98" s="189" t="str">
        <f t="shared" ref="AK98:AK115" ca="1" si="277">IFERROR(IF(OR(AND(AG98="Muy Baja",AI98="Leve"),AND(AG98="Muy Baja",AI98="Menor"),AND(AG98="Baja",AI98="Leve")),"Bajo",IF(OR(AND(AG98="Muy baja",AI98="Moderado"),AND(AG98="Baja",AI98="Menor"),AND(AG98="Baja",AI98="Moderado"),AND(AG98="Media",AI98="Leve"),AND(AG98="Media",AI98="Menor"),AND(AG98="Media",AI98="Moderado"),AND(AG98="Alta",AI98="Leve"),AND(AG98="Alta",AI98="Menor")),"Moderado",IF(OR(AND(AG98="Muy Baja",AI98="Mayor"),AND(AG98="Baja",AI98="Mayor"),AND(AG98="Media",AI98="Mayor"),AND(AG98="Alta",AI98="Moderado"),AND(AG98="Alta",AI98="Mayor"),AND(AG98="Muy Alta",AI98="Leve"),AND(AG98="Muy Alta",AI98="Menor"),AND(AG98="Muy Alta",AI98="Moderado"),AND(AG98="Muy Alta",AI98="Mayor")),"Alto",IF(OR(AND(AG98="Muy Baja",AI98="Catastrófico"),AND(AG98="Baja",AI98="Catastrófico"),AND(AG98="Media",AI98="Catastrófico"),AND(AG98="Alta",AI98="Catastrófico"),AND(AG98="Muy Alta",AI98="Catastrófico")),"Extremo","")))),"")</f>
        <v>Moderado</v>
      </c>
      <c r="AL98" s="185" t="s">
        <v>255</v>
      </c>
      <c r="AM98" s="246"/>
      <c r="AN98" s="250"/>
      <c r="AO98" s="245"/>
      <c r="AP98" s="245"/>
      <c r="AQ98" s="246"/>
      <c r="AR98" s="247"/>
    </row>
    <row r="99" spans="1:44" s="191" customFormat="1" ht="133.5" customHeight="1" thickTop="1" thickBot="1" x14ac:dyDescent="0.3">
      <c r="A99" s="403"/>
      <c r="B99" s="405"/>
      <c r="C99" s="313"/>
      <c r="D99" s="313"/>
      <c r="E99" s="313"/>
      <c r="F99" s="313"/>
      <c r="G99" s="313"/>
      <c r="H99" s="407"/>
      <c r="I99" s="409"/>
      <c r="J99" s="409"/>
      <c r="K99" s="409"/>
      <c r="L99" s="409"/>
      <c r="M99" s="313"/>
      <c r="N99" s="313"/>
      <c r="O99" s="411"/>
      <c r="P99" s="348"/>
      <c r="Q99" s="307"/>
      <c r="R99" s="307"/>
      <c r="S99" s="307"/>
      <c r="T99" s="348"/>
      <c r="U99" s="307"/>
      <c r="V99" s="350"/>
      <c r="W99" s="252">
        <v>2</v>
      </c>
      <c r="X99" s="207" t="s">
        <v>1189</v>
      </c>
      <c r="Y99" s="250" t="str">
        <f t="shared" si="271"/>
        <v>Probabilidad</v>
      </c>
      <c r="Z99" s="185" t="s">
        <v>208</v>
      </c>
      <c r="AA99" s="185" t="s">
        <v>216</v>
      </c>
      <c r="AB99" s="186" t="str">
        <f t="shared" si="242"/>
        <v>40%</v>
      </c>
      <c r="AC99" s="185" t="s">
        <v>219</v>
      </c>
      <c r="AD99" s="185" t="s">
        <v>224</v>
      </c>
      <c r="AE99" s="185" t="s">
        <v>228</v>
      </c>
      <c r="AF99" s="187">
        <f t="shared" ref="AF99:AF100" si="278">IFERROR(IF(AND(Y98="Probabilidad",Y99="Probabilidad"),(AH98-(+AH98*AB99)),IF(Y99="Probabilidad",(Q98-(+Q98*AB99)),IF(Y99="Impacto",AH98,""))),"")</f>
        <v>0.14399999999999999</v>
      </c>
      <c r="AG99" s="188" t="str">
        <f t="shared" si="273"/>
        <v>Muy Baja</v>
      </c>
      <c r="AH99" s="186">
        <f t="shared" si="274"/>
        <v>0.14399999999999999</v>
      </c>
      <c r="AI99" s="188" t="str">
        <f t="shared" ca="1" si="275"/>
        <v>Moderado</v>
      </c>
      <c r="AJ99" s="186">
        <f t="shared" ref="AJ99" ca="1" si="279">IFERROR(IF(AND(Y98="Impacto",Y99="Impacto"),(AJ98-(+AJ98*AB99)),IF(Y99="Impacto",(U98-(+U98*AB99)),IF(Y99="Probabilidad",AJ98,""))),"")</f>
        <v>0.6</v>
      </c>
      <c r="AK99" s="189" t="str">
        <f t="shared" ca="1" si="277"/>
        <v>Moderado</v>
      </c>
      <c r="AL99" s="185" t="s">
        <v>255</v>
      </c>
      <c r="AM99" s="246"/>
      <c r="AN99" s="250"/>
      <c r="AO99" s="245"/>
      <c r="AP99" s="245"/>
      <c r="AQ99" s="246"/>
      <c r="AR99" s="247"/>
    </row>
    <row r="100" spans="1:44" s="191" customFormat="1" ht="173.25" customHeight="1" thickTop="1" thickBot="1" x14ac:dyDescent="0.3">
      <c r="A100" s="403"/>
      <c r="B100" s="405"/>
      <c r="C100" s="313"/>
      <c r="D100" s="313"/>
      <c r="E100" s="313"/>
      <c r="F100" s="313"/>
      <c r="G100" s="313"/>
      <c r="H100" s="407"/>
      <c r="I100" s="409"/>
      <c r="J100" s="409"/>
      <c r="K100" s="409"/>
      <c r="L100" s="409"/>
      <c r="M100" s="313"/>
      <c r="N100" s="313"/>
      <c r="O100" s="411"/>
      <c r="P100" s="348"/>
      <c r="Q100" s="307"/>
      <c r="R100" s="307"/>
      <c r="S100" s="308"/>
      <c r="T100" s="348"/>
      <c r="U100" s="307"/>
      <c r="V100" s="350"/>
      <c r="W100" s="252">
        <v>3</v>
      </c>
      <c r="X100" s="207" t="s">
        <v>1187</v>
      </c>
      <c r="Y100" s="250" t="str">
        <f t="shared" si="271"/>
        <v>Probabilidad</v>
      </c>
      <c r="Z100" s="185" t="s">
        <v>208</v>
      </c>
      <c r="AA100" s="185" t="s">
        <v>216</v>
      </c>
      <c r="AB100" s="186" t="str">
        <f t="shared" si="242"/>
        <v>40%</v>
      </c>
      <c r="AC100" s="185" t="s">
        <v>222</v>
      </c>
      <c r="AD100" s="185" t="s">
        <v>224</v>
      </c>
      <c r="AE100" s="185" t="s">
        <v>228</v>
      </c>
      <c r="AF100" s="187">
        <f t="shared" si="278"/>
        <v>8.6399999999999991E-2</v>
      </c>
      <c r="AG100" s="188" t="str">
        <f t="shared" ref="AG100" si="280">IFERROR(IF(AF100="","",IF(AF100&lt;=0.2,"Muy Baja",IF(AF100&lt;=0.4,"Baja",IF(AF100&lt;=0.6,"Media",IF(AF100&lt;=0.8,"Alta","Muy Alta"))))),"")</f>
        <v>Muy Baja</v>
      </c>
      <c r="AH100" s="186">
        <f t="shared" ref="AH100" si="281">+AF100</f>
        <v>8.6399999999999991E-2</v>
      </c>
      <c r="AI100" s="188" t="str">
        <f t="shared" ref="AI100" ca="1" si="282">IFERROR(IF(AJ100="","",IF(AJ100&lt;=0.2,"Leve",IF(AJ100&lt;=0.4,"Menor",IF(AJ100&lt;=0.6,"Moderado",IF(AJ100&lt;=0.8,"Mayor","Catastrófico"))))),"")</f>
        <v>Moderado</v>
      </c>
      <c r="AJ100" s="186">
        <f t="shared" ref="AJ100" ca="1" si="283">IFERROR(IF(AND(Y99="Impacto",Y100="Impacto"),(AJ99-(+AJ99*AB100)),IF(Y100="Impacto",(U99-(+U99*AB100)),IF(Y100="Probabilidad",AJ99,""))),"")</f>
        <v>0.6</v>
      </c>
      <c r="AK100" s="189" t="str">
        <f t="shared" ref="AK100" ca="1" si="284">IFERROR(IF(OR(AND(AG100="Muy Baja",AI100="Leve"),AND(AG100="Muy Baja",AI100="Menor"),AND(AG100="Baja",AI100="Leve")),"Bajo",IF(OR(AND(AG100="Muy baja",AI100="Moderado"),AND(AG100="Baja",AI100="Menor"),AND(AG100="Baja",AI100="Moderado"),AND(AG100="Media",AI100="Leve"),AND(AG100="Media",AI100="Menor"),AND(AG100="Media",AI100="Moderado"),AND(AG100="Alta",AI100="Leve"),AND(AG100="Alta",AI100="Menor")),"Moderado",IF(OR(AND(AG100="Muy Baja",AI100="Mayor"),AND(AG100="Baja",AI100="Mayor"),AND(AG100="Media",AI100="Mayor"),AND(AG100="Alta",AI100="Moderado"),AND(AG100="Alta",AI100="Mayor"),AND(AG100="Muy Alta",AI100="Leve"),AND(AG100="Muy Alta",AI100="Menor"),AND(AG100="Muy Alta",AI100="Moderado"),AND(AG100="Muy Alta",AI100="Mayor")),"Alto",IF(OR(AND(AG100="Muy Baja",AI100="Catastrófico"),AND(AG100="Baja",AI100="Catastrófico"),AND(AG100="Media",AI100="Catastrófico"),AND(AG100="Alta",AI100="Catastrófico"),AND(AG100="Muy Alta",AI100="Catastrófico")),"Extremo","")))),"")</f>
        <v>Moderado</v>
      </c>
      <c r="AL100" s="185" t="s">
        <v>255</v>
      </c>
      <c r="AM100" s="246"/>
      <c r="AN100" s="250"/>
      <c r="AO100" s="245"/>
      <c r="AP100" s="245"/>
      <c r="AQ100" s="246"/>
      <c r="AR100" s="247"/>
    </row>
    <row r="101" spans="1:44" s="191" customFormat="1" ht="152.25" customHeight="1" thickTop="1" thickBot="1" x14ac:dyDescent="0.3">
      <c r="A101" s="310">
        <v>41</v>
      </c>
      <c r="B101" s="327" t="s">
        <v>646</v>
      </c>
      <c r="C101" s="315" t="s">
        <v>273</v>
      </c>
      <c r="D101" s="315" t="s">
        <v>959</v>
      </c>
      <c r="E101" s="315" t="s">
        <v>240</v>
      </c>
      <c r="F101" s="332" t="s">
        <v>648</v>
      </c>
      <c r="G101" s="332" t="s">
        <v>649</v>
      </c>
      <c r="H101" s="333" t="s">
        <v>1116</v>
      </c>
      <c r="I101" s="320" t="s">
        <v>474</v>
      </c>
      <c r="J101" s="320" t="s">
        <v>474</v>
      </c>
      <c r="K101" s="320" t="s">
        <v>474</v>
      </c>
      <c r="L101" s="320" t="s">
        <v>474</v>
      </c>
      <c r="M101" s="315" t="s">
        <v>239</v>
      </c>
      <c r="N101" s="315"/>
      <c r="O101" s="321">
        <v>4</v>
      </c>
      <c r="P101" s="322" t="str">
        <f t="shared" si="267"/>
        <v>Baja</v>
      </c>
      <c r="Q101" s="323">
        <f t="shared" si="268"/>
        <v>0.4</v>
      </c>
      <c r="R101" s="323" t="s">
        <v>184</v>
      </c>
      <c r="S101" s="323" t="str">
        <f ca="1">IF(NOT(ISERROR(MATCH(R101,'Tabla Impacto'!$B$221:$B$223,0))),'Tabla Impacto'!$F$223&amp;"Por favor no seleccionar los criterios de impacto(Afectación Económica o presupuestal y Pérdida Reputacional)",R101)</f>
        <v>El riesgo afecta la imagen de alguna área de la organización</v>
      </c>
      <c r="T101" s="322" t="str">
        <f ca="1">+IF(OR(S101='[1]Tabla Impacto'!$C$11,S101='[1]Tabla Impacto'!$D$11),"Leve",IF(OR(S101='[1]Tabla Impacto'!$C$12,S101='[1]Tabla Impacto'!$D$12),"Menor",IF(OR(S101='[1]Tabla Impacto'!$C$13,S101='[1]Tabla Impacto'!$D$13),"Moderado",IF(OR(S101='[1]Tabla Impacto'!$C$14,S101='[1]Tabla Impacto'!$D$14),"Mayor",IF(OR(S101='[1]Tabla Impacto'!$C$15,S101='[1]Tabla Impacto'!$D$15),"Catastrófico","")))))</f>
        <v>Leve</v>
      </c>
      <c r="U101" s="323">
        <f t="shared" ref="U101" ca="1" si="285">IF(T101="","",IF(T101="Leve",0.2,IF(T101="Menor",0.4,IF(T101="Moderado",0.6,IF(T101="Mayor",0.8,IF(T101="Catastrófico",1,))))))</f>
        <v>0.2</v>
      </c>
      <c r="V101" s="309" t="str">
        <f t="shared" ref="V101" ca="1" si="286">IF(OR(AND(P101="Muy Baja",T101="Leve"),AND(P101="Muy Baja",T101="Menor"),AND(P101="Baja",T101="Leve")),"Bajo",IF(OR(AND(P101="Muy baja",T101="Moderado"),AND(P101="Baja",T101="Menor"),AND(P101="Baja",T101="Moderado"),AND(P101="Media",T101="Leve"),AND(P101="Media",T101="Menor"),AND(P101="Media",T101="Moderado"),AND(P101="Alta",T101="Leve"),AND(P101="Alta",T101="Menor")),"Moderado",IF(OR(AND(P101="Muy Baja",T101="Mayor"),AND(P101="Baja",T101="Mayor"),AND(P101="Media",T101="Mayor"),AND(P101="Alta",T101="Moderado"),AND(P101="Alta",T101="Mayor"),AND(P101="Muy Alta",T101="Leve"),AND(P101="Muy Alta",T101="Menor"),AND(P101="Muy Alta",T101="Moderado"),AND(P101="Muy Alta",T101="Mayor")),"Alto",IF(OR(AND(P101="Muy Baja",T101="Catastrófico"),AND(P101="Baja",T101="Catastrófico"),AND(P101="Media",T101="Catastrófico"),AND(P101="Alta",T101="Catastrófico"),AND(P101="Muy Alta",T101="Catastrófico")),"Extremo",""))))</f>
        <v>Bajo</v>
      </c>
      <c r="W101" s="252">
        <v>1</v>
      </c>
      <c r="X101" s="207" t="s">
        <v>650</v>
      </c>
      <c r="Y101" s="250" t="str">
        <f t="shared" si="271"/>
        <v>Probabilidad</v>
      </c>
      <c r="Z101" s="185" t="s">
        <v>208</v>
      </c>
      <c r="AA101" s="185" t="s">
        <v>216</v>
      </c>
      <c r="AB101" s="186" t="str">
        <f t="shared" si="242"/>
        <v>40%</v>
      </c>
      <c r="AC101" s="185" t="s">
        <v>219</v>
      </c>
      <c r="AD101" s="185" t="s">
        <v>224</v>
      </c>
      <c r="AE101" s="185" t="s">
        <v>228</v>
      </c>
      <c r="AF101" s="187">
        <f t="shared" ref="AF101" si="287">IFERROR(IF(Y101="Probabilidad",(Q101-(+Q101*AB101)),IF(Y101="Impacto",Q101,"")),"")</f>
        <v>0.24</v>
      </c>
      <c r="AG101" s="188" t="str">
        <f t="shared" si="273"/>
        <v>Baja</v>
      </c>
      <c r="AH101" s="186">
        <f t="shared" si="274"/>
        <v>0.24</v>
      </c>
      <c r="AI101" s="188" t="str">
        <f t="shared" ca="1" si="275"/>
        <v>Leve</v>
      </c>
      <c r="AJ101" s="186">
        <f t="shared" ref="AJ101" ca="1" si="288">IFERROR(IF(Y101="Impacto",(U101-(+U101*AB101)),IF(Y101="Probabilidad",U101,"")),"")</f>
        <v>0.2</v>
      </c>
      <c r="AK101" s="189" t="str">
        <f t="shared" ca="1" si="277"/>
        <v>Bajo</v>
      </c>
      <c r="AL101" s="185" t="s">
        <v>255</v>
      </c>
      <c r="AM101" s="246"/>
      <c r="AN101" s="250"/>
      <c r="AO101" s="245"/>
      <c r="AP101" s="245"/>
      <c r="AQ101" s="246"/>
      <c r="AR101" s="247"/>
    </row>
    <row r="102" spans="1:44" s="191" customFormat="1" ht="156.75" customHeight="1" thickTop="1" thickBot="1" x14ac:dyDescent="0.3">
      <c r="A102" s="310"/>
      <c r="B102" s="327"/>
      <c r="C102" s="315"/>
      <c r="D102" s="315"/>
      <c r="E102" s="315"/>
      <c r="F102" s="332"/>
      <c r="G102" s="332"/>
      <c r="H102" s="333"/>
      <c r="I102" s="320"/>
      <c r="J102" s="320"/>
      <c r="K102" s="320"/>
      <c r="L102" s="320"/>
      <c r="M102" s="315"/>
      <c r="N102" s="315"/>
      <c r="O102" s="321"/>
      <c r="P102" s="322"/>
      <c r="Q102" s="323"/>
      <c r="R102" s="323"/>
      <c r="S102" s="323">
        <f ca="1">IF(NOT(ISERROR(MATCH(R102,_xlfn.ANCHORARRAY(H106),0))),Q108&amp;"Por favor no seleccionar los criterios de impacto",R102)</f>
        <v>0</v>
      </c>
      <c r="T102" s="322"/>
      <c r="U102" s="323"/>
      <c r="V102" s="309"/>
      <c r="W102" s="252">
        <v>2</v>
      </c>
      <c r="X102" s="207" t="s">
        <v>651</v>
      </c>
      <c r="Y102" s="250" t="str">
        <f t="shared" si="271"/>
        <v>Probabilidad</v>
      </c>
      <c r="Z102" s="185" t="s">
        <v>208</v>
      </c>
      <c r="AA102" s="185" t="s">
        <v>216</v>
      </c>
      <c r="AB102" s="186" t="str">
        <f t="shared" si="242"/>
        <v>40%</v>
      </c>
      <c r="AC102" s="185" t="s">
        <v>219</v>
      </c>
      <c r="AD102" s="185" t="s">
        <v>224</v>
      </c>
      <c r="AE102" s="185" t="s">
        <v>228</v>
      </c>
      <c r="AF102" s="187">
        <f t="shared" ref="AF102" si="289">IFERROR(IF(AND(Y101="Probabilidad",Y102="Probabilidad"),(AH101-(+AH101*AB102)),IF(Y102="Probabilidad",(Q101-(+Q101*AB102)),IF(Y102="Impacto",AH101,""))),"")</f>
        <v>0.14399999999999999</v>
      </c>
      <c r="AG102" s="188" t="str">
        <f t="shared" si="273"/>
        <v>Muy Baja</v>
      </c>
      <c r="AH102" s="186">
        <f t="shared" si="274"/>
        <v>0.14399999999999999</v>
      </c>
      <c r="AI102" s="188" t="str">
        <f t="shared" ca="1" si="275"/>
        <v>Leve</v>
      </c>
      <c r="AJ102" s="186">
        <f t="shared" ref="AJ102" ca="1" si="290">IFERROR(IF(AND(Y101="Impacto",Y102="Impacto"),(AJ101-(+AJ101*AB102)),IF(Y102="Impacto",(U101-(+U101*AB102)),IF(Y102="Probabilidad",AJ101,""))),"")</f>
        <v>0.2</v>
      </c>
      <c r="AK102" s="189" t="str">
        <f t="shared" ca="1" si="277"/>
        <v>Bajo</v>
      </c>
      <c r="AL102" s="185" t="s">
        <v>255</v>
      </c>
      <c r="AM102" s="246"/>
      <c r="AN102" s="250"/>
      <c r="AO102" s="245"/>
      <c r="AP102" s="245"/>
      <c r="AQ102" s="246"/>
      <c r="AR102" s="247"/>
    </row>
    <row r="103" spans="1:44" s="191" customFormat="1" ht="141" customHeight="1" thickTop="1" thickBot="1" x14ac:dyDescent="0.3">
      <c r="A103" s="310">
        <v>42</v>
      </c>
      <c r="B103" s="327" t="s">
        <v>652</v>
      </c>
      <c r="C103" s="317" t="s">
        <v>273</v>
      </c>
      <c r="D103" s="317" t="s">
        <v>647</v>
      </c>
      <c r="E103" s="317" t="s">
        <v>240</v>
      </c>
      <c r="F103" s="318" t="s">
        <v>653</v>
      </c>
      <c r="G103" s="318" t="s">
        <v>654</v>
      </c>
      <c r="H103" s="319" t="s">
        <v>1117</v>
      </c>
      <c r="I103" s="320" t="s">
        <v>474</v>
      </c>
      <c r="J103" s="320" t="s">
        <v>474</v>
      </c>
      <c r="K103" s="320" t="s">
        <v>474</v>
      </c>
      <c r="L103" s="320" t="s">
        <v>474</v>
      </c>
      <c r="M103" s="315" t="s">
        <v>239</v>
      </c>
      <c r="N103" s="315"/>
      <c r="O103" s="321">
        <v>4</v>
      </c>
      <c r="P103" s="322" t="str">
        <f t="shared" si="267"/>
        <v>Baja</v>
      </c>
      <c r="Q103" s="323">
        <f t="shared" si="268"/>
        <v>0.4</v>
      </c>
      <c r="R103" s="323" t="s">
        <v>190</v>
      </c>
      <c r="S103" s="323" t="str">
        <f ca="1">IF(NOT(ISERROR(MATCH(R103,'Tabla Impacto'!$B$221:$B$223,0))),'Tabla Impacto'!$F$223&amp;"Por favor no seleccionar los criterios de impacto(Afectación Económica o presupuestal y Pérdida Reputacional)",R103)</f>
        <v>El riesgo afecta la imagen de la entidad con algunos usuarios de relevancia frente al logro de los objetivos</v>
      </c>
      <c r="T103" s="322" t="str">
        <f ca="1">+IF(OR(S103='[1]Tabla Impacto'!$C$11,S103='[1]Tabla Impacto'!$D$11),"Leve",IF(OR(S103='[1]Tabla Impacto'!$C$12,S103='[1]Tabla Impacto'!$D$12),"Menor",IF(OR(S103='[1]Tabla Impacto'!$C$13,S103='[1]Tabla Impacto'!$D$13),"Moderado",IF(OR(S103='[1]Tabla Impacto'!$C$14,S103='[1]Tabla Impacto'!$D$14),"Mayor",IF(OR(S103='[1]Tabla Impacto'!$C$15,S103='[1]Tabla Impacto'!$D$15),"Catastrófico","")))))</f>
        <v>Moderado</v>
      </c>
      <c r="U103" s="323">
        <f t="shared" ref="U103" ca="1" si="291">IF(T103="","",IF(T103="Leve",0.2,IF(T103="Menor",0.4,IF(T103="Moderado",0.6,IF(T103="Mayor",0.8,IF(T103="Catastrófico",1,))))))</f>
        <v>0.6</v>
      </c>
      <c r="V103" s="309" t="str">
        <f t="shared" ref="V103" ca="1" si="292">IF(OR(AND(P103="Muy Baja",T103="Leve"),AND(P103="Muy Baja",T103="Menor"),AND(P103="Baja",T103="Leve")),"Bajo",IF(OR(AND(P103="Muy baja",T103="Moderado"),AND(P103="Baja",T103="Menor"),AND(P103="Baja",T103="Moderado"),AND(P103="Media",T103="Leve"),AND(P103="Media",T103="Menor"),AND(P103="Media",T103="Moderado"),AND(P103="Alta",T103="Leve"),AND(P103="Alta",T103="Menor")),"Moderado",IF(OR(AND(P103="Muy Baja",T103="Mayor"),AND(P103="Baja",T103="Mayor"),AND(P103="Media",T103="Mayor"),AND(P103="Alta",T103="Moderado"),AND(P103="Alta",T103="Mayor"),AND(P103="Muy Alta",T103="Leve"),AND(P103="Muy Alta",T103="Menor"),AND(P103="Muy Alta",T103="Moderado"),AND(P103="Muy Alta",T103="Mayor")),"Alto",IF(OR(AND(P103="Muy Baja",T103="Catastrófico"),AND(P103="Baja",T103="Catastrófico"),AND(P103="Media",T103="Catastrófico"),AND(P103="Alta",T103="Catastrófico"),AND(P103="Muy Alta",T103="Catastrófico")),"Extremo",""))))</f>
        <v>Moderado</v>
      </c>
      <c r="W103" s="252">
        <v>1</v>
      </c>
      <c r="X103" s="209" t="s">
        <v>655</v>
      </c>
      <c r="Y103" s="250" t="str">
        <f t="shared" si="271"/>
        <v>Probabilidad</v>
      </c>
      <c r="Z103" s="185" t="s">
        <v>208</v>
      </c>
      <c r="AA103" s="185" t="s">
        <v>216</v>
      </c>
      <c r="AB103" s="186" t="str">
        <f t="shared" si="242"/>
        <v>40%</v>
      </c>
      <c r="AC103" s="185" t="s">
        <v>219</v>
      </c>
      <c r="AD103" s="185" t="s">
        <v>224</v>
      </c>
      <c r="AE103" s="185" t="s">
        <v>228</v>
      </c>
      <c r="AF103" s="187">
        <f t="shared" ref="AF103" si="293">IFERROR(IF(Y103="Probabilidad",(Q103-(+Q103*AB103)),IF(Y103="Impacto",Q103,"")),"")</f>
        <v>0.24</v>
      </c>
      <c r="AG103" s="188" t="str">
        <f t="shared" si="273"/>
        <v>Baja</v>
      </c>
      <c r="AH103" s="186">
        <f t="shared" si="274"/>
        <v>0.24</v>
      </c>
      <c r="AI103" s="188" t="str">
        <f t="shared" ca="1" si="275"/>
        <v>Moderado</v>
      </c>
      <c r="AJ103" s="186">
        <f t="shared" ref="AJ103" ca="1" si="294">IFERROR(IF(Y103="Impacto",(U103-(+U103*AB103)),IF(Y103="Probabilidad",U103,"")),"")</f>
        <v>0.6</v>
      </c>
      <c r="AK103" s="189" t="str">
        <f t="shared" ca="1" si="277"/>
        <v>Moderado</v>
      </c>
      <c r="AL103" s="185" t="s">
        <v>255</v>
      </c>
      <c r="AM103" s="246"/>
      <c r="AN103" s="250"/>
      <c r="AO103" s="245"/>
      <c r="AP103" s="245"/>
      <c r="AQ103" s="246"/>
      <c r="AR103" s="247"/>
    </row>
    <row r="104" spans="1:44" s="191" customFormat="1" ht="174" customHeight="1" thickTop="1" thickBot="1" x14ac:dyDescent="0.3">
      <c r="A104" s="310"/>
      <c r="B104" s="327"/>
      <c r="C104" s="317"/>
      <c r="D104" s="317"/>
      <c r="E104" s="317"/>
      <c r="F104" s="318"/>
      <c r="G104" s="318"/>
      <c r="H104" s="319"/>
      <c r="I104" s="320"/>
      <c r="J104" s="320"/>
      <c r="K104" s="320"/>
      <c r="L104" s="320"/>
      <c r="M104" s="315"/>
      <c r="N104" s="315"/>
      <c r="O104" s="321"/>
      <c r="P104" s="322"/>
      <c r="Q104" s="323"/>
      <c r="R104" s="323"/>
      <c r="S104" s="323">
        <f ca="1">IF(NOT(ISERROR(MATCH(R104,_xlfn.ANCHORARRAY(H110),0))),#REF!&amp;"Por favor no seleccionar los criterios de impacto",R104)</f>
        <v>0</v>
      </c>
      <c r="T104" s="322"/>
      <c r="U104" s="323"/>
      <c r="V104" s="309"/>
      <c r="W104" s="252">
        <v>2</v>
      </c>
      <c r="X104" s="209" t="s">
        <v>656</v>
      </c>
      <c r="Y104" s="250" t="str">
        <f t="shared" si="271"/>
        <v>Probabilidad</v>
      </c>
      <c r="Z104" s="185" t="s">
        <v>208</v>
      </c>
      <c r="AA104" s="185" t="s">
        <v>216</v>
      </c>
      <c r="AB104" s="186" t="str">
        <f t="shared" si="242"/>
        <v>40%</v>
      </c>
      <c r="AC104" s="185" t="s">
        <v>219</v>
      </c>
      <c r="AD104" s="185" t="s">
        <v>224</v>
      </c>
      <c r="AE104" s="185" t="s">
        <v>228</v>
      </c>
      <c r="AF104" s="187">
        <f t="shared" ref="AF104" si="295">IFERROR(IF(AND(Y103="Probabilidad",Y104="Probabilidad"),(AH103-(+AH103*AB104)),IF(Y104="Probabilidad",(Q103-(+Q103*AB104)),IF(Y104="Impacto",AH103,""))),"")</f>
        <v>0.14399999999999999</v>
      </c>
      <c r="AG104" s="188" t="str">
        <f t="shared" si="273"/>
        <v>Muy Baja</v>
      </c>
      <c r="AH104" s="186">
        <f t="shared" si="274"/>
        <v>0.14399999999999999</v>
      </c>
      <c r="AI104" s="188" t="str">
        <f t="shared" ca="1" si="275"/>
        <v>Moderado</v>
      </c>
      <c r="AJ104" s="186">
        <f t="shared" ref="AJ104" ca="1" si="296">IFERROR(IF(AND(Y103="Impacto",Y104="Impacto"),(AJ103-(+AJ103*AB104)),IF(Y104="Impacto",(U103-(+U103*AB104)),IF(Y104="Probabilidad",AJ103,""))),"")</f>
        <v>0.6</v>
      </c>
      <c r="AK104" s="189" t="str">
        <f t="shared" ca="1" si="277"/>
        <v>Moderado</v>
      </c>
      <c r="AL104" s="185" t="s">
        <v>255</v>
      </c>
      <c r="AM104" s="246"/>
      <c r="AN104" s="250"/>
      <c r="AO104" s="245"/>
      <c r="AP104" s="245"/>
      <c r="AQ104" s="246"/>
      <c r="AR104" s="247"/>
    </row>
    <row r="105" spans="1:44" s="191" customFormat="1" ht="325.5" customHeight="1" thickTop="1" thickBot="1" x14ac:dyDescent="0.3">
      <c r="A105" s="244">
        <v>43</v>
      </c>
      <c r="B105" s="248" t="s">
        <v>1203</v>
      </c>
      <c r="C105" s="256" t="s">
        <v>273</v>
      </c>
      <c r="D105" s="256" t="s">
        <v>638</v>
      </c>
      <c r="E105" s="256" t="s">
        <v>238</v>
      </c>
      <c r="F105" s="257" t="s">
        <v>1204</v>
      </c>
      <c r="G105" s="257" t="s">
        <v>1205</v>
      </c>
      <c r="H105" s="258" t="s">
        <v>1206</v>
      </c>
      <c r="I105" s="242" t="s">
        <v>474</v>
      </c>
      <c r="J105" s="242" t="s">
        <v>474</v>
      </c>
      <c r="K105" s="242" t="s">
        <v>474</v>
      </c>
      <c r="L105" s="242" t="s">
        <v>474</v>
      </c>
      <c r="M105" s="246" t="s">
        <v>239</v>
      </c>
      <c r="N105" s="246"/>
      <c r="O105" s="250">
        <v>4</v>
      </c>
      <c r="P105" s="251" t="str">
        <f t="shared" ref="P105" si="297">IF(O105&lt;=0,"",IF(O105&lt;=2,"Muy Baja",IF(O105&lt;=24,"Baja",IF(O105&lt;=500,"Media",IF(O105&lt;=5000,"Alta","Muy Alta")))))</f>
        <v>Baja</v>
      </c>
      <c r="Q105" s="243">
        <f t="shared" ref="Q105" si="298">IF(P105="","",IF(P105="Muy Baja",0.2,IF(P105="Baja",0.4,IF(P105="Media",0.6,IF(P105="Alta",0.8,IF(P105="Muy Alta",1,))))))</f>
        <v>0.4</v>
      </c>
      <c r="R105" s="243" t="s">
        <v>190</v>
      </c>
      <c r="S105" s="243" t="str">
        <f ca="1">IF(NOT(ISERROR(MATCH(R105,'Tabla Impacto'!$B$221:$B$223,0))),'Tabla Impacto'!$F$223&amp;"Por favor no seleccionar los criterios de impacto(Afectación Económica o presupuestal y Pérdida Reputacional)",R105)</f>
        <v>El riesgo afecta la imagen de la entidad con algunos usuarios de relevancia frente al logro de los objetivos</v>
      </c>
      <c r="T105" s="251" t="str">
        <f ca="1">+IF(OR(S105='[1]Tabla Impacto'!$C$11,S105='[1]Tabla Impacto'!$D$11),"Leve",IF(OR(S105='[1]Tabla Impacto'!$C$12,S105='[1]Tabla Impacto'!$D$12),"Menor",IF(OR(S105='[1]Tabla Impacto'!$C$13,S105='[1]Tabla Impacto'!$D$13),"Moderado",IF(OR(S105='[1]Tabla Impacto'!$C$14,S105='[1]Tabla Impacto'!$D$14),"Mayor",IF(OR(S105='[1]Tabla Impacto'!$C$15,S105='[1]Tabla Impacto'!$D$15),"Catastrófico","")))))</f>
        <v>Moderado</v>
      </c>
      <c r="U105" s="243">
        <f t="shared" ref="U105" ca="1" si="299">IF(T105="","",IF(T105="Leve",0.2,IF(T105="Menor",0.4,IF(T105="Moderado",0.6,IF(T105="Mayor",0.8,IF(T105="Catastrófico",1,))))))</f>
        <v>0.6</v>
      </c>
      <c r="V105" s="252" t="str">
        <f t="shared" ref="V105" ca="1" si="300">IF(OR(AND(P105="Muy Baja",T105="Leve"),AND(P105="Muy Baja",T105="Menor"),AND(P105="Baja",T105="Leve")),"Bajo",IF(OR(AND(P105="Muy baja",T105="Moderado"),AND(P105="Baja",T105="Menor"),AND(P105="Baja",T105="Moderado"),AND(P105="Media",T105="Leve"),AND(P105="Media",T105="Menor"),AND(P105="Media",T105="Moderado"),AND(P105="Alta",T105="Leve"),AND(P105="Alta",T105="Menor")),"Moderado",IF(OR(AND(P105="Muy Baja",T105="Mayor"),AND(P105="Baja",T105="Mayor"),AND(P105="Media",T105="Mayor"),AND(P105="Alta",T105="Moderado"),AND(P105="Alta",T105="Mayor"),AND(P105="Muy Alta",T105="Leve"),AND(P105="Muy Alta",T105="Menor"),AND(P105="Muy Alta",T105="Moderado"),AND(P105="Muy Alta",T105="Mayor")),"Alto",IF(OR(AND(P105="Muy Baja",T105="Catastrófico"),AND(P105="Baja",T105="Catastrófico"),AND(P105="Media",T105="Catastrófico"),AND(P105="Alta",T105="Catastrófico"),AND(P105="Muy Alta",T105="Catastrófico")),"Extremo",""))))</f>
        <v>Moderado</v>
      </c>
      <c r="W105" s="252">
        <v>1</v>
      </c>
      <c r="X105" s="209" t="s">
        <v>1207</v>
      </c>
      <c r="Y105" s="250" t="str">
        <f t="shared" si="271"/>
        <v>Probabilidad</v>
      </c>
      <c r="Z105" s="185" t="s">
        <v>208</v>
      </c>
      <c r="AA105" s="185" t="s">
        <v>216</v>
      </c>
      <c r="AB105" s="186" t="str">
        <f t="shared" ref="AB105" si="301">IF(AND(Z105="Preventivo",AA105="Automático"),"50%",IF(AND(Z105="Preventivo",AA105="Manual"),"40%",IF(AND(Z105="Detectivo",AA105="Automático"),"40%",IF(AND(Z105="Detectivo",AA105="Manual"),"30%",IF(AND(Z105="Correctivo",AA105="Automático"),"35%",IF(AND(Z105="Correctivo",AA105="Manual"),"25%",""))))))</f>
        <v>40%</v>
      </c>
      <c r="AC105" s="185" t="s">
        <v>219</v>
      </c>
      <c r="AD105" s="185" t="s">
        <v>224</v>
      </c>
      <c r="AE105" s="185" t="s">
        <v>228</v>
      </c>
      <c r="AF105" s="187">
        <f>IFERROR(IF(Y105="Probabilidad",(Q105-(+Q105*AB105)),IF(Y105="Impacto",Q105,"")),"")</f>
        <v>0.24</v>
      </c>
      <c r="AG105" s="188" t="str">
        <f t="shared" ref="AG105" si="302">IFERROR(IF(AF105="","",IF(AF105&lt;=0.2,"Muy Baja",IF(AF105&lt;=0.4,"Baja",IF(AF105&lt;=0.6,"Media",IF(AF105&lt;=0.8,"Alta","Muy Alta"))))),"")</f>
        <v>Baja</v>
      </c>
      <c r="AH105" s="186">
        <f t="shared" ref="AH105" si="303">+AF105</f>
        <v>0.24</v>
      </c>
      <c r="AI105" s="188" t="str">
        <f t="shared" ref="AI105" ca="1" si="304">IFERROR(IF(AJ105="","",IF(AJ105&lt;=0.2,"Leve",IF(AJ105&lt;=0.4,"Menor",IF(AJ105&lt;=0.6,"Moderado",IF(AJ105&lt;=0.8,"Mayor","Catastrófico"))))),"")</f>
        <v>Moderado</v>
      </c>
      <c r="AJ105" s="186">
        <f t="shared" ref="AJ105" ca="1" si="305">IFERROR(IF(AND(Y104="Impacto",Y105="Impacto"),(AJ104-(+AJ104*AB105)),IF(Y105="Impacto",(U104-(+U104*AB105)),IF(Y105="Probabilidad",AJ104,""))),"")</f>
        <v>0.6</v>
      </c>
      <c r="AK105" s="189" t="str">
        <f t="shared" ref="AK105" ca="1" si="306">IFERROR(IF(OR(AND(AG105="Muy Baja",AI105="Leve"),AND(AG105="Muy Baja",AI105="Menor"),AND(AG105="Baja",AI105="Leve")),"Bajo",IF(OR(AND(AG105="Muy baja",AI105="Moderado"),AND(AG105="Baja",AI105="Menor"),AND(AG105="Baja",AI105="Moderado"),AND(AG105="Media",AI105="Leve"),AND(AG105="Media",AI105="Menor"),AND(AG105="Media",AI105="Moderado"),AND(AG105="Alta",AI105="Leve"),AND(AG105="Alta",AI105="Menor")),"Moderado",IF(OR(AND(AG105="Muy Baja",AI105="Mayor"),AND(AG105="Baja",AI105="Mayor"),AND(AG105="Media",AI105="Mayor"),AND(AG105="Alta",AI105="Moderado"),AND(AG105="Alta",AI105="Mayor"),AND(AG105="Muy Alta",AI105="Leve"),AND(AG105="Muy Alta",AI105="Menor"),AND(AG105="Muy Alta",AI105="Moderado"),AND(AG105="Muy Alta",AI105="Mayor")),"Alto",IF(OR(AND(AG105="Muy Baja",AI105="Catastrófico"),AND(AG105="Baja",AI105="Catastrófico"),AND(AG105="Media",AI105="Catastrófico"),AND(AG105="Alta",AI105="Catastrófico"),AND(AG105="Muy Alta",AI105="Catastrófico")),"Extremo","")))),"")</f>
        <v>Moderado</v>
      </c>
      <c r="AL105" s="185" t="s">
        <v>255</v>
      </c>
      <c r="AM105" s="246"/>
      <c r="AN105" s="250"/>
      <c r="AO105" s="245"/>
      <c r="AP105" s="245"/>
      <c r="AQ105" s="246"/>
      <c r="AR105" s="247"/>
    </row>
    <row r="106" spans="1:44" s="191" customFormat="1" ht="152.25" customHeight="1" thickTop="1" thickBot="1" x14ac:dyDescent="0.3">
      <c r="A106" s="310">
        <v>44</v>
      </c>
      <c r="B106" s="327" t="s">
        <v>657</v>
      </c>
      <c r="C106" s="315" t="s">
        <v>274</v>
      </c>
      <c r="D106" s="315" t="s">
        <v>658</v>
      </c>
      <c r="E106" s="315" t="s">
        <v>240</v>
      </c>
      <c r="F106" s="332" t="s">
        <v>659</v>
      </c>
      <c r="G106" s="332" t="s">
        <v>660</v>
      </c>
      <c r="H106" s="333" t="s">
        <v>1118</v>
      </c>
      <c r="I106" s="320" t="s">
        <v>474</v>
      </c>
      <c r="J106" s="320" t="s">
        <v>474</v>
      </c>
      <c r="K106" s="320" t="s">
        <v>474</v>
      </c>
      <c r="L106" s="320" t="s">
        <v>474</v>
      </c>
      <c r="M106" s="315" t="s">
        <v>239</v>
      </c>
      <c r="N106" s="315"/>
      <c r="O106" s="321">
        <v>4000</v>
      </c>
      <c r="P106" s="322" t="str">
        <f t="shared" si="267"/>
        <v>Alta</v>
      </c>
      <c r="Q106" s="323">
        <f t="shared" si="268"/>
        <v>0.8</v>
      </c>
      <c r="R106" s="323" t="s">
        <v>187</v>
      </c>
      <c r="S106" s="323" t="str">
        <f ca="1">IF(NOT(ISERROR(MATCH(R106,'Tabla Impacto'!$B$221:$B$223,0))),'Tabla Impacto'!$F$223&amp;"Por favor no seleccionar los criterios de impacto(Afectación Económica o presupuestal y Pérdida Reputacional)",R106)</f>
        <v>El riesgo afecta la imagen de la entidad internamente, de conocimiento general, nivel interno, de junta dircetiva y accionistas y/o de provedores</v>
      </c>
      <c r="T106" s="322" t="str">
        <f ca="1">+IF(OR(S106='[1]Tabla Impacto'!$C$11,S106='[1]Tabla Impacto'!$D$11),"Leve",IF(OR(S106='[1]Tabla Impacto'!$C$12,S106='[1]Tabla Impacto'!$D$12),"Menor",IF(OR(S106='[1]Tabla Impacto'!$C$13,S106='[1]Tabla Impacto'!$D$13),"Moderado",IF(OR(S106='[1]Tabla Impacto'!$C$14,S106='[1]Tabla Impacto'!$D$14),"Mayor",IF(OR(S106='[1]Tabla Impacto'!$C$15,S106='[1]Tabla Impacto'!$D$15),"Catastrófico","")))))</f>
        <v>Menor</v>
      </c>
      <c r="U106" s="323">
        <f t="shared" ref="U106" ca="1" si="307">IF(T106="","",IF(T106="Leve",0.2,IF(T106="Menor",0.4,IF(T106="Moderado",0.6,IF(T106="Mayor",0.8,IF(T106="Catastrófico",1,))))))</f>
        <v>0.4</v>
      </c>
      <c r="V106" s="309" t="str">
        <f t="shared" ref="V106" ca="1" si="308">IF(OR(AND(P106="Muy Baja",T106="Leve"),AND(P106="Muy Baja",T106="Menor"),AND(P106="Baja",T106="Leve")),"Bajo",IF(OR(AND(P106="Muy baja",T106="Moderado"),AND(P106="Baja",T106="Menor"),AND(P106="Baja",T106="Moderado"),AND(P106="Media",T106="Leve"),AND(P106="Media",T106="Menor"),AND(P106="Media",T106="Moderado"),AND(P106="Alta",T106="Leve"),AND(P106="Alta",T106="Menor")),"Moderado",IF(OR(AND(P106="Muy Baja",T106="Mayor"),AND(P106="Baja",T106="Mayor"),AND(P106="Media",T106="Mayor"),AND(P106="Alta",T106="Moderado"),AND(P106="Alta",T106="Mayor"),AND(P106="Muy Alta",T106="Leve"),AND(P106="Muy Alta",T106="Menor"),AND(P106="Muy Alta",T106="Moderado"),AND(P106="Muy Alta",T106="Mayor")),"Alto",IF(OR(AND(P106="Muy Baja",T106="Catastrófico"),AND(P106="Baja",T106="Catastrófico"),AND(P106="Media",T106="Catastrófico"),AND(P106="Alta",T106="Catastrófico"),AND(P106="Muy Alta",T106="Catastrófico")),"Extremo",""))))</f>
        <v>Moderado</v>
      </c>
      <c r="W106" s="252">
        <v>1</v>
      </c>
      <c r="X106" s="210" t="s">
        <v>1017</v>
      </c>
      <c r="Y106" s="250" t="str">
        <f t="shared" si="271"/>
        <v>Probabilidad</v>
      </c>
      <c r="Z106" s="185" t="s">
        <v>208</v>
      </c>
      <c r="AA106" s="185" t="s">
        <v>216</v>
      </c>
      <c r="AB106" s="186" t="str">
        <f t="shared" si="242"/>
        <v>40%</v>
      </c>
      <c r="AC106" s="185" t="s">
        <v>219</v>
      </c>
      <c r="AD106" s="185" t="s">
        <v>224</v>
      </c>
      <c r="AE106" s="185" t="s">
        <v>228</v>
      </c>
      <c r="AF106" s="187">
        <f t="shared" ref="AF106" si="309">IFERROR(IF(Y106="Probabilidad",(Q106-(+Q106*AB106)),IF(Y106="Impacto",Q106,"")),"")</f>
        <v>0.48</v>
      </c>
      <c r="AG106" s="188" t="str">
        <f t="shared" si="273"/>
        <v>Media</v>
      </c>
      <c r="AH106" s="186">
        <f t="shared" si="274"/>
        <v>0.48</v>
      </c>
      <c r="AI106" s="188" t="str">
        <f t="shared" ca="1" si="275"/>
        <v>Menor</v>
      </c>
      <c r="AJ106" s="186">
        <f t="shared" ref="AJ106" ca="1" si="310">IFERROR(IF(Y106="Impacto",(U106-(+U106*AB106)),IF(Y106="Probabilidad",U106,"")),"")</f>
        <v>0.4</v>
      </c>
      <c r="AK106" s="189" t="str">
        <f t="shared" ca="1" si="277"/>
        <v>Moderado</v>
      </c>
      <c r="AL106" s="185" t="s">
        <v>255</v>
      </c>
      <c r="AM106" s="246"/>
      <c r="AN106" s="250"/>
      <c r="AO106" s="245"/>
      <c r="AP106" s="245"/>
      <c r="AQ106" s="246"/>
      <c r="AR106" s="247"/>
    </row>
    <row r="107" spans="1:44" s="191" customFormat="1" ht="149.25" customHeight="1" thickTop="1" thickBot="1" x14ac:dyDescent="0.3">
      <c r="A107" s="310"/>
      <c r="B107" s="327"/>
      <c r="C107" s="315"/>
      <c r="D107" s="315"/>
      <c r="E107" s="315"/>
      <c r="F107" s="332"/>
      <c r="G107" s="332"/>
      <c r="H107" s="333"/>
      <c r="I107" s="320"/>
      <c r="J107" s="320"/>
      <c r="K107" s="320"/>
      <c r="L107" s="320"/>
      <c r="M107" s="315"/>
      <c r="N107" s="315"/>
      <c r="O107" s="321"/>
      <c r="P107" s="322"/>
      <c r="Q107" s="323"/>
      <c r="R107" s="323"/>
      <c r="S107" s="323">
        <f ca="1">IF(NOT(ISERROR(MATCH(R107,_xlfn.ANCHORARRAY(H111),0))),#REF!&amp;"Por favor no seleccionar los criterios de impacto",R107)</f>
        <v>0</v>
      </c>
      <c r="T107" s="322"/>
      <c r="U107" s="323"/>
      <c r="V107" s="309"/>
      <c r="W107" s="252">
        <v>2</v>
      </c>
      <c r="X107" s="208" t="s">
        <v>661</v>
      </c>
      <c r="Y107" s="250" t="str">
        <f t="shared" si="271"/>
        <v>Probabilidad</v>
      </c>
      <c r="Z107" s="185" t="s">
        <v>208</v>
      </c>
      <c r="AA107" s="185" t="s">
        <v>216</v>
      </c>
      <c r="AB107" s="186" t="str">
        <f t="shared" si="242"/>
        <v>40%</v>
      </c>
      <c r="AC107" s="185" t="s">
        <v>219</v>
      </c>
      <c r="AD107" s="185" t="s">
        <v>224</v>
      </c>
      <c r="AE107" s="185" t="s">
        <v>228</v>
      </c>
      <c r="AF107" s="187">
        <f t="shared" ref="AF107:AF109" si="311">IFERROR(IF(AND(Y106="Probabilidad",Y107="Probabilidad"),(AH106-(+AH106*AB107)),IF(Y107="Probabilidad",(Q106-(+Q106*AB107)),IF(Y107="Impacto",AH106,""))),"")</f>
        <v>0.28799999999999998</v>
      </c>
      <c r="AG107" s="188" t="str">
        <f t="shared" si="273"/>
        <v>Baja</v>
      </c>
      <c r="AH107" s="186">
        <f t="shared" si="274"/>
        <v>0.28799999999999998</v>
      </c>
      <c r="AI107" s="188" t="str">
        <f t="shared" ca="1" si="275"/>
        <v>Menor</v>
      </c>
      <c r="AJ107" s="186">
        <f t="shared" ref="AJ107" ca="1" si="312">IFERROR(IF(AND(Y106="Impacto",Y107="Impacto"),(AJ106-(+AJ106*AB107)),IF(Y107="Impacto",(U106-(+U106*AB107)),IF(Y107="Probabilidad",AJ106,""))),"")</f>
        <v>0.4</v>
      </c>
      <c r="AK107" s="189" t="str">
        <f t="shared" ca="1" si="277"/>
        <v>Moderado</v>
      </c>
      <c r="AL107" s="185" t="s">
        <v>255</v>
      </c>
      <c r="AM107" s="246"/>
      <c r="AN107" s="250"/>
      <c r="AO107" s="245"/>
      <c r="AP107" s="245"/>
      <c r="AQ107" s="246"/>
      <c r="AR107" s="247"/>
    </row>
    <row r="108" spans="1:44" s="191" customFormat="1" ht="139.5" customHeight="1" thickTop="1" thickBot="1" x14ac:dyDescent="0.3">
      <c r="A108" s="310"/>
      <c r="B108" s="327"/>
      <c r="C108" s="315"/>
      <c r="D108" s="315"/>
      <c r="E108" s="315"/>
      <c r="F108" s="332"/>
      <c r="G108" s="332"/>
      <c r="H108" s="333"/>
      <c r="I108" s="320"/>
      <c r="J108" s="320"/>
      <c r="K108" s="320"/>
      <c r="L108" s="320"/>
      <c r="M108" s="315"/>
      <c r="N108" s="315"/>
      <c r="O108" s="321"/>
      <c r="P108" s="322"/>
      <c r="Q108" s="323"/>
      <c r="R108" s="323"/>
      <c r="S108" s="323">
        <f ca="1">IF(NOT(ISERROR(MATCH(R108,_xlfn.ANCHORARRAY(#REF!),0))),#REF!&amp;"Por favor no seleccionar los criterios de impacto",R108)</f>
        <v>0</v>
      </c>
      <c r="T108" s="322"/>
      <c r="U108" s="323"/>
      <c r="V108" s="309"/>
      <c r="W108" s="252">
        <v>3</v>
      </c>
      <c r="X108" s="210" t="s">
        <v>1018</v>
      </c>
      <c r="Y108" s="250" t="str">
        <f t="shared" si="271"/>
        <v>Probabilidad</v>
      </c>
      <c r="Z108" s="185" t="s">
        <v>208</v>
      </c>
      <c r="AA108" s="185" t="s">
        <v>216</v>
      </c>
      <c r="AB108" s="186" t="str">
        <f t="shared" si="242"/>
        <v>40%</v>
      </c>
      <c r="AC108" s="185" t="s">
        <v>219</v>
      </c>
      <c r="AD108" s="185" t="s">
        <v>224</v>
      </c>
      <c r="AE108" s="185" t="s">
        <v>228</v>
      </c>
      <c r="AF108" s="187">
        <f t="shared" si="311"/>
        <v>0.17279999999999998</v>
      </c>
      <c r="AG108" s="188" t="str">
        <f t="shared" si="273"/>
        <v>Muy Baja</v>
      </c>
      <c r="AH108" s="186">
        <f t="shared" si="274"/>
        <v>0.17279999999999998</v>
      </c>
      <c r="AI108" s="188" t="str">
        <f t="shared" ca="1" si="275"/>
        <v>Menor</v>
      </c>
      <c r="AJ108" s="186">
        <f t="shared" ref="AJ108:AJ109" ca="1" si="313">IFERROR(IF(AND(Y107="Impacto",Y108="Impacto"),(AJ107-(+AJ107*AB108)),IF(AND(Y107="Probabilidad",Y108="Impacto"),(AJ106-(+AJ106*AB108)),IF(Y108="Probabilidad",AJ107,""))),"")</f>
        <v>0.4</v>
      </c>
      <c r="AK108" s="189" t="str">
        <f t="shared" ca="1" si="277"/>
        <v>Bajo</v>
      </c>
      <c r="AL108" s="185" t="s">
        <v>255</v>
      </c>
      <c r="AM108" s="246"/>
      <c r="AN108" s="250"/>
      <c r="AO108" s="245"/>
      <c r="AP108" s="245"/>
      <c r="AQ108" s="246"/>
      <c r="AR108" s="247"/>
    </row>
    <row r="109" spans="1:44" s="191" customFormat="1" ht="125.25" customHeight="1" thickTop="1" thickBot="1" x14ac:dyDescent="0.3">
      <c r="A109" s="310"/>
      <c r="B109" s="327"/>
      <c r="C109" s="315"/>
      <c r="D109" s="315"/>
      <c r="E109" s="315"/>
      <c r="F109" s="332"/>
      <c r="G109" s="332"/>
      <c r="H109" s="333"/>
      <c r="I109" s="320"/>
      <c r="J109" s="320"/>
      <c r="K109" s="320"/>
      <c r="L109" s="320"/>
      <c r="M109" s="315"/>
      <c r="N109" s="315"/>
      <c r="O109" s="321"/>
      <c r="P109" s="322"/>
      <c r="Q109" s="323"/>
      <c r="R109" s="323"/>
      <c r="S109" s="323">
        <f ca="1">IF(NOT(ISERROR(MATCH(R109,_xlfn.ANCHORARRAY(#REF!),0))),#REF!&amp;"Por favor no seleccionar los criterios de impacto",R109)</f>
        <v>0</v>
      </c>
      <c r="T109" s="322"/>
      <c r="U109" s="323"/>
      <c r="V109" s="309"/>
      <c r="W109" s="252">
        <v>4</v>
      </c>
      <c r="X109" s="210" t="s">
        <v>1019</v>
      </c>
      <c r="Y109" s="250" t="str">
        <f t="shared" si="271"/>
        <v>Probabilidad</v>
      </c>
      <c r="Z109" s="185" t="s">
        <v>208</v>
      </c>
      <c r="AA109" s="185" t="s">
        <v>216</v>
      </c>
      <c r="AB109" s="186" t="str">
        <f t="shared" si="242"/>
        <v>40%</v>
      </c>
      <c r="AC109" s="185" t="s">
        <v>219</v>
      </c>
      <c r="AD109" s="185" t="s">
        <v>224</v>
      </c>
      <c r="AE109" s="185" t="s">
        <v>228</v>
      </c>
      <c r="AF109" s="187">
        <f t="shared" si="311"/>
        <v>0.10367999999999998</v>
      </c>
      <c r="AG109" s="188" t="str">
        <f t="shared" si="273"/>
        <v>Muy Baja</v>
      </c>
      <c r="AH109" s="186">
        <f t="shared" si="274"/>
        <v>0.10367999999999998</v>
      </c>
      <c r="AI109" s="188" t="str">
        <f t="shared" ca="1" si="275"/>
        <v>Menor</v>
      </c>
      <c r="AJ109" s="186">
        <f t="shared" ca="1" si="313"/>
        <v>0.4</v>
      </c>
      <c r="AK109" s="189" t="str">
        <f t="shared" ca="1" si="277"/>
        <v>Bajo</v>
      </c>
      <c r="AL109" s="185" t="s">
        <v>255</v>
      </c>
      <c r="AM109" s="246"/>
      <c r="AN109" s="250"/>
      <c r="AO109" s="245"/>
      <c r="AP109" s="245"/>
      <c r="AQ109" s="246"/>
      <c r="AR109" s="247"/>
    </row>
    <row r="110" spans="1:44" s="191" customFormat="1" ht="189.75" customHeight="1" thickTop="1" thickBot="1" x14ac:dyDescent="0.3">
      <c r="A110" s="244">
        <v>45</v>
      </c>
      <c r="B110" s="248" t="s">
        <v>662</v>
      </c>
      <c r="C110" s="256" t="s">
        <v>274</v>
      </c>
      <c r="D110" s="256" t="s">
        <v>663</v>
      </c>
      <c r="E110" s="256" t="s">
        <v>240</v>
      </c>
      <c r="F110" s="257" t="s">
        <v>664</v>
      </c>
      <c r="G110" s="257" t="s">
        <v>665</v>
      </c>
      <c r="H110" s="258" t="s">
        <v>1119</v>
      </c>
      <c r="I110" s="242" t="s">
        <v>474</v>
      </c>
      <c r="J110" s="242" t="s">
        <v>474</v>
      </c>
      <c r="K110" s="242" t="s">
        <v>474</v>
      </c>
      <c r="L110" s="242" t="s">
        <v>474</v>
      </c>
      <c r="M110" s="246" t="s">
        <v>239</v>
      </c>
      <c r="N110" s="246"/>
      <c r="O110" s="250">
        <v>365</v>
      </c>
      <c r="P110" s="251" t="str">
        <f t="shared" si="267"/>
        <v>Media</v>
      </c>
      <c r="Q110" s="243">
        <f t="shared" si="268"/>
        <v>0.6</v>
      </c>
      <c r="R110" s="243" t="s">
        <v>184</v>
      </c>
      <c r="S110" s="243" t="str">
        <f ca="1">IF(NOT(ISERROR(MATCH(R110,'Tabla Impacto'!$B$221:$B$223,0))),'Tabla Impacto'!$F$223&amp;"Por favor no seleccionar los criterios de impacto(Afectación Económica o presupuestal y Pérdida Reputacional)",R110)</f>
        <v>El riesgo afecta la imagen de alguna área de la organización</v>
      </c>
      <c r="T110" s="251" t="str">
        <f ca="1">+IF(OR(S110='[1]Tabla Impacto'!$C$11,S110='[1]Tabla Impacto'!$D$11),"Leve",IF(OR(S110='[1]Tabla Impacto'!$C$12,S110='[1]Tabla Impacto'!$D$12),"Menor",IF(OR(S110='[1]Tabla Impacto'!$C$13,S110='[1]Tabla Impacto'!$D$13),"Moderado",IF(OR(S110='[1]Tabla Impacto'!$C$14,S110='[1]Tabla Impacto'!$D$14),"Mayor",IF(OR(S110='[1]Tabla Impacto'!$C$15,S110='[1]Tabla Impacto'!$D$15),"Catastrófico","")))))</f>
        <v>Leve</v>
      </c>
      <c r="U110" s="243">
        <f t="shared" ref="U110" ca="1" si="314">IF(T110="","",IF(T110="Leve",0.2,IF(T110="Menor",0.4,IF(T110="Moderado",0.6,IF(T110="Mayor",0.8,IF(T110="Catastrófico",1,))))))</f>
        <v>0.2</v>
      </c>
      <c r="V110" s="252" t="str">
        <f t="shared" ref="V110" ca="1" si="315">IF(OR(AND(P110="Muy Baja",T110="Leve"),AND(P110="Muy Baja",T110="Menor"),AND(P110="Baja",T110="Leve")),"Bajo",IF(OR(AND(P110="Muy baja",T110="Moderado"),AND(P110="Baja",T110="Menor"),AND(P110="Baja",T110="Moderado"),AND(P110="Media",T110="Leve"),AND(P110="Media",T110="Menor"),AND(P110="Media",T110="Moderado"),AND(P110="Alta",T110="Leve"),AND(P110="Alta",T110="Menor")),"Moderado",IF(OR(AND(P110="Muy Baja",T110="Mayor"),AND(P110="Baja",T110="Mayor"),AND(P110="Media",T110="Mayor"),AND(P110="Alta",T110="Moderado"),AND(P110="Alta",T110="Mayor"),AND(P110="Muy Alta",T110="Leve"),AND(P110="Muy Alta",T110="Menor"),AND(P110="Muy Alta",T110="Moderado"),AND(P110="Muy Alta",T110="Mayor")),"Alto",IF(OR(AND(P110="Muy Baja",T110="Catastrófico"),AND(P110="Baja",T110="Catastrófico"),AND(P110="Media",T110="Catastrófico"),AND(P110="Alta",T110="Catastrófico"),AND(P110="Muy Alta",T110="Catastrófico")),"Extremo",""))))</f>
        <v>Moderado</v>
      </c>
      <c r="W110" s="252">
        <v>1</v>
      </c>
      <c r="X110" s="207" t="s">
        <v>1020</v>
      </c>
      <c r="Y110" s="250" t="str">
        <f t="shared" si="271"/>
        <v>Probabilidad</v>
      </c>
      <c r="Z110" s="185" t="s">
        <v>208</v>
      </c>
      <c r="AA110" s="185" t="s">
        <v>216</v>
      </c>
      <c r="AB110" s="186" t="str">
        <f t="shared" si="242"/>
        <v>40%</v>
      </c>
      <c r="AC110" s="185" t="s">
        <v>219</v>
      </c>
      <c r="AD110" s="185" t="s">
        <v>224</v>
      </c>
      <c r="AE110" s="185" t="s">
        <v>228</v>
      </c>
      <c r="AF110" s="187">
        <f t="shared" ref="AF110" si="316">IFERROR(IF(Y110="Probabilidad",(Q110-(+Q110*AB110)),IF(Y110="Impacto",Q110,"")),"")</f>
        <v>0.36</v>
      </c>
      <c r="AG110" s="188" t="str">
        <f t="shared" si="273"/>
        <v>Baja</v>
      </c>
      <c r="AH110" s="186">
        <f t="shared" si="274"/>
        <v>0.36</v>
      </c>
      <c r="AI110" s="188" t="str">
        <f t="shared" ca="1" si="275"/>
        <v>Leve</v>
      </c>
      <c r="AJ110" s="186">
        <f t="shared" ref="AJ110" ca="1" si="317">IFERROR(IF(Y110="Impacto",(U110-(+U110*AB110)),IF(Y110="Probabilidad",U110,"")),"")</f>
        <v>0.2</v>
      </c>
      <c r="AK110" s="189" t="str">
        <f t="shared" ca="1" si="277"/>
        <v>Bajo</v>
      </c>
      <c r="AL110" s="185" t="s">
        <v>255</v>
      </c>
      <c r="AM110" s="246"/>
      <c r="AN110" s="250"/>
      <c r="AO110" s="245"/>
      <c r="AP110" s="245"/>
      <c r="AQ110" s="246"/>
      <c r="AR110" s="247"/>
    </row>
    <row r="111" spans="1:44" s="191" customFormat="1" ht="409.5" customHeight="1" thickTop="1" thickBot="1" x14ac:dyDescent="0.3">
      <c r="A111" s="244">
        <v>46</v>
      </c>
      <c r="B111" s="248" t="s">
        <v>666</v>
      </c>
      <c r="C111" s="256" t="s">
        <v>274</v>
      </c>
      <c r="D111" s="256" t="s">
        <v>667</v>
      </c>
      <c r="E111" s="256" t="s">
        <v>240</v>
      </c>
      <c r="F111" s="257" t="s">
        <v>611</v>
      </c>
      <c r="G111" s="257" t="s">
        <v>668</v>
      </c>
      <c r="H111" s="258" t="s">
        <v>1162</v>
      </c>
      <c r="I111" s="242" t="s">
        <v>593</v>
      </c>
      <c r="J111" s="242" t="s">
        <v>593</v>
      </c>
      <c r="K111" s="242" t="s">
        <v>593</v>
      </c>
      <c r="L111" s="242" t="s">
        <v>593</v>
      </c>
      <c r="M111" s="259" t="s">
        <v>244</v>
      </c>
      <c r="N111" s="246"/>
      <c r="O111" s="250">
        <v>365</v>
      </c>
      <c r="P111" s="251" t="str">
        <f t="shared" si="267"/>
        <v>Media</v>
      </c>
      <c r="Q111" s="243">
        <f t="shared" si="268"/>
        <v>0.6</v>
      </c>
      <c r="R111" s="243" t="s">
        <v>190</v>
      </c>
      <c r="S111" s="243" t="str">
        <f ca="1">IF(NOT(ISERROR(MATCH(R111,'Tabla Impacto'!$B$221:$B$223,0))),'Tabla Impacto'!$F$223&amp;"Por favor no seleccionar los criterios de impacto(Afectación Económica o presupuestal y Pérdida Reputacional)",R111)</f>
        <v>El riesgo afecta la imagen de la entidad con algunos usuarios de relevancia frente al logro de los objetivos</v>
      </c>
      <c r="T111" s="251" t="str">
        <f ca="1">+IF(OR(S111='[1]Tabla Impacto'!$C$11,S111='[1]Tabla Impacto'!$D$11),"Leve",IF(OR(S111='[1]Tabla Impacto'!$C$12,S111='[1]Tabla Impacto'!$D$12),"Menor",IF(OR(S111='[1]Tabla Impacto'!$C$13,S111='[1]Tabla Impacto'!$D$13),"Moderado",IF(OR(S111='[1]Tabla Impacto'!$C$14,S111='[1]Tabla Impacto'!$D$14),"Mayor",IF(OR(S111='[1]Tabla Impacto'!$C$15,S111='[1]Tabla Impacto'!$D$15),"Catastrófico","")))))</f>
        <v>Moderado</v>
      </c>
      <c r="U111" s="243">
        <f t="shared" ref="U111" ca="1" si="318">IF(T111="","",IF(T111="Leve",0.2,IF(T111="Menor",0.4,IF(T111="Moderado",0.6,IF(T111="Mayor",0.8,IF(T111="Catastrófico",1,))))))</f>
        <v>0.6</v>
      </c>
      <c r="V111" s="252" t="str">
        <f t="shared" ref="V111" ca="1" si="319">IF(OR(AND(P111="Muy Baja",T111="Leve"),AND(P111="Muy Baja",T111="Menor"),AND(P111="Baja",T111="Leve")),"Bajo",IF(OR(AND(P111="Muy baja",T111="Moderado"),AND(P111="Baja",T111="Menor"),AND(P111="Baja",T111="Moderado"),AND(P111="Media",T111="Leve"),AND(P111="Media",T111="Menor"),AND(P111="Media",T111="Moderado"),AND(P111="Alta",T111="Leve"),AND(P111="Alta",T111="Menor")),"Moderado",IF(OR(AND(P111="Muy Baja",T111="Mayor"),AND(P111="Baja",T111="Mayor"),AND(P111="Media",T111="Mayor"),AND(P111="Alta",T111="Moderado"),AND(P111="Alta",T111="Mayor"),AND(P111="Muy Alta",T111="Leve"),AND(P111="Muy Alta",T111="Menor"),AND(P111="Muy Alta",T111="Moderado"),AND(P111="Muy Alta",T111="Mayor")),"Alto",IF(OR(AND(P111="Muy Baja",T111="Catastrófico"),AND(P111="Baja",T111="Catastrófico"),AND(P111="Media",T111="Catastrófico"),AND(P111="Alta",T111="Catastrófico"),AND(P111="Muy Alta",T111="Catastrófico")),"Extremo",""))))</f>
        <v>Moderado</v>
      </c>
      <c r="W111" s="252">
        <v>1</v>
      </c>
      <c r="X111" s="207" t="s">
        <v>927</v>
      </c>
      <c r="Y111" s="250" t="str">
        <f t="shared" si="271"/>
        <v>Probabilidad</v>
      </c>
      <c r="Z111" s="185" t="s">
        <v>208</v>
      </c>
      <c r="AA111" s="185" t="s">
        <v>216</v>
      </c>
      <c r="AB111" s="186" t="str">
        <f t="shared" ref="AB111:AB135" si="320">IF(AND(Z111="Preventivo",AA111="Automático"),"50%",IF(AND(Z111="Preventivo",AA111="Manual"),"40%",IF(AND(Z111="Detectivo",AA111="Automático"),"40%",IF(AND(Z111="Detectivo",AA111="Manual"),"30%",IF(AND(Z111="Correctivo",AA111="Automático"),"35%",IF(AND(Z111="Correctivo",AA111="Manual"),"25%",""))))))</f>
        <v>40%</v>
      </c>
      <c r="AC111" s="185" t="s">
        <v>219</v>
      </c>
      <c r="AD111" s="185" t="s">
        <v>224</v>
      </c>
      <c r="AE111" s="185" t="s">
        <v>228</v>
      </c>
      <c r="AF111" s="187">
        <f t="shared" ref="AF111" si="321">IFERROR(IF(Y111="Probabilidad",(Q111-(+Q111*AB111)),IF(Y111="Impacto",Q111,"")),"")</f>
        <v>0.36</v>
      </c>
      <c r="AG111" s="188" t="str">
        <f t="shared" si="273"/>
        <v>Baja</v>
      </c>
      <c r="AH111" s="186">
        <f t="shared" si="274"/>
        <v>0.36</v>
      </c>
      <c r="AI111" s="188" t="str">
        <f t="shared" ca="1" si="275"/>
        <v>Moderado</v>
      </c>
      <c r="AJ111" s="186">
        <f t="shared" ref="AJ111" ca="1" si="322">IFERROR(IF(Y111="Impacto",(U111-(+U111*AB111)),IF(Y111="Probabilidad",U111,"")),"")</f>
        <v>0.6</v>
      </c>
      <c r="AK111" s="189" t="str">
        <f t="shared" ca="1" si="277"/>
        <v>Moderado</v>
      </c>
      <c r="AL111" s="185" t="s">
        <v>255</v>
      </c>
      <c r="AM111" s="246"/>
      <c r="AN111" s="250"/>
      <c r="AO111" s="245"/>
      <c r="AP111" s="245"/>
      <c r="AQ111" s="246"/>
      <c r="AR111" s="247"/>
    </row>
    <row r="112" spans="1:44" s="191" customFormat="1" ht="267" customHeight="1" thickTop="1" thickBot="1" x14ac:dyDescent="0.3">
      <c r="A112" s="244">
        <v>47</v>
      </c>
      <c r="B112" s="248" t="s">
        <v>669</v>
      </c>
      <c r="C112" s="256" t="s">
        <v>274</v>
      </c>
      <c r="D112" s="256" t="s">
        <v>667</v>
      </c>
      <c r="E112" s="256" t="s">
        <v>238</v>
      </c>
      <c r="F112" s="257" t="s">
        <v>670</v>
      </c>
      <c r="G112" s="257" t="s">
        <v>671</v>
      </c>
      <c r="H112" s="258" t="s">
        <v>1120</v>
      </c>
      <c r="I112" s="242" t="s">
        <v>474</v>
      </c>
      <c r="J112" s="242" t="s">
        <v>474</v>
      </c>
      <c r="K112" s="242" t="s">
        <v>474</v>
      </c>
      <c r="L112" s="242" t="s">
        <v>474</v>
      </c>
      <c r="M112" s="246" t="s">
        <v>239</v>
      </c>
      <c r="N112" s="246"/>
      <c r="O112" s="250">
        <v>1</v>
      </c>
      <c r="P112" s="251" t="str">
        <f t="shared" si="267"/>
        <v>Muy Baja</v>
      </c>
      <c r="Q112" s="243">
        <f t="shared" si="268"/>
        <v>0.2</v>
      </c>
      <c r="R112" s="243" t="s">
        <v>187</v>
      </c>
      <c r="S112" s="243" t="str">
        <f ca="1">IF(NOT(ISERROR(MATCH(R112,'Tabla Impacto'!$B$221:$B$223,0))),'Tabla Impacto'!$F$223&amp;"Por favor no seleccionar los criterios de impacto(Afectación Económica o presupuestal y Pérdida Reputacional)",R112)</f>
        <v>El riesgo afecta la imagen de la entidad internamente, de conocimiento general, nivel interno, de junta dircetiva y accionistas y/o de provedores</v>
      </c>
      <c r="T112" s="251" t="str">
        <f ca="1">+IF(OR(S112='[1]Tabla Impacto'!$C$11,S112='[1]Tabla Impacto'!$D$11),"Leve",IF(OR(S112='[1]Tabla Impacto'!$C$12,S112='[1]Tabla Impacto'!$D$12),"Menor",IF(OR(S112='[1]Tabla Impacto'!$C$13,S112='[1]Tabla Impacto'!$D$13),"Moderado",IF(OR(S112='[1]Tabla Impacto'!$C$14,S112='[1]Tabla Impacto'!$D$14),"Mayor",IF(OR(S112='[1]Tabla Impacto'!$C$15,S112='[1]Tabla Impacto'!$D$15),"Catastrófico","")))))</f>
        <v>Menor</v>
      </c>
      <c r="U112" s="243">
        <f t="shared" ref="U112" ca="1" si="323">IF(T112="","",IF(T112="Leve",0.2,IF(T112="Menor",0.4,IF(T112="Moderado",0.6,IF(T112="Mayor",0.8,IF(T112="Catastrófico",1,))))))</f>
        <v>0.4</v>
      </c>
      <c r="V112" s="252" t="str">
        <f t="shared" ref="V112" ca="1" si="324">IF(OR(AND(P112="Muy Baja",T112="Leve"),AND(P112="Muy Baja",T112="Menor"),AND(P112="Baja",T112="Leve")),"Bajo",IF(OR(AND(P112="Muy baja",T112="Moderado"),AND(P112="Baja",T112="Menor"),AND(P112="Baja",T112="Moderado"),AND(P112="Media",T112="Leve"),AND(P112="Media",T112="Menor"),AND(P112="Media",T112="Moderado"),AND(P112="Alta",T112="Leve"),AND(P112="Alta",T112="Menor")),"Moderado",IF(OR(AND(P112="Muy Baja",T112="Mayor"),AND(P112="Baja",T112="Mayor"),AND(P112="Media",T112="Mayor"),AND(P112="Alta",T112="Moderado"),AND(P112="Alta",T112="Mayor"),AND(P112="Muy Alta",T112="Leve"),AND(P112="Muy Alta",T112="Menor"),AND(P112="Muy Alta",T112="Moderado"),AND(P112="Muy Alta",T112="Mayor")),"Alto",IF(OR(AND(P112="Muy Baja",T112="Catastrófico"),AND(P112="Baja",T112="Catastrófico"),AND(P112="Media",T112="Catastrófico"),AND(P112="Alta",T112="Catastrófico"),AND(P112="Muy Alta",T112="Catastrófico")),"Extremo",""))))</f>
        <v>Bajo</v>
      </c>
      <c r="W112" s="252">
        <v>1</v>
      </c>
      <c r="X112" s="207" t="s">
        <v>672</v>
      </c>
      <c r="Y112" s="250" t="str">
        <f t="shared" si="271"/>
        <v>Probabilidad</v>
      </c>
      <c r="Z112" s="185" t="s">
        <v>208</v>
      </c>
      <c r="AA112" s="185" t="s">
        <v>216</v>
      </c>
      <c r="AB112" s="186" t="str">
        <f t="shared" si="320"/>
        <v>40%</v>
      </c>
      <c r="AC112" s="185" t="s">
        <v>219</v>
      </c>
      <c r="AD112" s="185" t="s">
        <v>224</v>
      </c>
      <c r="AE112" s="185" t="s">
        <v>228</v>
      </c>
      <c r="AF112" s="187">
        <f t="shared" ref="AF112" si="325">IFERROR(IF(Y112="Probabilidad",(Q112-(+Q112*AB112)),IF(Y112="Impacto",Q112,"")),"")</f>
        <v>0.12</v>
      </c>
      <c r="AG112" s="188" t="str">
        <f t="shared" si="273"/>
        <v>Muy Baja</v>
      </c>
      <c r="AH112" s="186">
        <f t="shared" si="274"/>
        <v>0.12</v>
      </c>
      <c r="AI112" s="188" t="str">
        <f t="shared" ca="1" si="275"/>
        <v>Menor</v>
      </c>
      <c r="AJ112" s="186">
        <f t="shared" ref="AJ112" ca="1" si="326">IFERROR(IF(Y112="Impacto",(U112-(+U112*AB112)),IF(Y112="Probabilidad",U112,"")),"")</f>
        <v>0.4</v>
      </c>
      <c r="AK112" s="189" t="str">
        <f t="shared" ca="1" si="277"/>
        <v>Bajo</v>
      </c>
      <c r="AL112" s="185" t="s">
        <v>255</v>
      </c>
      <c r="AM112" s="246"/>
      <c r="AN112" s="250"/>
      <c r="AO112" s="245"/>
      <c r="AP112" s="245"/>
      <c r="AQ112" s="246"/>
      <c r="AR112" s="247"/>
    </row>
    <row r="113" spans="1:44" s="191" customFormat="1" ht="172.5" customHeight="1" thickTop="1" thickBot="1" x14ac:dyDescent="0.3">
      <c r="A113" s="310">
        <v>48</v>
      </c>
      <c r="B113" s="327" t="s">
        <v>673</v>
      </c>
      <c r="C113" s="317" t="s">
        <v>274</v>
      </c>
      <c r="D113" s="317" t="s">
        <v>674</v>
      </c>
      <c r="E113" s="317" t="s">
        <v>240</v>
      </c>
      <c r="F113" s="318" t="s">
        <v>675</v>
      </c>
      <c r="G113" s="318" t="s">
        <v>676</v>
      </c>
      <c r="H113" s="319" t="s">
        <v>1121</v>
      </c>
      <c r="I113" s="320" t="s">
        <v>593</v>
      </c>
      <c r="J113" s="320" t="s">
        <v>593</v>
      </c>
      <c r="K113" s="320" t="s">
        <v>593</v>
      </c>
      <c r="L113" s="320" t="s">
        <v>593</v>
      </c>
      <c r="M113" s="315" t="s">
        <v>239</v>
      </c>
      <c r="N113" s="315"/>
      <c r="O113" s="321">
        <v>365</v>
      </c>
      <c r="P113" s="322" t="str">
        <f t="shared" si="267"/>
        <v>Media</v>
      </c>
      <c r="Q113" s="323">
        <f t="shared" si="268"/>
        <v>0.6</v>
      </c>
      <c r="R113" s="323" t="s">
        <v>186</v>
      </c>
      <c r="S113" s="323" t="str">
        <f ca="1">IF(NOT(ISERROR(MATCH(R113,'Tabla Impacto'!$B$221:$B$223,0))),'Tabla Impacto'!$F$223&amp;"Por favor no seleccionar los criterios de impacto(Afectación Económica o presupuestal y Pérdida Reputacional)",R113)</f>
        <v xml:space="preserve">Entre 10 y 50 SMLMV </v>
      </c>
      <c r="T113" s="322" t="str">
        <f ca="1">+IF(OR(S113='[1]Tabla Impacto'!$C$11,S113='[1]Tabla Impacto'!$D$11),"Leve",IF(OR(S113='[1]Tabla Impacto'!$C$12,S113='[1]Tabla Impacto'!$D$12),"Menor",IF(OR(S113='[1]Tabla Impacto'!$C$13,S113='[1]Tabla Impacto'!$D$13),"Moderado",IF(OR(S113='[1]Tabla Impacto'!$C$14,S113='[1]Tabla Impacto'!$D$14),"Mayor",IF(OR(S113='[1]Tabla Impacto'!$C$15,S113='[1]Tabla Impacto'!$D$15),"Catastrófico","")))))</f>
        <v>Menor</v>
      </c>
      <c r="U113" s="323">
        <f t="shared" ref="U113" ca="1" si="327">IF(T113="","",IF(T113="Leve",0.2,IF(T113="Menor",0.4,IF(T113="Moderado",0.6,IF(T113="Mayor",0.8,IF(T113="Catastrófico",1,))))))</f>
        <v>0.4</v>
      </c>
      <c r="V113" s="309" t="str">
        <f t="shared" ref="V113" ca="1" si="328">IF(OR(AND(P113="Muy Baja",T113="Leve"),AND(P113="Muy Baja",T113="Menor"),AND(P113="Baja",T113="Leve")),"Bajo",IF(OR(AND(P113="Muy baja",T113="Moderado"),AND(P113="Baja",T113="Menor"),AND(P113="Baja",T113="Moderado"),AND(P113="Media",T113="Leve"),AND(P113="Media",T113="Menor"),AND(P113="Media",T113="Moderado"),AND(P113="Alta",T113="Leve"),AND(P113="Alta",T113="Menor")),"Moderado",IF(OR(AND(P113="Muy Baja",T113="Mayor"),AND(P113="Baja",T113="Mayor"),AND(P113="Media",T113="Mayor"),AND(P113="Alta",T113="Moderado"),AND(P113="Alta",T113="Mayor"),AND(P113="Muy Alta",T113="Leve"),AND(P113="Muy Alta",T113="Menor"),AND(P113="Muy Alta",T113="Moderado"),AND(P113="Muy Alta",T113="Mayor")),"Alto",IF(OR(AND(P113="Muy Baja",T113="Catastrófico"),AND(P113="Baja",T113="Catastrófico"),AND(P113="Media",T113="Catastrófico"),AND(P113="Alta",T113="Catastrófico"),AND(P113="Muy Alta",T113="Catastrófico")),"Extremo",""))))</f>
        <v>Moderado</v>
      </c>
      <c r="W113" s="252">
        <v>1</v>
      </c>
      <c r="X113" s="207" t="s">
        <v>677</v>
      </c>
      <c r="Y113" s="250" t="str">
        <f t="shared" si="271"/>
        <v>Probabilidad</v>
      </c>
      <c r="Z113" s="185" t="s">
        <v>208</v>
      </c>
      <c r="AA113" s="185" t="s">
        <v>216</v>
      </c>
      <c r="AB113" s="186" t="str">
        <f t="shared" si="320"/>
        <v>40%</v>
      </c>
      <c r="AC113" s="185" t="s">
        <v>219</v>
      </c>
      <c r="AD113" s="185" t="s">
        <v>224</v>
      </c>
      <c r="AE113" s="185" t="s">
        <v>228</v>
      </c>
      <c r="AF113" s="187">
        <f t="shared" ref="AF113" si="329">IFERROR(IF(Y113="Probabilidad",(Q113-(+Q113*AB113)),IF(Y113="Impacto",Q113,"")),"")</f>
        <v>0.36</v>
      </c>
      <c r="AG113" s="188" t="str">
        <f t="shared" si="273"/>
        <v>Baja</v>
      </c>
      <c r="AH113" s="186">
        <f t="shared" si="274"/>
        <v>0.36</v>
      </c>
      <c r="AI113" s="188" t="str">
        <f t="shared" ca="1" si="275"/>
        <v>Menor</v>
      </c>
      <c r="AJ113" s="186">
        <f t="shared" ref="AJ113" ca="1" si="330">IFERROR(IF(Y113="Impacto",(U113-(+U113*AB113)),IF(Y113="Probabilidad",U113,"")),"")</f>
        <v>0.4</v>
      </c>
      <c r="AK113" s="189" t="str">
        <f t="shared" ca="1" si="277"/>
        <v>Moderado</v>
      </c>
      <c r="AL113" s="185" t="s">
        <v>255</v>
      </c>
      <c r="AM113" s="246"/>
      <c r="AN113" s="250"/>
      <c r="AO113" s="245"/>
      <c r="AP113" s="245"/>
      <c r="AQ113" s="246"/>
      <c r="AR113" s="247"/>
    </row>
    <row r="114" spans="1:44" s="191" customFormat="1" ht="156" customHeight="1" thickTop="1" thickBot="1" x14ac:dyDescent="0.3">
      <c r="A114" s="310"/>
      <c r="B114" s="327"/>
      <c r="C114" s="317"/>
      <c r="D114" s="317"/>
      <c r="E114" s="317"/>
      <c r="F114" s="318"/>
      <c r="G114" s="318"/>
      <c r="H114" s="319"/>
      <c r="I114" s="320"/>
      <c r="J114" s="320"/>
      <c r="K114" s="320"/>
      <c r="L114" s="320"/>
      <c r="M114" s="315"/>
      <c r="N114" s="315"/>
      <c r="O114" s="321"/>
      <c r="P114" s="322"/>
      <c r="Q114" s="323"/>
      <c r="R114" s="323"/>
      <c r="S114" s="323">
        <f ca="1">IF(NOT(ISERROR(MATCH(R114,_xlfn.ANCHORARRAY(H120),0))),Q122&amp;"Por favor no seleccionar los criterios de impacto",R114)</f>
        <v>0</v>
      </c>
      <c r="T114" s="322"/>
      <c r="U114" s="323"/>
      <c r="V114" s="309"/>
      <c r="W114" s="252">
        <v>2</v>
      </c>
      <c r="X114" s="207" t="s">
        <v>678</v>
      </c>
      <c r="Y114" s="250" t="str">
        <f t="shared" si="271"/>
        <v>Probabilidad</v>
      </c>
      <c r="Z114" s="185" t="s">
        <v>208</v>
      </c>
      <c r="AA114" s="185" t="s">
        <v>216</v>
      </c>
      <c r="AB114" s="186" t="str">
        <f t="shared" si="320"/>
        <v>40%</v>
      </c>
      <c r="AC114" s="185" t="s">
        <v>219</v>
      </c>
      <c r="AD114" s="185" t="s">
        <v>224</v>
      </c>
      <c r="AE114" s="185" t="s">
        <v>228</v>
      </c>
      <c r="AF114" s="187">
        <f t="shared" ref="AF114:AF115" si="331">IFERROR(IF(AND(Y113="Probabilidad",Y114="Probabilidad"),(AH113-(+AH113*AB114)),IF(Y114="Probabilidad",(Q113-(+Q113*AB114)),IF(Y114="Impacto",AH113,""))),"")</f>
        <v>0.216</v>
      </c>
      <c r="AG114" s="188" t="str">
        <f t="shared" si="273"/>
        <v>Baja</v>
      </c>
      <c r="AH114" s="186">
        <f t="shared" si="274"/>
        <v>0.216</v>
      </c>
      <c r="AI114" s="188" t="str">
        <f t="shared" ca="1" si="275"/>
        <v>Menor</v>
      </c>
      <c r="AJ114" s="186">
        <f t="shared" ref="AJ114" ca="1" si="332">IFERROR(IF(AND(Y113="Impacto",Y114="Impacto"),(AJ113-(+AJ113*AB114)),IF(Y114="Impacto",(U113-(+U113*AB114)),IF(Y114="Probabilidad",AJ113,""))),"")</f>
        <v>0.4</v>
      </c>
      <c r="AK114" s="189" t="str">
        <f t="shared" ca="1" si="277"/>
        <v>Moderado</v>
      </c>
      <c r="AL114" s="185" t="s">
        <v>255</v>
      </c>
      <c r="AM114" s="246"/>
      <c r="AN114" s="250"/>
      <c r="AO114" s="245"/>
      <c r="AP114" s="245"/>
      <c r="AQ114" s="246"/>
      <c r="AR114" s="247"/>
    </row>
    <row r="115" spans="1:44" s="191" customFormat="1" ht="156" customHeight="1" thickTop="1" thickBot="1" x14ac:dyDescent="0.3">
      <c r="A115" s="310"/>
      <c r="B115" s="327"/>
      <c r="C115" s="317"/>
      <c r="D115" s="317"/>
      <c r="E115" s="317"/>
      <c r="F115" s="318"/>
      <c r="G115" s="318"/>
      <c r="H115" s="319"/>
      <c r="I115" s="320"/>
      <c r="J115" s="320"/>
      <c r="K115" s="320"/>
      <c r="L115" s="320"/>
      <c r="M115" s="315"/>
      <c r="N115" s="315"/>
      <c r="O115" s="321"/>
      <c r="P115" s="322"/>
      <c r="Q115" s="323"/>
      <c r="R115" s="323"/>
      <c r="S115" s="323">
        <f ca="1">IF(NOT(ISERROR(MATCH(R115,_xlfn.ANCHORARRAY(H121),0))),Q123&amp;"Por favor no seleccionar los criterios de impacto",R115)</f>
        <v>0</v>
      </c>
      <c r="T115" s="322"/>
      <c r="U115" s="323"/>
      <c r="V115" s="309"/>
      <c r="W115" s="252">
        <v>3</v>
      </c>
      <c r="X115" s="207" t="s">
        <v>679</v>
      </c>
      <c r="Y115" s="250" t="str">
        <f t="shared" si="271"/>
        <v>Probabilidad</v>
      </c>
      <c r="Z115" s="185" t="s">
        <v>208</v>
      </c>
      <c r="AA115" s="185" t="s">
        <v>216</v>
      </c>
      <c r="AB115" s="186" t="str">
        <f t="shared" si="320"/>
        <v>40%</v>
      </c>
      <c r="AC115" s="185" t="s">
        <v>219</v>
      </c>
      <c r="AD115" s="185" t="s">
        <v>224</v>
      </c>
      <c r="AE115" s="185" t="s">
        <v>228</v>
      </c>
      <c r="AF115" s="187">
        <f t="shared" si="331"/>
        <v>0.12959999999999999</v>
      </c>
      <c r="AG115" s="188" t="str">
        <f t="shared" si="273"/>
        <v>Muy Baja</v>
      </c>
      <c r="AH115" s="186">
        <f t="shared" si="274"/>
        <v>0.12959999999999999</v>
      </c>
      <c r="AI115" s="188" t="str">
        <f t="shared" ca="1" si="275"/>
        <v>Menor</v>
      </c>
      <c r="AJ115" s="186">
        <f t="shared" ref="AJ115" ca="1" si="333">IFERROR(IF(AND(Y114="Impacto",Y115="Impacto"),(AJ114-(+AJ114*AB115)),IF(AND(Y114="Probabilidad",Y115="Impacto"),(AJ113-(+AJ113*AB115)),IF(Y115="Probabilidad",AJ114,""))),"")</f>
        <v>0.4</v>
      </c>
      <c r="AK115" s="189" t="str">
        <f t="shared" ca="1" si="277"/>
        <v>Bajo</v>
      </c>
      <c r="AL115" s="185"/>
      <c r="AM115" s="246"/>
      <c r="AN115" s="250"/>
      <c r="AO115" s="245"/>
      <c r="AP115" s="245"/>
      <c r="AQ115" s="246"/>
      <c r="AR115" s="247"/>
    </row>
    <row r="116" spans="1:44" s="191" customFormat="1" ht="137.25" customHeight="1" thickTop="1" thickBot="1" x14ac:dyDescent="0.3">
      <c r="A116" s="310">
        <v>49</v>
      </c>
      <c r="B116" s="327" t="s">
        <v>680</v>
      </c>
      <c r="C116" s="317" t="s">
        <v>274</v>
      </c>
      <c r="D116" s="317" t="s">
        <v>681</v>
      </c>
      <c r="E116" s="317" t="s">
        <v>240</v>
      </c>
      <c r="F116" s="318" t="s">
        <v>682</v>
      </c>
      <c r="G116" s="318" t="s">
        <v>683</v>
      </c>
      <c r="H116" s="319" t="s">
        <v>1122</v>
      </c>
      <c r="I116" s="320" t="s">
        <v>474</v>
      </c>
      <c r="J116" s="320" t="s">
        <v>474</v>
      </c>
      <c r="K116" s="320" t="s">
        <v>474</v>
      </c>
      <c r="L116" s="320" t="s">
        <v>474</v>
      </c>
      <c r="M116" s="315" t="s">
        <v>239</v>
      </c>
      <c r="N116" s="315"/>
      <c r="O116" s="321">
        <v>160</v>
      </c>
      <c r="P116" s="322" t="str">
        <f>IF(O116&lt;=0,"",IF(O116&lt;=2,"Muy Baja",IF(O116&lt;=24,"Baja",IF(O116&lt;=500,"Media",IF(O116&lt;=5000,"Alta","Muy Alta")))))</f>
        <v>Media</v>
      </c>
      <c r="Q116" s="323">
        <f>IF(P116="","",IF(P116="Muy Baja",0.2,IF(P116="Baja",0.4,IF(P116="Media",0.6,IF(P116="Alta",0.8,IF(P116="Muy Alta",1,))))))</f>
        <v>0.6</v>
      </c>
      <c r="R116" s="323" t="s">
        <v>187</v>
      </c>
      <c r="S116" s="323" t="str">
        <f ca="1">IF(NOT(ISERROR(MATCH(R116,'Tabla Impacto'!$B$221:$B$223,0))),'Tabla Impacto'!$F$223&amp;"Por favor no seleccionar los criterios de impacto(Afectación Económica o presupuestal y Pérdida Reputacional)",R116)</f>
        <v>El riesgo afecta la imagen de la entidad internamente, de conocimiento general, nivel interno, de junta dircetiva y accionistas y/o de provedores</v>
      </c>
      <c r="T116" s="322" t="str">
        <f ca="1">+IF(OR(S116='[1]Tabla Impacto'!$C$11,S116='[1]Tabla Impacto'!$D$11),"Leve",IF(OR(S116='[1]Tabla Impacto'!$C$12,S116='[1]Tabla Impacto'!$D$12),"Menor",IF(OR(S116='[1]Tabla Impacto'!$C$13,S116='[1]Tabla Impacto'!$D$13),"Moderado",IF(OR(S116='[1]Tabla Impacto'!$C$14,S116='[1]Tabla Impacto'!$D$14),"Mayor",IF(OR(S116='[1]Tabla Impacto'!$C$15,S116='[1]Tabla Impacto'!$D$15),"Catastrófico","")))))</f>
        <v>Menor</v>
      </c>
      <c r="U116" s="323">
        <f t="shared" ref="U116" ca="1" si="334">IF(T116="","",IF(T116="Leve",0.2,IF(T116="Menor",0.4,IF(T116="Moderado",0.6,IF(T116="Mayor",0.8,IF(T116="Catastrófico",1,))))))</f>
        <v>0.4</v>
      </c>
      <c r="V116" s="309" t="str">
        <f t="shared" ref="V116" ca="1" si="335">IF(OR(AND(P116="Muy Baja",T116="Leve"),AND(P116="Muy Baja",T116="Menor"),AND(P116="Baja",T116="Leve")),"Bajo",IF(OR(AND(P116="Muy baja",T116="Moderado"),AND(P116="Baja",T116="Menor"),AND(P116="Baja",T116="Moderado"),AND(P116="Media",T116="Leve"),AND(P116="Media",T116="Menor"),AND(P116="Media",T116="Moderado"),AND(P116="Alta",T116="Leve"),AND(P116="Alta",T116="Menor")),"Moderado",IF(OR(AND(P116="Muy Baja",T116="Mayor"),AND(P116="Baja",T116="Mayor"),AND(P116="Media",T116="Mayor"),AND(P116="Alta",T116="Moderado"),AND(P116="Alta",T116="Mayor"),AND(P116="Muy Alta",T116="Leve"),AND(P116="Muy Alta",T116="Menor"),AND(P116="Muy Alta",T116="Moderado"),AND(P116="Muy Alta",T116="Mayor")),"Alto",IF(OR(AND(P116="Muy Baja",T116="Catastrófico"),AND(P116="Baja",T116="Catastrófico"),AND(P116="Media",T116="Catastrófico"),AND(P116="Alta",T116="Catastrófico"),AND(P116="Muy Alta",T116="Catastrófico")),"Extremo",""))))</f>
        <v>Moderado</v>
      </c>
      <c r="W116" s="252">
        <v>1</v>
      </c>
      <c r="X116" s="207" t="s">
        <v>684</v>
      </c>
      <c r="Y116" s="250" t="str">
        <f>IF(OR(Z116="Preventivo",Z116="Detectivo"),"Probabilidad",IF(Z116="Correctivo","Impacto",""))</f>
        <v>Probabilidad</v>
      </c>
      <c r="Z116" s="185" t="s">
        <v>210</v>
      </c>
      <c r="AA116" s="185" t="s">
        <v>216</v>
      </c>
      <c r="AB116" s="186" t="str">
        <f t="shared" si="320"/>
        <v>30%</v>
      </c>
      <c r="AC116" s="185" t="s">
        <v>219</v>
      </c>
      <c r="AD116" s="185" t="s">
        <v>224</v>
      </c>
      <c r="AE116" s="185" t="s">
        <v>228</v>
      </c>
      <c r="AF116" s="187">
        <f>IFERROR(IF(Y116="Probabilidad",(Q116-(+Q116*AB116)),IF(Y116="Impacto",Q116,"")),"")</f>
        <v>0.42</v>
      </c>
      <c r="AG116" s="188" t="str">
        <f>IFERROR(IF(AF116="","",IF(AF116&lt;=0.2,"Muy Baja",IF(AF116&lt;=0.4,"Baja",IF(AF116&lt;=0.6,"Media",IF(AF116&lt;=0.8,"Alta","Muy Alta"))))),"")</f>
        <v>Media</v>
      </c>
      <c r="AH116" s="186">
        <f>+AF116</f>
        <v>0.42</v>
      </c>
      <c r="AI116" s="188" t="str">
        <f ca="1">IFERROR(IF(AJ116="","",IF(AJ116&lt;=0.2,"Leve",IF(AJ116&lt;=0.4,"Menor",IF(AJ116&lt;=0.6,"Moderado",IF(AJ116&lt;=0.8,"Mayor","Catastrófico"))))),"")</f>
        <v>Menor</v>
      </c>
      <c r="AJ116" s="186">
        <f ca="1">IFERROR(IF(Y116="Impacto",(U116-(+U116*AB116)),IF(Y116="Probabilidad",U116,"")),"")</f>
        <v>0.4</v>
      </c>
      <c r="AK116" s="189" t="str">
        <f ca="1">IFERROR(IF(OR(AND(AG116="Muy Baja",AI116="Leve"),AND(AG116="Muy Baja",AI116="Menor"),AND(AG116="Baja",AI116="Leve")),"Bajo",IF(OR(AND(AG116="Muy baja",AI116="Moderado"),AND(AG116="Baja",AI116="Menor"),AND(AG116="Baja",AI116="Moderado"),AND(AG116="Media",AI116="Leve"),AND(AG116="Media",AI116="Menor"),AND(AG116="Media",AI116="Moderado"),AND(AG116="Alta",AI116="Leve"),AND(AG116="Alta",AI116="Menor")),"Moderado",IF(OR(AND(AG116="Muy Baja",AI116="Mayor"),AND(AG116="Baja",AI116="Mayor"),AND(AG116="Media",AI116="Mayor"),AND(AG116="Alta",AI116="Moderado"),AND(AG116="Alta",AI116="Mayor"),AND(AG116="Muy Alta",AI116="Leve"),AND(AG116="Muy Alta",AI116="Menor"),AND(AG116="Muy Alta",AI116="Moderado"),AND(AG116="Muy Alta",AI116="Mayor")),"Alto",IF(OR(AND(AG116="Muy Baja",AI116="Catastrófico"),AND(AG116="Baja",AI116="Catastrófico"),AND(AG116="Media",AI116="Catastrófico"),AND(AG116="Alta",AI116="Catastrófico"),AND(AG116="Muy Alta",AI116="Catastrófico")),"Extremo","")))),"")</f>
        <v>Moderado</v>
      </c>
      <c r="AL116" s="185" t="s">
        <v>255</v>
      </c>
      <c r="AM116" s="246"/>
      <c r="AN116" s="250"/>
      <c r="AO116" s="245"/>
      <c r="AP116" s="245"/>
      <c r="AQ116" s="246"/>
      <c r="AR116" s="247"/>
    </row>
    <row r="117" spans="1:44" s="191" customFormat="1" ht="135" customHeight="1" thickTop="1" thickBot="1" x14ac:dyDescent="0.3">
      <c r="A117" s="310"/>
      <c r="B117" s="327"/>
      <c r="C117" s="317"/>
      <c r="D117" s="317"/>
      <c r="E117" s="317"/>
      <c r="F117" s="318"/>
      <c r="G117" s="318"/>
      <c r="H117" s="319"/>
      <c r="I117" s="320"/>
      <c r="J117" s="320"/>
      <c r="K117" s="320"/>
      <c r="L117" s="320"/>
      <c r="M117" s="315"/>
      <c r="N117" s="315"/>
      <c r="O117" s="321"/>
      <c r="P117" s="322"/>
      <c r="Q117" s="323"/>
      <c r="R117" s="323"/>
      <c r="S117" s="323">
        <f ca="1">IF(NOT(ISERROR(MATCH(R117,_xlfn.ANCHORARRAY(H124),0))),Q126&amp;"Por favor no seleccionar los criterios de impacto",R117)</f>
        <v>0</v>
      </c>
      <c r="T117" s="322"/>
      <c r="U117" s="323"/>
      <c r="V117" s="309"/>
      <c r="W117" s="252">
        <v>2</v>
      </c>
      <c r="X117" s="207" t="s">
        <v>685</v>
      </c>
      <c r="Y117" s="250" t="str">
        <f t="shared" ref="Y117:Y146" si="336">IF(OR(Z117="Preventivo",Z117="Detectivo"),"Probabilidad",IF(Z117="Correctivo","Impacto",""))</f>
        <v>Probabilidad</v>
      </c>
      <c r="Z117" s="185" t="s">
        <v>208</v>
      </c>
      <c r="AA117" s="185" t="s">
        <v>216</v>
      </c>
      <c r="AB117" s="186" t="str">
        <f t="shared" si="320"/>
        <v>40%</v>
      </c>
      <c r="AC117" s="185" t="s">
        <v>219</v>
      </c>
      <c r="AD117" s="185" t="s">
        <v>224</v>
      </c>
      <c r="AE117" s="185" t="s">
        <v>228</v>
      </c>
      <c r="AF117" s="187">
        <f>IFERROR(IF(AND(Y116="Probabilidad",Y117="Probabilidad"),(AH116-(+AH116*AB117)),IF(Y117="Probabilidad",(Q116-(+Q116*AB117)),IF(Y117="Impacto",AH116,""))),"")</f>
        <v>0.252</v>
      </c>
      <c r="AG117" s="188" t="str">
        <f t="shared" ref="AG117:AG146" si="337">IFERROR(IF(AF117="","",IF(AF117&lt;=0.2,"Muy Baja",IF(AF117&lt;=0.4,"Baja",IF(AF117&lt;=0.6,"Media",IF(AF117&lt;=0.8,"Alta","Muy Alta"))))),"")</f>
        <v>Baja</v>
      </c>
      <c r="AH117" s="186">
        <f t="shared" ref="AH117:AH146" si="338">+AF117</f>
        <v>0.252</v>
      </c>
      <c r="AI117" s="188" t="str">
        <f t="shared" ref="AI117:AI146" ca="1" si="339">IFERROR(IF(AJ117="","",IF(AJ117&lt;=0.2,"Leve",IF(AJ117&lt;=0.4,"Menor",IF(AJ117&lt;=0.6,"Moderado",IF(AJ117&lt;=0.8,"Mayor","Catastrófico"))))),"")</f>
        <v>Menor</v>
      </c>
      <c r="AJ117" s="186">
        <f ca="1">IFERROR(IF(AND(Y116="Impacto",Y117="Impacto"),(AJ116-(+AJ116*AB117)),IF(Y117="Impacto",(U116-(+U116*AB117)),IF(Y117="Probabilidad",AJ116,""))),"")</f>
        <v>0.4</v>
      </c>
      <c r="AK117" s="189" t="str">
        <f t="shared" ref="AK117:AK146" ca="1" si="340">IFERROR(IF(OR(AND(AG117="Muy Baja",AI117="Leve"),AND(AG117="Muy Baja",AI117="Menor"),AND(AG117="Baja",AI117="Leve")),"Bajo",IF(OR(AND(AG117="Muy baja",AI117="Moderado"),AND(AG117="Baja",AI117="Menor"),AND(AG117="Baja",AI117="Moderado"),AND(AG117="Media",AI117="Leve"),AND(AG117="Media",AI117="Menor"),AND(AG117="Media",AI117="Moderado"),AND(AG117="Alta",AI117="Leve"),AND(AG117="Alta",AI117="Menor")),"Moderado",IF(OR(AND(AG117="Muy Baja",AI117="Mayor"),AND(AG117="Baja",AI117="Mayor"),AND(AG117="Media",AI117="Mayor"),AND(AG117="Alta",AI117="Moderado"),AND(AG117="Alta",AI117="Mayor"),AND(AG117="Muy Alta",AI117="Leve"),AND(AG117="Muy Alta",AI117="Menor"),AND(AG117="Muy Alta",AI117="Moderado"),AND(AG117="Muy Alta",AI117="Mayor")),"Alto",IF(OR(AND(AG117="Muy Baja",AI117="Catastrófico"),AND(AG117="Baja",AI117="Catastrófico"),AND(AG117="Media",AI117="Catastrófico"),AND(AG117="Alta",AI117="Catastrófico"),AND(AG117="Muy Alta",AI117="Catastrófico")),"Extremo","")))),"")</f>
        <v>Moderado</v>
      </c>
      <c r="AL117" s="185" t="s">
        <v>255</v>
      </c>
      <c r="AM117" s="246"/>
      <c r="AN117" s="250"/>
      <c r="AO117" s="245"/>
      <c r="AP117" s="245"/>
      <c r="AQ117" s="246"/>
      <c r="AR117" s="247"/>
    </row>
    <row r="118" spans="1:44" s="191" customFormat="1" ht="142.5" customHeight="1" thickTop="1" thickBot="1" x14ac:dyDescent="0.3">
      <c r="A118" s="310"/>
      <c r="B118" s="327"/>
      <c r="C118" s="317"/>
      <c r="D118" s="317"/>
      <c r="E118" s="317"/>
      <c r="F118" s="318"/>
      <c r="G118" s="318"/>
      <c r="H118" s="319"/>
      <c r="I118" s="320"/>
      <c r="J118" s="320"/>
      <c r="K118" s="320"/>
      <c r="L118" s="320"/>
      <c r="M118" s="315"/>
      <c r="N118" s="315"/>
      <c r="O118" s="321"/>
      <c r="P118" s="322"/>
      <c r="Q118" s="323"/>
      <c r="R118" s="323"/>
      <c r="S118" s="323">
        <f ca="1">IF(NOT(ISERROR(MATCH(R118,_xlfn.ANCHORARRAY(H125),0))),#REF!&amp;"Por favor no seleccionar los criterios de impacto",R118)</f>
        <v>0</v>
      </c>
      <c r="T118" s="322"/>
      <c r="U118" s="323"/>
      <c r="V118" s="309"/>
      <c r="W118" s="252">
        <v>3</v>
      </c>
      <c r="X118" s="207" t="s">
        <v>686</v>
      </c>
      <c r="Y118" s="250" t="str">
        <f t="shared" si="336"/>
        <v>Probabilidad</v>
      </c>
      <c r="Z118" s="185" t="s">
        <v>208</v>
      </c>
      <c r="AA118" s="185" t="s">
        <v>216</v>
      </c>
      <c r="AB118" s="186" t="str">
        <f t="shared" si="320"/>
        <v>40%</v>
      </c>
      <c r="AC118" s="185" t="s">
        <v>219</v>
      </c>
      <c r="AD118" s="185" t="s">
        <v>224</v>
      </c>
      <c r="AE118" s="185" t="s">
        <v>228</v>
      </c>
      <c r="AF118" s="187">
        <f t="shared" ref="AF118:AF119" si="341">IFERROR(IF(AND(Y117="Probabilidad",Y118="Probabilidad"),(AH117-(+AH117*AB118)),IF(Y118="Probabilidad",(Q117-(+Q117*AB118)),IF(Y118="Impacto",AH117,""))),"")</f>
        <v>0.1512</v>
      </c>
      <c r="AG118" s="188" t="str">
        <f t="shared" si="337"/>
        <v>Muy Baja</v>
      </c>
      <c r="AH118" s="186">
        <f t="shared" si="338"/>
        <v>0.1512</v>
      </c>
      <c r="AI118" s="188" t="str">
        <f t="shared" ca="1" si="339"/>
        <v>Menor</v>
      </c>
      <c r="AJ118" s="186">
        <f ca="1">IFERROR(IF(AND(Y117="Impacto",Y118="Impacto"),(AJ117-(+AJ117*AB118)),IF(AND(Y117="Probabilidad",Y118="Impacto"),(AJ116-(+AJ116*AB118)),IF(Y118="Probabilidad",AJ117,""))),"")</f>
        <v>0.4</v>
      </c>
      <c r="AK118" s="189" t="str">
        <f t="shared" ca="1" si="340"/>
        <v>Bajo</v>
      </c>
      <c r="AL118" s="185" t="s">
        <v>255</v>
      </c>
      <c r="AM118" s="246"/>
      <c r="AN118" s="250"/>
      <c r="AO118" s="245"/>
      <c r="AP118" s="245"/>
      <c r="AQ118" s="246"/>
      <c r="AR118" s="247"/>
    </row>
    <row r="119" spans="1:44" s="191" customFormat="1" ht="129.75" customHeight="1" thickTop="1" thickBot="1" x14ac:dyDescent="0.3">
      <c r="A119" s="310"/>
      <c r="B119" s="327"/>
      <c r="C119" s="317"/>
      <c r="D119" s="317"/>
      <c r="E119" s="317"/>
      <c r="F119" s="318"/>
      <c r="G119" s="318"/>
      <c r="H119" s="319"/>
      <c r="I119" s="320"/>
      <c r="J119" s="320"/>
      <c r="K119" s="320"/>
      <c r="L119" s="320"/>
      <c r="M119" s="315"/>
      <c r="N119" s="315"/>
      <c r="O119" s="321"/>
      <c r="P119" s="322"/>
      <c r="Q119" s="323"/>
      <c r="R119" s="323"/>
      <c r="S119" s="323">
        <f ca="1">IF(NOT(ISERROR(MATCH(R119,_xlfn.ANCHORARRAY(H126),0))),#REF!&amp;"Por favor no seleccionar los criterios de impacto",R119)</f>
        <v>0</v>
      </c>
      <c r="T119" s="322"/>
      <c r="U119" s="323"/>
      <c r="V119" s="309"/>
      <c r="W119" s="252">
        <v>4</v>
      </c>
      <c r="X119" s="207" t="s">
        <v>687</v>
      </c>
      <c r="Y119" s="250" t="str">
        <f t="shared" si="336"/>
        <v>Probabilidad</v>
      </c>
      <c r="Z119" s="185" t="s">
        <v>208</v>
      </c>
      <c r="AA119" s="185" t="s">
        <v>216</v>
      </c>
      <c r="AB119" s="186" t="str">
        <f t="shared" si="320"/>
        <v>40%</v>
      </c>
      <c r="AC119" s="185" t="s">
        <v>219</v>
      </c>
      <c r="AD119" s="185" t="s">
        <v>224</v>
      </c>
      <c r="AE119" s="185" t="s">
        <v>228</v>
      </c>
      <c r="AF119" s="187">
        <f t="shared" si="341"/>
        <v>9.0719999999999995E-2</v>
      </c>
      <c r="AG119" s="188" t="str">
        <f t="shared" si="337"/>
        <v>Muy Baja</v>
      </c>
      <c r="AH119" s="186">
        <f t="shared" si="338"/>
        <v>9.0719999999999995E-2</v>
      </c>
      <c r="AI119" s="188" t="str">
        <f t="shared" ca="1" si="339"/>
        <v>Menor</v>
      </c>
      <c r="AJ119" s="186">
        <f t="shared" ref="AJ119" ca="1" si="342">IFERROR(IF(AND(Y118="Impacto",Y119="Impacto"),(AJ118-(+AJ118*AB119)),IF(AND(Y118="Probabilidad",Y119="Impacto"),(AJ117-(+AJ117*AB119)),IF(Y119="Probabilidad",AJ118,""))),"")</f>
        <v>0.4</v>
      </c>
      <c r="AK119" s="189" t="str">
        <f t="shared" ca="1" si="340"/>
        <v>Bajo</v>
      </c>
      <c r="AL119" s="185" t="s">
        <v>255</v>
      </c>
      <c r="AM119" s="246"/>
      <c r="AN119" s="250"/>
      <c r="AO119" s="245"/>
      <c r="AP119" s="245"/>
      <c r="AQ119" s="246"/>
      <c r="AR119" s="247"/>
    </row>
    <row r="120" spans="1:44" s="191" customFormat="1" ht="182.25" customHeight="1" thickTop="1" thickBot="1" x14ac:dyDescent="0.3">
      <c r="A120" s="310">
        <v>50</v>
      </c>
      <c r="B120" s="316" t="s">
        <v>688</v>
      </c>
      <c r="C120" s="317" t="s">
        <v>274</v>
      </c>
      <c r="D120" s="317" t="s">
        <v>689</v>
      </c>
      <c r="E120" s="317" t="s">
        <v>240</v>
      </c>
      <c r="F120" s="318" t="s">
        <v>690</v>
      </c>
      <c r="G120" s="318" t="s">
        <v>691</v>
      </c>
      <c r="H120" s="319" t="s">
        <v>1123</v>
      </c>
      <c r="I120" s="320" t="s">
        <v>474</v>
      </c>
      <c r="J120" s="320" t="s">
        <v>474</v>
      </c>
      <c r="K120" s="320" t="s">
        <v>474</v>
      </c>
      <c r="L120" s="320" t="s">
        <v>474</v>
      </c>
      <c r="M120" s="315" t="s">
        <v>239</v>
      </c>
      <c r="N120" s="315"/>
      <c r="O120" s="321">
        <v>12</v>
      </c>
      <c r="P120" s="322" t="str">
        <f>IF(O120&lt;=0,"",IF(O120&lt;=2,"Muy Baja",IF(O120&lt;=24,"Baja",IF(O120&lt;=500,"Media",IF(O120&lt;=5000,"Alta","Muy Alta")))))</f>
        <v>Baja</v>
      </c>
      <c r="Q120" s="323">
        <f>IF(P120="","",IF(P120="Muy Baja",0.2,IF(P120="Baja",0.4,IF(P120="Media",0.6,IF(P120="Alta",0.8,IF(P120="Muy Alta",1,))))))</f>
        <v>0.4</v>
      </c>
      <c r="R120" s="323" t="s">
        <v>193</v>
      </c>
      <c r="S120" s="323" t="str">
        <f ca="1">IF(NOT(ISERROR(MATCH(R120,'Tabla Impacto'!$B$221:$B$223,0))),'Tabla Impacto'!$F$223&amp;"Por favor no seleccionar los criterios de impacto(Afectación Económica o presupuestal y Pérdida Reputacional)",R120)</f>
        <v>El riesgo afecta la imagen de de la entidad con efecto publicitario sostenido a nivel de sector administrativo, nivel departamental o municipal</v>
      </c>
      <c r="T120" s="322" t="str">
        <f ca="1">+IF(OR(S120='[1]Tabla Impacto'!$C$11,S120='[1]Tabla Impacto'!$D$11),"Leve",IF(OR(S120='[1]Tabla Impacto'!$C$12,S120='[1]Tabla Impacto'!$D$12),"Menor",IF(OR(S120='[1]Tabla Impacto'!$C$13,S120='[1]Tabla Impacto'!$D$13),"Moderado",IF(OR(S120='[1]Tabla Impacto'!$C$14,S120='[1]Tabla Impacto'!$D$14),"Mayor",IF(OR(S120='[1]Tabla Impacto'!$C$15,S120='[1]Tabla Impacto'!$D$15),"Catastrófico","")))))</f>
        <v>Mayor</v>
      </c>
      <c r="U120" s="323">
        <f t="shared" ref="U120" ca="1" si="343">IF(T120="","",IF(T120="Leve",0.2,IF(T120="Menor",0.4,IF(T120="Moderado",0.6,IF(T120="Mayor",0.8,IF(T120="Catastrófico",1,))))))</f>
        <v>0.8</v>
      </c>
      <c r="V120" s="309" t="str">
        <f t="shared" ref="V120" ca="1" si="344">IF(OR(AND(P120="Muy Baja",T120="Leve"),AND(P120="Muy Baja",T120="Menor"),AND(P120="Baja",T120="Leve")),"Bajo",IF(OR(AND(P120="Muy baja",T120="Moderado"),AND(P120="Baja",T120="Menor"),AND(P120="Baja",T120="Moderado"),AND(P120="Media",T120="Leve"),AND(P120="Media",T120="Menor"),AND(P120="Media",T120="Moderado"),AND(P120="Alta",T120="Leve"),AND(P120="Alta",T120="Menor")),"Moderado",IF(OR(AND(P120="Muy Baja",T120="Mayor"),AND(P120="Baja",T120="Mayor"),AND(P120="Media",T120="Mayor"),AND(P120="Alta",T120="Moderado"),AND(P120="Alta",T120="Mayor"),AND(P120="Muy Alta",T120="Leve"),AND(P120="Muy Alta",T120="Menor"),AND(P120="Muy Alta",T120="Moderado"),AND(P120="Muy Alta",T120="Mayor")),"Alto",IF(OR(AND(P120="Muy Baja",T120="Catastrófico"),AND(P120="Baja",T120="Catastrófico"),AND(P120="Media",T120="Catastrófico"),AND(P120="Alta",T120="Catastrófico"),AND(P120="Muy Alta",T120="Catastrófico")),"Extremo",""))))</f>
        <v>Alto</v>
      </c>
      <c r="W120" s="252">
        <v>1</v>
      </c>
      <c r="X120" s="207" t="s">
        <v>1208</v>
      </c>
      <c r="Y120" s="250" t="str">
        <f t="shared" si="336"/>
        <v>Probabilidad</v>
      </c>
      <c r="Z120" s="185" t="s">
        <v>208</v>
      </c>
      <c r="AA120" s="185" t="s">
        <v>216</v>
      </c>
      <c r="AB120" s="186" t="str">
        <f t="shared" si="320"/>
        <v>40%</v>
      </c>
      <c r="AC120" s="185" t="s">
        <v>219</v>
      </c>
      <c r="AD120" s="185" t="s">
        <v>224</v>
      </c>
      <c r="AE120" s="185" t="s">
        <v>228</v>
      </c>
      <c r="AF120" s="187">
        <f t="shared" ref="AF120" si="345">IFERROR(IF(Y120="Probabilidad",(Q120-(+Q120*AB120)),IF(Y120="Impacto",Q120,"")),"")</f>
        <v>0.24</v>
      </c>
      <c r="AG120" s="188" t="str">
        <f t="shared" si="337"/>
        <v>Baja</v>
      </c>
      <c r="AH120" s="186">
        <f t="shared" si="338"/>
        <v>0.24</v>
      </c>
      <c r="AI120" s="188" t="str">
        <f t="shared" ca="1" si="339"/>
        <v>Mayor</v>
      </c>
      <c r="AJ120" s="186">
        <f t="shared" ref="AJ120" ca="1" si="346">IFERROR(IF(Y120="Impacto",(U120-(+U120*AB120)),IF(Y120="Probabilidad",U120,"")),"")</f>
        <v>0.8</v>
      </c>
      <c r="AK120" s="189" t="str">
        <f t="shared" ca="1" si="340"/>
        <v>Alto</v>
      </c>
      <c r="AL120" s="185" t="s">
        <v>262</v>
      </c>
      <c r="AM120" s="315" t="s">
        <v>692</v>
      </c>
      <c r="AN120" s="315" t="s">
        <v>693</v>
      </c>
      <c r="AO120" s="335" t="s">
        <v>1071</v>
      </c>
      <c r="AP120" s="335" t="s">
        <v>527</v>
      </c>
      <c r="AQ120" s="315" t="s">
        <v>694</v>
      </c>
      <c r="AR120" s="336" t="s">
        <v>259</v>
      </c>
    </row>
    <row r="121" spans="1:44" s="191" customFormat="1" ht="165.75" customHeight="1" thickTop="1" thickBot="1" x14ac:dyDescent="0.3">
      <c r="A121" s="310"/>
      <c r="B121" s="316"/>
      <c r="C121" s="317"/>
      <c r="D121" s="317"/>
      <c r="E121" s="317"/>
      <c r="F121" s="318"/>
      <c r="G121" s="318"/>
      <c r="H121" s="319"/>
      <c r="I121" s="320"/>
      <c r="J121" s="320"/>
      <c r="K121" s="320"/>
      <c r="L121" s="320"/>
      <c r="M121" s="315"/>
      <c r="N121" s="315"/>
      <c r="O121" s="321"/>
      <c r="P121" s="322"/>
      <c r="Q121" s="323"/>
      <c r="R121" s="323"/>
      <c r="S121" s="323">
        <f ca="1">IF(NOT(ISERROR(MATCH(R121,_xlfn.ANCHORARRAY(H133),0))),#REF!&amp;"Por favor no seleccionar los criterios de impacto",R121)</f>
        <v>0</v>
      </c>
      <c r="T121" s="322"/>
      <c r="U121" s="323"/>
      <c r="V121" s="309"/>
      <c r="W121" s="252">
        <v>2</v>
      </c>
      <c r="X121" s="207" t="s">
        <v>1209</v>
      </c>
      <c r="Y121" s="250" t="str">
        <f t="shared" si="336"/>
        <v>Probabilidad</v>
      </c>
      <c r="Z121" s="185" t="s">
        <v>208</v>
      </c>
      <c r="AA121" s="185" t="s">
        <v>216</v>
      </c>
      <c r="AB121" s="186" t="str">
        <f t="shared" si="320"/>
        <v>40%</v>
      </c>
      <c r="AC121" s="185" t="s">
        <v>219</v>
      </c>
      <c r="AD121" s="185" t="s">
        <v>224</v>
      </c>
      <c r="AE121" s="185" t="s">
        <v>228</v>
      </c>
      <c r="AF121" s="187">
        <f t="shared" ref="AF121:AF123" si="347">IFERROR(IF(AND(Y120="Probabilidad",Y121="Probabilidad"),(AH120-(+AH120*AB121)),IF(Y121="Probabilidad",(Q120-(+Q120*AB121)),IF(Y121="Impacto",AH120,""))),"")</f>
        <v>0.14399999999999999</v>
      </c>
      <c r="AG121" s="188" t="str">
        <f t="shared" si="337"/>
        <v>Muy Baja</v>
      </c>
      <c r="AH121" s="186">
        <f t="shared" si="338"/>
        <v>0.14399999999999999</v>
      </c>
      <c r="AI121" s="188" t="str">
        <f t="shared" ca="1" si="339"/>
        <v>Mayor</v>
      </c>
      <c r="AJ121" s="186">
        <f t="shared" ref="AJ121" ca="1" si="348">IFERROR(IF(AND(Y120="Impacto",Y121="Impacto"),(AJ120-(+AJ120*AB121)),IF(Y121="Impacto",(U120-(+U120*AB121)),IF(Y121="Probabilidad",AJ120,""))),"")</f>
        <v>0.8</v>
      </c>
      <c r="AK121" s="189" t="str">
        <f t="shared" ca="1" si="340"/>
        <v>Alto</v>
      </c>
      <c r="AL121" s="185" t="s">
        <v>262</v>
      </c>
      <c r="AM121" s="315"/>
      <c r="AN121" s="315"/>
      <c r="AO121" s="335"/>
      <c r="AP121" s="335"/>
      <c r="AQ121" s="315"/>
      <c r="AR121" s="336"/>
    </row>
    <row r="122" spans="1:44" s="191" customFormat="1" ht="168" customHeight="1" thickTop="1" thickBot="1" x14ac:dyDescent="0.3">
      <c r="A122" s="310"/>
      <c r="B122" s="316"/>
      <c r="C122" s="317"/>
      <c r="D122" s="317"/>
      <c r="E122" s="317"/>
      <c r="F122" s="318"/>
      <c r="G122" s="318"/>
      <c r="H122" s="319"/>
      <c r="I122" s="320"/>
      <c r="J122" s="320"/>
      <c r="K122" s="320"/>
      <c r="L122" s="320"/>
      <c r="M122" s="315"/>
      <c r="N122" s="315"/>
      <c r="O122" s="321"/>
      <c r="P122" s="322"/>
      <c r="Q122" s="323"/>
      <c r="R122" s="323"/>
      <c r="S122" s="323">
        <f ca="1">IF(NOT(ISERROR(MATCH(R122,_xlfn.ANCHORARRAY(H134),0))),#REF!&amp;"Por favor no seleccionar los criterios de impacto",R122)</f>
        <v>0</v>
      </c>
      <c r="T122" s="322"/>
      <c r="U122" s="323"/>
      <c r="V122" s="309"/>
      <c r="W122" s="252">
        <v>3</v>
      </c>
      <c r="X122" s="207" t="s">
        <v>1210</v>
      </c>
      <c r="Y122" s="250" t="str">
        <f t="shared" si="336"/>
        <v>Probabilidad</v>
      </c>
      <c r="Z122" s="185" t="s">
        <v>208</v>
      </c>
      <c r="AA122" s="185" t="s">
        <v>216</v>
      </c>
      <c r="AB122" s="186" t="str">
        <f t="shared" si="320"/>
        <v>40%</v>
      </c>
      <c r="AC122" s="185" t="s">
        <v>219</v>
      </c>
      <c r="AD122" s="185" t="s">
        <v>224</v>
      </c>
      <c r="AE122" s="185" t="s">
        <v>228</v>
      </c>
      <c r="AF122" s="187">
        <f t="shared" si="347"/>
        <v>8.6399999999999991E-2</v>
      </c>
      <c r="AG122" s="188" t="str">
        <f t="shared" si="337"/>
        <v>Muy Baja</v>
      </c>
      <c r="AH122" s="186">
        <f t="shared" si="338"/>
        <v>8.6399999999999991E-2</v>
      </c>
      <c r="AI122" s="188" t="str">
        <f t="shared" ca="1" si="339"/>
        <v>Mayor</v>
      </c>
      <c r="AJ122" s="186">
        <f t="shared" ref="AJ122:AJ123" ca="1" si="349">IFERROR(IF(AND(Y121="Impacto",Y122="Impacto"),(AJ121-(+AJ121*AB122)),IF(AND(Y121="Probabilidad",Y122="Impacto"),(AJ120-(+AJ120*AB122)),IF(Y122="Probabilidad",AJ121,""))),"")</f>
        <v>0.8</v>
      </c>
      <c r="AK122" s="189" t="str">
        <f t="shared" ca="1" si="340"/>
        <v>Alto</v>
      </c>
      <c r="AL122" s="185" t="s">
        <v>262</v>
      </c>
      <c r="AM122" s="315"/>
      <c r="AN122" s="315"/>
      <c r="AO122" s="335"/>
      <c r="AP122" s="335"/>
      <c r="AQ122" s="315"/>
      <c r="AR122" s="336"/>
    </row>
    <row r="123" spans="1:44" s="191" customFormat="1" ht="180" customHeight="1" thickTop="1" thickBot="1" x14ac:dyDescent="0.3">
      <c r="A123" s="310"/>
      <c r="B123" s="316"/>
      <c r="C123" s="317"/>
      <c r="D123" s="317"/>
      <c r="E123" s="317"/>
      <c r="F123" s="318"/>
      <c r="G123" s="318"/>
      <c r="H123" s="319"/>
      <c r="I123" s="320"/>
      <c r="J123" s="320"/>
      <c r="K123" s="320"/>
      <c r="L123" s="320"/>
      <c r="M123" s="315"/>
      <c r="N123" s="315"/>
      <c r="O123" s="321"/>
      <c r="P123" s="322"/>
      <c r="Q123" s="323"/>
      <c r="R123" s="323"/>
      <c r="S123" s="323">
        <f ca="1">IF(NOT(ISERROR(MATCH(R123,_xlfn.ANCHORARRAY(#REF!),0))),#REF!&amp;"Por favor no seleccionar los criterios de impacto",R123)</f>
        <v>0</v>
      </c>
      <c r="T123" s="322"/>
      <c r="U123" s="323"/>
      <c r="V123" s="309"/>
      <c r="W123" s="252">
        <v>4</v>
      </c>
      <c r="X123" s="207" t="s">
        <v>1211</v>
      </c>
      <c r="Y123" s="250" t="str">
        <f t="shared" si="336"/>
        <v>Probabilidad</v>
      </c>
      <c r="Z123" s="185" t="s">
        <v>208</v>
      </c>
      <c r="AA123" s="185" t="s">
        <v>216</v>
      </c>
      <c r="AB123" s="186" t="str">
        <f t="shared" si="320"/>
        <v>40%</v>
      </c>
      <c r="AC123" s="185" t="s">
        <v>219</v>
      </c>
      <c r="AD123" s="185" t="s">
        <v>224</v>
      </c>
      <c r="AE123" s="185" t="s">
        <v>228</v>
      </c>
      <c r="AF123" s="187">
        <f t="shared" si="347"/>
        <v>5.183999999999999E-2</v>
      </c>
      <c r="AG123" s="188" t="str">
        <f t="shared" si="337"/>
        <v>Muy Baja</v>
      </c>
      <c r="AH123" s="186">
        <f t="shared" si="338"/>
        <v>5.183999999999999E-2</v>
      </c>
      <c r="AI123" s="188" t="str">
        <f t="shared" ca="1" si="339"/>
        <v>Mayor</v>
      </c>
      <c r="AJ123" s="186">
        <f t="shared" ca="1" si="349"/>
        <v>0.8</v>
      </c>
      <c r="AK123" s="189" t="str">
        <f t="shared" ca="1" si="340"/>
        <v>Alto</v>
      </c>
      <c r="AL123" s="185" t="s">
        <v>262</v>
      </c>
      <c r="AM123" s="315"/>
      <c r="AN123" s="315"/>
      <c r="AO123" s="335"/>
      <c r="AP123" s="335"/>
      <c r="AQ123" s="315"/>
      <c r="AR123" s="336"/>
    </row>
    <row r="124" spans="1:44" s="191" customFormat="1" ht="149.25" customHeight="1" thickTop="1" thickBot="1" x14ac:dyDescent="0.3">
      <c r="A124" s="310">
        <v>51</v>
      </c>
      <c r="B124" s="316" t="s">
        <v>695</v>
      </c>
      <c r="C124" s="317" t="s">
        <v>274</v>
      </c>
      <c r="D124" s="317" t="s">
        <v>689</v>
      </c>
      <c r="E124" s="317" t="s">
        <v>240</v>
      </c>
      <c r="F124" s="318" t="s">
        <v>696</v>
      </c>
      <c r="G124" s="318" t="s">
        <v>697</v>
      </c>
      <c r="H124" s="319" t="s">
        <v>1124</v>
      </c>
      <c r="I124" s="320" t="s">
        <v>474</v>
      </c>
      <c r="J124" s="320" t="s">
        <v>474</v>
      </c>
      <c r="K124" s="320" t="s">
        <v>474</v>
      </c>
      <c r="L124" s="320" t="s">
        <v>474</v>
      </c>
      <c r="M124" s="315" t="s">
        <v>245</v>
      </c>
      <c r="N124" s="315"/>
      <c r="O124" s="321">
        <v>12</v>
      </c>
      <c r="P124" s="322" t="str">
        <f>IF(O124&lt;=0,"",IF(O124&lt;=2,"Muy Baja",IF(O124&lt;=24,"Baja",IF(O124&lt;=500,"Media",IF(O124&lt;=5000,"Alta","Muy Alta")))))</f>
        <v>Baja</v>
      </c>
      <c r="Q124" s="323">
        <f>IF(P124="","",IF(P124="Muy Baja",0.2,IF(P124="Baja",0.4,IF(P124="Media",0.6,IF(P124="Alta",0.8,IF(P124="Muy Alta",1,))))))</f>
        <v>0.4</v>
      </c>
      <c r="R124" s="323" t="s">
        <v>192</v>
      </c>
      <c r="S124" s="323" t="str">
        <f ca="1">IF(NOT(ISERROR(MATCH(R124,'Tabla Impacto'!$B$221:$B$223,0))),'Tabla Impacto'!$F$223&amp;"Por favor no seleccionar los criterios de impacto(Afectación Económica o presupuestal y Pérdida Reputacional)",R124)</f>
        <v xml:space="preserve">Entre 100 y 500 SMLMV </v>
      </c>
      <c r="T124" s="322" t="str">
        <f ca="1">+IF(OR(S124='[1]Tabla Impacto'!$C$11,S124='[1]Tabla Impacto'!$D$11),"Leve",IF(OR(S124='[1]Tabla Impacto'!$C$12,S124='[1]Tabla Impacto'!$D$12),"Menor",IF(OR(S124='[1]Tabla Impacto'!$C$13,S124='[1]Tabla Impacto'!$D$13),"Moderado",IF(OR(S124='[1]Tabla Impacto'!$C$14,S124='[1]Tabla Impacto'!$D$14),"Mayor",IF(OR(S124='[1]Tabla Impacto'!$C$15,S124='[1]Tabla Impacto'!$D$15),"Catastrófico","")))))</f>
        <v>Mayor</v>
      </c>
      <c r="U124" s="323">
        <f t="shared" ref="U124" ca="1" si="350">IF(T124="","",IF(T124="Leve",0.2,IF(T124="Menor",0.4,IF(T124="Moderado",0.6,IF(T124="Mayor",0.8,IF(T124="Catastrófico",1,))))))</f>
        <v>0.8</v>
      </c>
      <c r="V124" s="309" t="str">
        <f t="shared" ref="V124" ca="1" si="351">IF(OR(AND(P124="Muy Baja",T124="Leve"),AND(P124="Muy Baja",T124="Menor"),AND(P124="Baja",T124="Leve")),"Bajo",IF(OR(AND(P124="Muy baja",T124="Moderado"),AND(P124="Baja",T124="Menor"),AND(P124="Baja",T124="Moderado"),AND(P124="Media",T124="Leve"),AND(P124="Media",T124="Menor"),AND(P124="Media",T124="Moderado"),AND(P124="Alta",T124="Leve"),AND(P124="Alta",T124="Menor")),"Moderado",IF(OR(AND(P124="Muy Baja",T124="Mayor"),AND(P124="Baja",T124="Mayor"),AND(P124="Media",T124="Mayor"),AND(P124="Alta",T124="Moderado"),AND(P124="Alta",T124="Mayor"),AND(P124="Muy Alta",T124="Leve"),AND(P124="Muy Alta",T124="Menor"),AND(P124="Muy Alta",T124="Moderado"),AND(P124="Muy Alta",T124="Mayor")),"Alto",IF(OR(AND(P124="Muy Baja",T124="Catastrófico"),AND(P124="Baja",T124="Catastrófico"),AND(P124="Media",T124="Catastrófico"),AND(P124="Alta",T124="Catastrófico"),AND(P124="Muy Alta",T124="Catastrófico")),"Extremo",""))))</f>
        <v>Alto</v>
      </c>
      <c r="W124" s="252">
        <v>1</v>
      </c>
      <c r="X124" s="207" t="s">
        <v>1212</v>
      </c>
      <c r="Y124" s="250" t="str">
        <f t="shared" si="336"/>
        <v>Probabilidad</v>
      </c>
      <c r="Z124" s="185" t="s">
        <v>208</v>
      </c>
      <c r="AA124" s="185" t="s">
        <v>216</v>
      </c>
      <c r="AB124" s="186" t="str">
        <f t="shared" si="320"/>
        <v>40%</v>
      </c>
      <c r="AC124" s="185" t="s">
        <v>219</v>
      </c>
      <c r="AD124" s="185" t="s">
        <v>224</v>
      </c>
      <c r="AE124" s="185" t="s">
        <v>228</v>
      </c>
      <c r="AF124" s="187">
        <f t="shared" ref="AF124" si="352">IFERROR(IF(Y124="Probabilidad",(Q124-(+Q124*AB124)),IF(Y124="Impacto",Q124,"")),"")</f>
        <v>0.24</v>
      </c>
      <c r="AG124" s="188" t="str">
        <f t="shared" si="337"/>
        <v>Baja</v>
      </c>
      <c r="AH124" s="186">
        <f t="shared" si="338"/>
        <v>0.24</v>
      </c>
      <c r="AI124" s="188" t="str">
        <f t="shared" ca="1" si="339"/>
        <v>Mayor</v>
      </c>
      <c r="AJ124" s="186">
        <f t="shared" ref="AJ124" ca="1" si="353">IFERROR(IF(Y124="Impacto",(U124-(+U124*AB124)),IF(Y124="Probabilidad",U124,"")),"")</f>
        <v>0.8</v>
      </c>
      <c r="AK124" s="189" t="str">
        <f t="shared" ca="1" si="340"/>
        <v>Alto</v>
      </c>
      <c r="AL124" s="185" t="s">
        <v>262</v>
      </c>
      <c r="AM124" s="315" t="s">
        <v>698</v>
      </c>
      <c r="AN124" s="315" t="s">
        <v>689</v>
      </c>
      <c r="AO124" s="335" t="s">
        <v>1070</v>
      </c>
      <c r="AP124" s="335" t="s">
        <v>527</v>
      </c>
      <c r="AQ124" s="315" t="s">
        <v>699</v>
      </c>
      <c r="AR124" s="336" t="s">
        <v>259</v>
      </c>
    </row>
    <row r="125" spans="1:44" s="191" customFormat="1" ht="224.25" customHeight="1" thickTop="1" thickBot="1" x14ac:dyDescent="0.3">
      <c r="A125" s="310"/>
      <c r="B125" s="316"/>
      <c r="C125" s="317"/>
      <c r="D125" s="317"/>
      <c r="E125" s="317"/>
      <c r="F125" s="318"/>
      <c r="G125" s="318"/>
      <c r="H125" s="319"/>
      <c r="I125" s="320"/>
      <c r="J125" s="320"/>
      <c r="K125" s="320"/>
      <c r="L125" s="320"/>
      <c r="M125" s="315"/>
      <c r="N125" s="315"/>
      <c r="O125" s="321"/>
      <c r="P125" s="322"/>
      <c r="Q125" s="323"/>
      <c r="R125" s="323"/>
      <c r="S125" s="323">
        <f ca="1">IF(NOT(ISERROR(MATCH(R125,_xlfn.ANCHORARRAY(H135),0))),#REF!&amp;"Por favor no seleccionar los criterios de impacto",R125)</f>
        <v>0</v>
      </c>
      <c r="T125" s="322"/>
      <c r="U125" s="323"/>
      <c r="V125" s="309"/>
      <c r="W125" s="252">
        <v>2</v>
      </c>
      <c r="X125" s="207" t="s">
        <v>1213</v>
      </c>
      <c r="Y125" s="250" t="str">
        <f t="shared" si="336"/>
        <v>Probabilidad</v>
      </c>
      <c r="Z125" s="185" t="s">
        <v>208</v>
      </c>
      <c r="AA125" s="185" t="s">
        <v>216</v>
      </c>
      <c r="AB125" s="186" t="str">
        <f t="shared" si="320"/>
        <v>40%</v>
      </c>
      <c r="AC125" s="185" t="s">
        <v>219</v>
      </c>
      <c r="AD125" s="185" t="s">
        <v>224</v>
      </c>
      <c r="AE125" s="185" t="s">
        <v>228</v>
      </c>
      <c r="AF125" s="187">
        <f t="shared" ref="AF125:AF126" si="354">IFERROR(IF(AND(Y124="Probabilidad",Y125="Probabilidad"),(AH124-(+AH124*AB125)),IF(Y125="Probabilidad",(Q124-(+Q124*AB125)),IF(Y125="Impacto",AH124,""))),"")</f>
        <v>0.14399999999999999</v>
      </c>
      <c r="AG125" s="188" t="str">
        <f t="shared" si="337"/>
        <v>Muy Baja</v>
      </c>
      <c r="AH125" s="186">
        <f t="shared" si="338"/>
        <v>0.14399999999999999</v>
      </c>
      <c r="AI125" s="188" t="str">
        <f t="shared" ca="1" si="339"/>
        <v>Mayor</v>
      </c>
      <c r="AJ125" s="186">
        <f t="shared" ref="AJ125" ca="1" si="355">IFERROR(IF(AND(Y124="Impacto",Y125="Impacto"),(AJ124-(+AJ124*AB125)),IF(Y125="Impacto",(U124-(+U124*AB125)),IF(Y125="Probabilidad",AJ124,""))),"")</f>
        <v>0.8</v>
      </c>
      <c r="AK125" s="189" t="str">
        <f t="shared" ca="1" si="340"/>
        <v>Alto</v>
      </c>
      <c r="AL125" s="185" t="s">
        <v>262</v>
      </c>
      <c r="AM125" s="315"/>
      <c r="AN125" s="315"/>
      <c r="AO125" s="335"/>
      <c r="AP125" s="335"/>
      <c r="AQ125" s="315"/>
      <c r="AR125" s="336"/>
    </row>
    <row r="126" spans="1:44" s="191" customFormat="1" ht="215.25" customHeight="1" thickTop="1" thickBot="1" x14ac:dyDescent="0.3">
      <c r="A126" s="310"/>
      <c r="B126" s="316"/>
      <c r="C126" s="317"/>
      <c r="D126" s="317"/>
      <c r="E126" s="317"/>
      <c r="F126" s="318"/>
      <c r="G126" s="318"/>
      <c r="H126" s="319"/>
      <c r="I126" s="320"/>
      <c r="J126" s="320"/>
      <c r="K126" s="320"/>
      <c r="L126" s="320"/>
      <c r="M126" s="315"/>
      <c r="N126" s="315"/>
      <c r="O126" s="321"/>
      <c r="P126" s="322"/>
      <c r="Q126" s="323"/>
      <c r="R126" s="323"/>
      <c r="S126" s="323">
        <f ca="1">IF(NOT(ISERROR(MATCH(R126,_xlfn.ANCHORARRAY(#REF!),0))),#REF!&amp;"Por favor no seleccionar los criterios de impacto",R126)</f>
        <v>0</v>
      </c>
      <c r="T126" s="322"/>
      <c r="U126" s="323"/>
      <c r="V126" s="309"/>
      <c r="W126" s="252">
        <v>3</v>
      </c>
      <c r="X126" s="207" t="s">
        <v>1214</v>
      </c>
      <c r="Y126" s="250" t="str">
        <f t="shared" si="336"/>
        <v>Probabilidad</v>
      </c>
      <c r="Z126" s="185" t="s">
        <v>208</v>
      </c>
      <c r="AA126" s="185" t="s">
        <v>216</v>
      </c>
      <c r="AB126" s="186" t="str">
        <f t="shared" si="320"/>
        <v>40%</v>
      </c>
      <c r="AC126" s="185" t="s">
        <v>219</v>
      </c>
      <c r="AD126" s="185" t="s">
        <v>224</v>
      </c>
      <c r="AE126" s="185" t="s">
        <v>228</v>
      </c>
      <c r="AF126" s="187">
        <f t="shared" si="354"/>
        <v>8.6399999999999991E-2</v>
      </c>
      <c r="AG126" s="188" t="str">
        <f t="shared" si="337"/>
        <v>Muy Baja</v>
      </c>
      <c r="AH126" s="186">
        <f t="shared" si="338"/>
        <v>8.6399999999999991E-2</v>
      </c>
      <c r="AI126" s="188" t="str">
        <f t="shared" ca="1" si="339"/>
        <v>Mayor</v>
      </c>
      <c r="AJ126" s="186">
        <f t="shared" ref="AJ126" ca="1" si="356">IFERROR(IF(AND(Y125="Impacto",Y126="Impacto"),(AJ125-(+AJ125*AB126)),IF(AND(Y125="Probabilidad",Y126="Impacto"),(AJ124-(+AJ124*AB126)),IF(Y126="Probabilidad",AJ125,""))),"")</f>
        <v>0.8</v>
      </c>
      <c r="AK126" s="189" t="str">
        <f t="shared" ca="1" si="340"/>
        <v>Alto</v>
      </c>
      <c r="AL126" s="185" t="s">
        <v>262</v>
      </c>
      <c r="AM126" s="315"/>
      <c r="AN126" s="315"/>
      <c r="AO126" s="335"/>
      <c r="AP126" s="335"/>
      <c r="AQ126" s="315"/>
      <c r="AR126" s="336"/>
    </row>
    <row r="127" spans="1:44" s="191" customFormat="1" ht="409.5" customHeight="1" thickTop="1" thickBot="1" x14ac:dyDescent="0.3">
      <c r="A127" s="244">
        <v>52</v>
      </c>
      <c r="B127" s="261" t="s">
        <v>928</v>
      </c>
      <c r="C127" s="256" t="s">
        <v>274</v>
      </c>
      <c r="D127" s="246" t="s">
        <v>930</v>
      </c>
      <c r="E127" s="246" t="s">
        <v>240</v>
      </c>
      <c r="F127" s="257" t="s">
        <v>1066</v>
      </c>
      <c r="G127" s="257" t="s">
        <v>1067</v>
      </c>
      <c r="H127" s="258" t="s">
        <v>966</v>
      </c>
      <c r="I127" s="242" t="s">
        <v>474</v>
      </c>
      <c r="J127" s="242" t="s">
        <v>474</v>
      </c>
      <c r="K127" s="242" t="s">
        <v>474</v>
      </c>
      <c r="L127" s="242" t="s">
        <v>474</v>
      </c>
      <c r="M127" s="259" t="s">
        <v>244</v>
      </c>
      <c r="N127" s="246"/>
      <c r="O127" s="250">
        <v>365</v>
      </c>
      <c r="P127" s="251" t="str">
        <f>IF(O127&lt;=0,"",IF(O127&lt;=2,"Muy Baja",IF(O127&lt;=24,"Baja",IF(O127&lt;=500,"Media",IF(O127&lt;=5000,"Alta","Muy Alta")))))</f>
        <v>Media</v>
      </c>
      <c r="Q127" s="243">
        <f>IF(P127="","",IF(P127="Muy Baja",0.2,IF(P127="Baja",0.4,IF(P127="Media",0.6,IF(P127="Alta",0.8,IF(P127="Muy Alta",1,))))))</f>
        <v>0.6</v>
      </c>
      <c r="R127" s="243" t="s">
        <v>190</v>
      </c>
      <c r="S127" s="243" t="str">
        <f ca="1">IF(NOT(ISERROR(MATCH(R127,'Tabla Impacto'!$B$221:$B$223,0))),'Tabla Impacto'!$F$223&amp;"Por favor no seleccionar los criterios de impacto(Afectación Económica o presupuestal y Pérdida Reputacional)",R127)</f>
        <v>El riesgo afecta la imagen de la entidad con algunos usuarios de relevancia frente al logro de los objetivos</v>
      </c>
      <c r="T127" s="251" t="str">
        <f ca="1">+IF(OR(S127='[1]Tabla Impacto'!$C$11,S127='[1]Tabla Impacto'!$D$11),"Leve",IF(OR(S127='[1]Tabla Impacto'!$C$12,S127='[1]Tabla Impacto'!$D$12),"Menor",IF(OR(S127='[1]Tabla Impacto'!$C$13,S127='[1]Tabla Impacto'!$D$13),"Moderado",IF(OR(S127='[1]Tabla Impacto'!$C$14,S127='[1]Tabla Impacto'!$D$14),"Mayor",IF(OR(S127='[1]Tabla Impacto'!$C$15,S127='[1]Tabla Impacto'!$D$15),"Catastrófico","")))))</f>
        <v>Moderado</v>
      </c>
      <c r="U127" s="243">
        <f t="shared" ref="U127" ca="1" si="357">IF(T127="","",IF(T127="Leve",0.2,IF(T127="Menor",0.4,IF(T127="Moderado",0.6,IF(T127="Mayor",0.8,IF(T127="Catastrófico",1,))))))</f>
        <v>0.6</v>
      </c>
      <c r="V127" s="252" t="str">
        <f t="shared" ref="V127" ca="1" si="358">IF(OR(AND(P127="Muy Baja",T127="Leve"),AND(P127="Muy Baja",T127="Menor"),AND(P127="Baja",T127="Leve")),"Bajo",IF(OR(AND(P127="Muy baja",T127="Moderado"),AND(P127="Baja",T127="Menor"),AND(P127="Baja",T127="Moderado"),AND(P127="Media",T127="Leve"),AND(P127="Media",T127="Menor"),AND(P127="Media",T127="Moderado"),AND(P127="Alta",T127="Leve"),AND(P127="Alta",T127="Menor")),"Moderado",IF(OR(AND(P127="Muy Baja",T127="Mayor"),AND(P127="Baja",T127="Mayor"),AND(P127="Media",T127="Mayor"),AND(P127="Alta",T127="Moderado"),AND(P127="Alta",T127="Mayor"),AND(P127="Muy Alta",T127="Leve"),AND(P127="Muy Alta",T127="Menor"),AND(P127="Muy Alta",T127="Moderado"),AND(P127="Muy Alta",T127="Mayor")),"Alto",IF(OR(AND(P127="Muy Baja",T127="Catastrófico"),AND(P127="Baja",T127="Catastrófico"),AND(P127="Media",T127="Catastrófico"),AND(P127="Alta",T127="Catastrófico"),AND(P127="Muy Alta",T127="Catastrófico")),"Extremo",""))))</f>
        <v>Moderado</v>
      </c>
      <c r="W127" s="252">
        <v>1</v>
      </c>
      <c r="X127" s="207" t="s">
        <v>1021</v>
      </c>
      <c r="Y127" s="250" t="str">
        <f t="shared" ref="Y127:Y132" si="359">IF(OR(Z127="Preventivo",Z127="Detectivo"),"Probabilidad",IF(Z127="Correctivo","Impacto",""))</f>
        <v>Probabilidad</v>
      </c>
      <c r="Z127" s="185" t="s">
        <v>208</v>
      </c>
      <c r="AA127" s="185" t="s">
        <v>216</v>
      </c>
      <c r="AB127" s="186" t="str">
        <f t="shared" si="320"/>
        <v>40%</v>
      </c>
      <c r="AC127" s="185" t="s">
        <v>222</v>
      </c>
      <c r="AD127" s="185" t="s">
        <v>224</v>
      </c>
      <c r="AE127" s="185" t="s">
        <v>228</v>
      </c>
      <c r="AF127" s="187">
        <f t="shared" ref="AF127" si="360">IFERROR(IF(Y127="Probabilidad",(Q127-(+Q127*AB127)),IF(Y127="Impacto",Q127,"")),"")</f>
        <v>0.36</v>
      </c>
      <c r="AG127" s="188" t="str">
        <f t="shared" ref="AG127:AG130" si="361">IFERROR(IF(AF127="","",IF(AF127&lt;=0.2,"Muy Baja",IF(AF127&lt;=0.4,"Baja",IF(AF127&lt;=0.6,"Media",IF(AF127&lt;=0.8,"Alta","Muy Alta"))))),"")</f>
        <v>Baja</v>
      </c>
      <c r="AH127" s="186">
        <f t="shared" ref="AH127:AH130" si="362">+AF127</f>
        <v>0.36</v>
      </c>
      <c r="AI127" s="188" t="str">
        <f t="shared" ref="AI127:AI130" ca="1" si="363">IFERROR(IF(AJ127="","",IF(AJ127&lt;=0.2,"Leve",IF(AJ127&lt;=0.4,"Menor",IF(AJ127&lt;=0.6,"Moderado",IF(AJ127&lt;=0.8,"Mayor","Catastrófico"))))),"")</f>
        <v>Moderado</v>
      </c>
      <c r="AJ127" s="186">
        <f t="shared" ref="AJ127" ca="1" si="364">IFERROR(IF(Y127="Impacto",(U127-(+U127*AB127)),IF(Y127="Probabilidad",U127,"")),"")</f>
        <v>0.6</v>
      </c>
      <c r="AK127" s="189" t="str">
        <f t="shared" ref="AK127:AK130" ca="1" si="365">IFERROR(IF(OR(AND(AG127="Muy Baja",AI127="Leve"),AND(AG127="Muy Baja",AI127="Menor"),AND(AG127="Baja",AI127="Leve")),"Bajo",IF(OR(AND(AG127="Muy baja",AI127="Moderado"),AND(AG127="Baja",AI127="Menor"),AND(AG127="Baja",AI127="Moderado"),AND(AG127="Media",AI127="Leve"),AND(AG127="Media",AI127="Menor"),AND(AG127="Media",AI127="Moderado"),AND(AG127="Alta",AI127="Leve"),AND(AG127="Alta",AI127="Menor")),"Moderado",IF(OR(AND(AG127="Muy Baja",AI127="Mayor"),AND(AG127="Baja",AI127="Mayor"),AND(AG127="Media",AI127="Mayor"),AND(AG127="Alta",AI127="Moderado"),AND(AG127="Alta",AI127="Mayor"),AND(AG127="Muy Alta",AI127="Leve"),AND(AG127="Muy Alta",AI127="Menor"),AND(AG127="Muy Alta",AI127="Moderado"),AND(AG127="Muy Alta",AI127="Mayor")),"Alto",IF(OR(AND(AG127="Muy Baja",AI127="Catastrófico"),AND(AG127="Baja",AI127="Catastrófico"),AND(AG127="Media",AI127="Catastrófico"),AND(AG127="Alta",AI127="Catastrófico"),AND(AG127="Muy Alta",AI127="Catastrófico")),"Extremo","")))),"")</f>
        <v>Moderado</v>
      </c>
      <c r="AL127" s="185" t="s">
        <v>262</v>
      </c>
      <c r="AM127" s="246"/>
      <c r="AN127" s="250"/>
      <c r="AO127" s="245"/>
      <c r="AP127" s="245"/>
      <c r="AQ127" s="246"/>
      <c r="AR127" s="247"/>
    </row>
    <row r="128" spans="1:44" s="191" customFormat="1" ht="190.5" customHeight="1" thickTop="1" thickBot="1" x14ac:dyDescent="0.3">
      <c r="A128" s="310">
        <v>53</v>
      </c>
      <c r="B128" s="316" t="s">
        <v>929</v>
      </c>
      <c r="C128" s="317" t="s">
        <v>274</v>
      </c>
      <c r="D128" s="315" t="s">
        <v>930</v>
      </c>
      <c r="E128" s="315" t="s">
        <v>240</v>
      </c>
      <c r="F128" s="318" t="s">
        <v>931</v>
      </c>
      <c r="G128" s="318" t="s">
        <v>932</v>
      </c>
      <c r="H128" s="319" t="s">
        <v>1078</v>
      </c>
      <c r="I128" s="320" t="s">
        <v>474</v>
      </c>
      <c r="J128" s="320" t="s">
        <v>474</v>
      </c>
      <c r="K128" s="320" t="s">
        <v>474</v>
      </c>
      <c r="L128" s="320" t="s">
        <v>474</v>
      </c>
      <c r="M128" s="315" t="s">
        <v>239</v>
      </c>
      <c r="N128" s="315"/>
      <c r="O128" s="321">
        <v>365</v>
      </c>
      <c r="P128" s="322" t="str">
        <f>IF(O128&lt;=0,"",IF(O128&lt;=2,"Muy Baja",IF(O128&lt;=24,"Baja",IF(O128&lt;=500,"Media",IF(O128&lt;=5000,"Alta","Muy Alta")))))</f>
        <v>Media</v>
      </c>
      <c r="Q128" s="323">
        <f>IF(P128="","",IF(P128="Muy Baja",0.2,IF(P128="Baja",0.4,IF(P128="Media",0.6,IF(P128="Alta",0.8,IF(P128="Muy Alta",1,))))))</f>
        <v>0.6</v>
      </c>
      <c r="R128" s="323" t="s">
        <v>186</v>
      </c>
      <c r="S128" s="323" t="str">
        <f ca="1">IF(NOT(ISERROR(MATCH(R128,'Tabla Impacto'!$B$221:$B$223,0))),'Tabla Impacto'!$F$223&amp;"Por favor no seleccionar los criterios de impacto(Afectación Económica o presupuestal y Pérdida Reputacional)",R128)</f>
        <v xml:space="preserve">Entre 10 y 50 SMLMV </v>
      </c>
      <c r="T128" s="322" t="str">
        <f ca="1">+IF(OR(S128='[1]Tabla Impacto'!$C$11,S128='[1]Tabla Impacto'!$D$11),"Leve",IF(OR(S128='[1]Tabla Impacto'!$C$12,S128='[1]Tabla Impacto'!$D$12),"Menor",IF(OR(S128='[1]Tabla Impacto'!$C$13,S128='[1]Tabla Impacto'!$D$13),"Moderado",IF(OR(S128='[1]Tabla Impacto'!$C$14,S128='[1]Tabla Impacto'!$D$14),"Mayor",IF(OR(S128='[1]Tabla Impacto'!$C$15,S128='[1]Tabla Impacto'!$D$15),"Catastrófico","")))))</f>
        <v>Menor</v>
      </c>
      <c r="U128" s="323">
        <f t="shared" ref="U128" ca="1" si="366">IF(T128="","",IF(T128="Leve",0.2,IF(T128="Menor",0.4,IF(T128="Moderado",0.6,IF(T128="Mayor",0.8,IF(T128="Catastrófico",1,))))))</f>
        <v>0.4</v>
      </c>
      <c r="V128" s="309" t="str">
        <f t="shared" ref="V128" ca="1" si="367">IF(OR(AND(P128="Muy Baja",T128="Leve"),AND(P128="Muy Baja",T128="Menor"),AND(P128="Baja",T128="Leve")),"Bajo",IF(OR(AND(P128="Muy baja",T128="Moderado"),AND(P128="Baja",T128="Menor"),AND(P128="Baja",T128="Moderado"),AND(P128="Media",T128="Leve"),AND(P128="Media",T128="Menor"),AND(P128="Media",T128="Moderado"),AND(P128="Alta",T128="Leve"),AND(P128="Alta",T128="Menor")),"Moderado",IF(OR(AND(P128="Muy Baja",T128="Mayor"),AND(P128="Baja",T128="Mayor"),AND(P128="Media",T128="Mayor"),AND(P128="Alta",T128="Moderado"),AND(P128="Alta",T128="Mayor"),AND(P128="Muy Alta",T128="Leve"),AND(P128="Muy Alta",T128="Menor"),AND(P128="Muy Alta",T128="Moderado"),AND(P128="Muy Alta",T128="Mayor")),"Alto",IF(OR(AND(P128="Muy Baja",T128="Catastrófico"),AND(P128="Baja",T128="Catastrófico"),AND(P128="Media",T128="Catastrófico"),AND(P128="Alta",T128="Catastrófico"),AND(P128="Muy Alta",T128="Catastrófico")),"Extremo",""))))</f>
        <v>Moderado</v>
      </c>
      <c r="W128" s="252">
        <v>1</v>
      </c>
      <c r="X128" s="207" t="s">
        <v>1022</v>
      </c>
      <c r="Y128" s="250" t="str">
        <f t="shared" si="359"/>
        <v>Probabilidad</v>
      </c>
      <c r="Z128" s="185" t="s">
        <v>208</v>
      </c>
      <c r="AA128" s="185" t="s">
        <v>216</v>
      </c>
      <c r="AB128" s="186" t="str">
        <f t="shared" si="320"/>
        <v>40%</v>
      </c>
      <c r="AC128" s="185" t="s">
        <v>222</v>
      </c>
      <c r="AD128" s="185" t="s">
        <v>224</v>
      </c>
      <c r="AE128" s="185" t="s">
        <v>228</v>
      </c>
      <c r="AF128" s="187">
        <f t="shared" ref="AF128" si="368">IFERROR(IF(Y128="Probabilidad",(Q128-(+Q128*AB128)),IF(Y128="Impacto",Q128,"")),"")</f>
        <v>0.36</v>
      </c>
      <c r="AG128" s="188" t="str">
        <f t="shared" si="361"/>
        <v>Baja</v>
      </c>
      <c r="AH128" s="186">
        <f t="shared" si="362"/>
        <v>0.36</v>
      </c>
      <c r="AI128" s="188" t="str">
        <f t="shared" ca="1" si="363"/>
        <v>Menor</v>
      </c>
      <c r="AJ128" s="186">
        <f t="shared" ref="AJ128" ca="1" si="369">IFERROR(IF(Y128="Impacto",(U128-(+U128*AB128)),IF(Y128="Probabilidad",U128,"")),"")</f>
        <v>0.4</v>
      </c>
      <c r="AK128" s="189" t="str">
        <f t="shared" ca="1" si="365"/>
        <v>Moderado</v>
      </c>
      <c r="AL128" s="185" t="s">
        <v>255</v>
      </c>
      <c r="AM128" s="246"/>
      <c r="AN128" s="250"/>
      <c r="AO128" s="245"/>
      <c r="AP128" s="245"/>
      <c r="AQ128" s="246"/>
      <c r="AR128" s="247"/>
    </row>
    <row r="129" spans="1:44" s="191" customFormat="1" ht="217.5" customHeight="1" thickTop="1" thickBot="1" x14ac:dyDescent="0.3">
      <c r="A129" s="310"/>
      <c r="B129" s="316"/>
      <c r="C129" s="317"/>
      <c r="D129" s="315"/>
      <c r="E129" s="315"/>
      <c r="F129" s="318"/>
      <c r="G129" s="318"/>
      <c r="H129" s="319"/>
      <c r="I129" s="320"/>
      <c r="J129" s="320"/>
      <c r="K129" s="320"/>
      <c r="L129" s="320"/>
      <c r="M129" s="315"/>
      <c r="N129" s="315"/>
      <c r="O129" s="321"/>
      <c r="P129" s="322"/>
      <c r="Q129" s="323"/>
      <c r="R129" s="323"/>
      <c r="S129" s="323">
        <f ca="1">IF(NOT(ISERROR(MATCH(R129,_xlfn.ANCHORARRAY(H138),0))),#REF!&amp;"Por favor no seleccionar los criterios de impacto",R129)</f>
        <v>0</v>
      </c>
      <c r="T129" s="322"/>
      <c r="U129" s="323"/>
      <c r="V129" s="309"/>
      <c r="W129" s="252">
        <v>2</v>
      </c>
      <c r="X129" s="207" t="s">
        <v>1023</v>
      </c>
      <c r="Y129" s="250" t="str">
        <f t="shared" si="359"/>
        <v>Probabilidad</v>
      </c>
      <c r="Z129" s="185" t="s">
        <v>210</v>
      </c>
      <c r="AA129" s="185" t="s">
        <v>216</v>
      </c>
      <c r="AB129" s="186" t="str">
        <f t="shared" si="320"/>
        <v>30%</v>
      </c>
      <c r="AC129" s="185" t="s">
        <v>222</v>
      </c>
      <c r="AD129" s="185" t="s">
        <v>224</v>
      </c>
      <c r="AE129" s="185" t="s">
        <v>228</v>
      </c>
      <c r="AF129" s="187">
        <f t="shared" ref="AF129:AF130" si="370">IFERROR(IF(AND(Y128="Probabilidad",Y129="Probabilidad"),(AH128-(+AH128*AB129)),IF(Y129="Probabilidad",(Q128-(+Q128*AB129)),IF(Y129="Impacto",AH128,""))),"")</f>
        <v>0.252</v>
      </c>
      <c r="AG129" s="188" t="str">
        <f t="shared" si="361"/>
        <v>Baja</v>
      </c>
      <c r="AH129" s="186">
        <f t="shared" si="362"/>
        <v>0.252</v>
      </c>
      <c r="AI129" s="188" t="str">
        <f t="shared" ca="1" si="363"/>
        <v>Menor</v>
      </c>
      <c r="AJ129" s="186">
        <f t="shared" ref="AJ129" ca="1" si="371">IFERROR(IF(AND(Y128="Impacto",Y129="Impacto"),(AJ128-(+AJ128*AB129)),IF(Y129="Impacto",(U128-(+U128*AB129)),IF(Y129="Probabilidad",AJ128,""))),"")</f>
        <v>0.4</v>
      </c>
      <c r="AK129" s="189" t="str">
        <f t="shared" ca="1" si="365"/>
        <v>Moderado</v>
      </c>
      <c r="AL129" s="185" t="s">
        <v>255</v>
      </c>
      <c r="AM129" s="246"/>
      <c r="AN129" s="250"/>
      <c r="AO129" s="245"/>
      <c r="AP129" s="245"/>
      <c r="AQ129" s="246"/>
      <c r="AR129" s="247"/>
    </row>
    <row r="130" spans="1:44" s="191" customFormat="1" ht="219.75" customHeight="1" thickTop="1" thickBot="1" x14ac:dyDescent="0.3">
      <c r="A130" s="310"/>
      <c r="B130" s="316"/>
      <c r="C130" s="317"/>
      <c r="D130" s="315"/>
      <c r="E130" s="315"/>
      <c r="F130" s="318"/>
      <c r="G130" s="318"/>
      <c r="H130" s="319"/>
      <c r="I130" s="320"/>
      <c r="J130" s="320"/>
      <c r="K130" s="320"/>
      <c r="L130" s="320"/>
      <c r="M130" s="315"/>
      <c r="N130" s="315"/>
      <c r="O130" s="321"/>
      <c r="P130" s="322"/>
      <c r="Q130" s="323"/>
      <c r="R130" s="323"/>
      <c r="S130" s="323">
        <f ca="1">IF(NOT(ISERROR(MATCH(R130,_xlfn.ANCHORARRAY(H139),0))),#REF!&amp;"Por favor no seleccionar los criterios de impacto",R130)</f>
        <v>0</v>
      </c>
      <c r="T130" s="322"/>
      <c r="U130" s="323"/>
      <c r="V130" s="309"/>
      <c r="W130" s="252">
        <v>3</v>
      </c>
      <c r="X130" s="207" t="s">
        <v>1024</v>
      </c>
      <c r="Y130" s="250" t="str">
        <f t="shared" si="359"/>
        <v>Probabilidad</v>
      </c>
      <c r="Z130" s="185" t="s">
        <v>208</v>
      </c>
      <c r="AA130" s="185" t="s">
        <v>216</v>
      </c>
      <c r="AB130" s="186" t="str">
        <f t="shared" si="320"/>
        <v>40%</v>
      </c>
      <c r="AC130" s="185" t="s">
        <v>219</v>
      </c>
      <c r="AD130" s="185" t="s">
        <v>224</v>
      </c>
      <c r="AE130" s="185" t="s">
        <v>228</v>
      </c>
      <c r="AF130" s="187">
        <f t="shared" si="370"/>
        <v>0.1512</v>
      </c>
      <c r="AG130" s="188" t="str">
        <f t="shared" si="361"/>
        <v>Muy Baja</v>
      </c>
      <c r="AH130" s="186">
        <f t="shared" si="362"/>
        <v>0.1512</v>
      </c>
      <c r="AI130" s="188" t="str">
        <f t="shared" ca="1" si="363"/>
        <v>Menor</v>
      </c>
      <c r="AJ130" s="186">
        <f t="shared" ref="AJ130" ca="1" si="372">IFERROR(IF(AND(Y129="Impacto",Y130="Impacto"),(AJ129-(+AJ129*AB130)),IF(AND(Y129="Probabilidad",Y130="Impacto"),(AJ128-(+AJ128*AB130)),IF(Y130="Probabilidad",AJ129,""))),"")</f>
        <v>0.4</v>
      </c>
      <c r="AK130" s="189" t="str">
        <f t="shared" ca="1" si="365"/>
        <v>Bajo</v>
      </c>
      <c r="AL130" s="185" t="s">
        <v>255</v>
      </c>
      <c r="AM130" s="246"/>
      <c r="AN130" s="250"/>
      <c r="AO130" s="245"/>
      <c r="AP130" s="245"/>
      <c r="AQ130" s="246"/>
      <c r="AR130" s="247"/>
    </row>
    <row r="131" spans="1:44" s="191" customFormat="1" ht="152.25" customHeight="1" thickTop="1" thickBot="1" x14ac:dyDescent="0.3">
      <c r="A131" s="310">
        <v>54</v>
      </c>
      <c r="B131" s="316" t="s">
        <v>943</v>
      </c>
      <c r="C131" s="317" t="s">
        <v>274</v>
      </c>
      <c r="D131" s="315" t="s">
        <v>945</v>
      </c>
      <c r="E131" s="315" t="s">
        <v>240</v>
      </c>
      <c r="F131" s="318" t="s">
        <v>944</v>
      </c>
      <c r="G131" s="318" t="s">
        <v>1080</v>
      </c>
      <c r="H131" s="319" t="s">
        <v>1081</v>
      </c>
      <c r="I131" s="320" t="s">
        <v>474</v>
      </c>
      <c r="J131" s="320" t="s">
        <v>474</v>
      </c>
      <c r="K131" s="320" t="s">
        <v>474</v>
      </c>
      <c r="L131" s="320" t="s">
        <v>474</v>
      </c>
      <c r="M131" s="315" t="s">
        <v>239</v>
      </c>
      <c r="N131" s="315"/>
      <c r="O131" s="321">
        <v>320</v>
      </c>
      <c r="P131" s="322" t="str">
        <f>IF(O131&lt;=0,"",IF(O131&lt;=2,"Muy Baja",IF(O131&lt;=24,"Baja",IF(O131&lt;=500,"Media",IF(O131&lt;=5000,"Alta","Muy Alta")))))</f>
        <v>Media</v>
      </c>
      <c r="Q131" s="323">
        <f>IF(P131="","",IF(P131="Muy Baja",0.2,IF(P131="Baja",0.4,IF(P131="Media",0.6,IF(P131="Alta",0.8,IF(P131="Muy Alta",1,))))))</f>
        <v>0.6</v>
      </c>
      <c r="R131" s="323" t="s">
        <v>187</v>
      </c>
      <c r="S131" s="323" t="str">
        <f ca="1">IF(NOT(ISERROR(MATCH(R131,'Tabla Impacto'!$B$221:$B$223,0))),'Tabla Impacto'!$F$223&amp;"Por favor no seleccionar los criterios de impacto(Afectación Económica o presupuestal y Pérdida Reputacional)",R131)</f>
        <v>El riesgo afecta la imagen de la entidad internamente, de conocimiento general, nivel interno, de junta dircetiva y accionistas y/o de provedores</v>
      </c>
      <c r="T131" s="322" t="str">
        <f ca="1">+IF(OR(S131='[1]Tabla Impacto'!$C$11,S131='[1]Tabla Impacto'!$D$11),"Leve",IF(OR(S131='[1]Tabla Impacto'!$C$12,S131='[1]Tabla Impacto'!$D$12),"Menor",IF(OR(S131='[1]Tabla Impacto'!$C$13,S131='[1]Tabla Impacto'!$D$13),"Moderado",IF(OR(S131='[1]Tabla Impacto'!$C$14,S131='[1]Tabla Impacto'!$D$14),"Mayor",IF(OR(S131='[1]Tabla Impacto'!$C$15,S131='[1]Tabla Impacto'!$D$15),"Catastrófico","")))))</f>
        <v>Menor</v>
      </c>
      <c r="U131" s="323">
        <f t="shared" ref="U131" ca="1" si="373">IF(T131="","",IF(T131="Leve",0.2,IF(T131="Menor",0.4,IF(T131="Moderado",0.6,IF(T131="Mayor",0.8,IF(T131="Catastrófico",1,))))))</f>
        <v>0.4</v>
      </c>
      <c r="V131" s="309" t="str">
        <f t="shared" ref="V131" ca="1" si="374">IF(OR(AND(P131="Muy Baja",T131="Leve"),AND(P131="Muy Baja",T131="Menor"),AND(P131="Baja",T131="Leve")),"Bajo",IF(OR(AND(P131="Muy baja",T131="Moderado"),AND(P131="Baja",T131="Menor"),AND(P131="Baja",T131="Moderado"),AND(P131="Media",T131="Leve"),AND(P131="Media",T131="Menor"),AND(P131="Media",T131="Moderado"),AND(P131="Alta",T131="Leve"),AND(P131="Alta",T131="Menor")),"Moderado",IF(OR(AND(P131="Muy Baja",T131="Mayor"),AND(P131="Baja",T131="Mayor"),AND(P131="Media",T131="Mayor"),AND(P131="Alta",T131="Moderado"),AND(P131="Alta",T131="Mayor"),AND(P131="Muy Alta",T131="Leve"),AND(P131="Muy Alta",T131="Menor"),AND(P131="Muy Alta",T131="Moderado"),AND(P131="Muy Alta",T131="Mayor")),"Alto",IF(OR(AND(P131="Muy Baja",T131="Catastrófico"),AND(P131="Baja",T131="Catastrófico"),AND(P131="Media",T131="Catastrófico"),AND(P131="Alta",T131="Catastrófico"),AND(P131="Muy Alta",T131="Catastrófico")),"Extremo",""))))</f>
        <v>Moderado</v>
      </c>
      <c r="W131" s="252">
        <v>1</v>
      </c>
      <c r="X131" s="207" t="s">
        <v>1025</v>
      </c>
      <c r="Y131" s="250" t="str">
        <f t="shared" si="359"/>
        <v>Probabilidad</v>
      </c>
      <c r="Z131" s="185" t="s">
        <v>208</v>
      </c>
      <c r="AA131" s="185" t="s">
        <v>216</v>
      </c>
      <c r="AB131" s="186" t="str">
        <f t="shared" si="320"/>
        <v>40%</v>
      </c>
      <c r="AC131" s="185" t="s">
        <v>219</v>
      </c>
      <c r="AD131" s="185" t="s">
        <v>224</v>
      </c>
      <c r="AE131" s="185" t="s">
        <v>228</v>
      </c>
      <c r="AF131" s="187">
        <f t="shared" ref="AF131" si="375">IFERROR(IF(Y131="Probabilidad",(Q131-(+Q131*AB131)),IF(Y131="Impacto",Q131,"")),"")</f>
        <v>0.36</v>
      </c>
      <c r="AG131" s="188" t="str">
        <f t="shared" ref="AG131:AG132" si="376">IFERROR(IF(AF131="","",IF(AF131&lt;=0.2,"Muy Baja",IF(AF131&lt;=0.4,"Baja",IF(AF131&lt;=0.6,"Media",IF(AF131&lt;=0.8,"Alta","Muy Alta"))))),"")</f>
        <v>Baja</v>
      </c>
      <c r="AH131" s="186">
        <f t="shared" ref="AH131:AH132" si="377">+AF131</f>
        <v>0.36</v>
      </c>
      <c r="AI131" s="188" t="str">
        <f t="shared" ref="AI131:AI132" ca="1" si="378">IFERROR(IF(AJ131="","",IF(AJ131&lt;=0.2,"Leve",IF(AJ131&lt;=0.4,"Menor",IF(AJ131&lt;=0.6,"Moderado",IF(AJ131&lt;=0.8,"Mayor","Catastrófico"))))),"")</f>
        <v>Menor</v>
      </c>
      <c r="AJ131" s="186">
        <f t="shared" ref="AJ131" ca="1" si="379">IFERROR(IF(Y131="Impacto",(U131-(+U131*AB131)),IF(Y131="Probabilidad",U131,"")),"")</f>
        <v>0.4</v>
      </c>
      <c r="AK131" s="189" t="str">
        <f t="shared" ref="AK131:AK132" ca="1" si="380">IFERROR(IF(OR(AND(AG131="Muy Baja",AI131="Leve"),AND(AG131="Muy Baja",AI131="Menor"),AND(AG131="Baja",AI131="Leve")),"Bajo",IF(OR(AND(AG131="Muy baja",AI131="Moderado"),AND(AG131="Baja",AI131="Menor"),AND(AG131="Baja",AI131="Moderado"),AND(AG131="Media",AI131="Leve"),AND(AG131="Media",AI131="Menor"),AND(AG131="Media",AI131="Moderado"),AND(AG131="Alta",AI131="Leve"),AND(AG131="Alta",AI131="Menor")),"Moderado",IF(OR(AND(AG131="Muy Baja",AI131="Mayor"),AND(AG131="Baja",AI131="Mayor"),AND(AG131="Media",AI131="Mayor"),AND(AG131="Alta",AI131="Moderado"),AND(AG131="Alta",AI131="Mayor"),AND(AG131="Muy Alta",AI131="Leve"),AND(AG131="Muy Alta",AI131="Menor"),AND(AG131="Muy Alta",AI131="Moderado"),AND(AG131="Muy Alta",AI131="Mayor")),"Alto",IF(OR(AND(AG131="Muy Baja",AI131="Catastrófico"),AND(AG131="Baja",AI131="Catastrófico"),AND(AG131="Media",AI131="Catastrófico"),AND(AG131="Alta",AI131="Catastrófico"),AND(AG131="Muy Alta",AI131="Catastrófico")),"Extremo","")))),"")</f>
        <v>Moderado</v>
      </c>
      <c r="AL131" s="185" t="s">
        <v>255</v>
      </c>
      <c r="AM131" s="246"/>
      <c r="AN131" s="250"/>
      <c r="AO131" s="245"/>
      <c r="AP131" s="245"/>
      <c r="AQ131" s="246"/>
      <c r="AR131" s="247"/>
    </row>
    <row r="132" spans="1:44" s="191" customFormat="1" ht="152.25" customHeight="1" thickTop="1" thickBot="1" x14ac:dyDescent="0.3">
      <c r="A132" s="310"/>
      <c r="B132" s="316"/>
      <c r="C132" s="317"/>
      <c r="D132" s="315"/>
      <c r="E132" s="315"/>
      <c r="F132" s="318"/>
      <c r="G132" s="318"/>
      <c r="H132" s="319"/>
      <c r="I132" s="320"/>
      <c r="J132" s="320"/>
      <c r="K132" s="320"/>
      <c r="L132" s="320"/>
      <c r="M132" s="315"/>
      <c r="N132" s="315"/>
      <c r="O132" s="321"/>
      <c r="P132" s="322"/>
      <c r="Q132" s="323"/>
      <c r="R132" s="323"/>
      <c r="S132" s="323">
        <f ca="1">IF(NOT(ISERROR(MATCH(R132,_xlfn.ANCHORARRAY(H140),0))),#REF!&amp;"Por favor no seleccionar los criterios de impacto",R132)</f>
        <v>0</v>
      </c>
      <c r="T132" s="322"/>
      <c r="U132" s="323"/>
      <c r="V132" s="309"/>
      <c r="W132" s="252">
        <v>2</v>
      </c>
      <c r="X132" s="207" t="s">
        <v>1069</v>
      </c>
      <c r="Y132" s="250" t="str">
        <f t="shared" si="359"/>
        <v>Probabilidad</v>
      </c>
      <c r="Z132" s="185" t="s">
        <v>208</v>
      </c>
      <c r="AA132" s="185" t="s">
        <v>216</v>
      </c>
      <c r="AB132" s="186" t="str">
        <f t="shared" ref="AB132" si="381">IF(AND(Z132="Preventivo",AA132="Automático"),"50%",IF(AND(Z132="Preventivo",AA132="Manual"),"40%",IF(AND(Z132="Detectivo",AA132="Automático"),"40%",IF(AND(Z132="Detectivo",AA132="Manual"),"30%",IF(AND(Z132="Correctivo",AA132="Automático"),"35%",IF(AND(Z132="Correctivo",AA132="Manual"),"25%",""))))))</f>
        <v>40%</v>
      </c>
      <c r="AC132" s="185" t="s">
        <v>219</v>
      </c>
      <c r="AD132" s="185" t="s">
        <v>224</v>
      </c>
      <c r="AE132" s="185" t="s">
        <v>228</v>
      </c>
      <c r="AF132" s="187">
        <f t="shared" ref="AF132" si="382">IFERROR(IF(AND(Y131="Probabilidad",Y132="Probabilidad"),(AH131-(+AH131*AB132)),IF(Y132="Probabilidad",(Q131-(+Q131*AB132)),IF(Y132="Impacto",AH131,""))),"")</f>
        <v>0.216</v>
      </c>
      <c r="AG132" s="188" t="str">
        <f t="shared" si="376"/>
        <v>Baja</v>
      </c>
      <c r="AH132" s="186">
        <f t="shared" si="377"/>
        <v>0.216</v>
      </c>
      <c r="AI132" s="188" t="str">
        <f t="shared" ca="1" si="378"/>
        <v>Menor</v>
      </c>
      <c r="AJ132" s="186">
        <f t="shared" ref="AJ132" ca="1" si="383">IFERROR(IF(AND(Y131="Impacto",Y132="Impacto"),(AJ131-(+AJ131*AB132)),IF(Y132="Impacto",(U131-(+U131*AB132)),IF(Y132="Probabilidad",AJ131,""))),"")</f>
        <v>0.4</v>
      </c>
      <c r="AK132" s="189" t="str">
        <f t="shared" ca="1" si="380"/>
        <v>Moderado</v>
      </c>
      <c r="AL132" s="185" t="s">
        <v>255</v>
      </c>
      <c r="AM132" s="246"/>
      <c r="AN132" s="250"/>
      <c r="AO132" s="245"/>
      <c r="AP132" s="245"/>
      <c r="AQ132" s="246"/>
      <c r="AR132" s="247"/>
    </row>
    <row r="133" spans="1:44" s="191" customFormat="1" ht="177" customHeight="1" thickTop="1" thickBot="1" x14ac:dyDescent="0.3">
      <c r="A133" s="310">
        <v>55</v>
      </c>
      <c r="B133" s="327" t="s">
        <v>700</v>
      </c>
      <c r="C133" s="315" t="s">
        <v>275</v>
      </c>
      <c r="D133" s="315" t="s">
        <v>701</v>
      </c>
      <c r="E133" s="315" t="s">
        <v>240</v>
      </c>
      <c r="F133" s="332" t="s">
        <v>702</v>
      </c>
      <c r="G133" s="332" t="s">
        <v>703</v>
      </c>
      <c r="H133" s="333" t="s">
        <v>1068</v>
      </c>
      <c r="I133" s="320" t="s">
        <v>474</v>
      </c>
      <c r="J133" s="320" t="s">
        <v>474</v>
      </c>
      <c r="K133" s="320" t="s">
        <v>474</v>
      </c>
      <c r="L133" s="320" t="s">
        <v>474</v>
      </c>
      <c r="M133" s="315" t="s">
        <v>239</v>
      </c>
      <c r="N133" s="315"/>
      <c r="O133" s="321">
        <v>53</v>
      </c>
      <c r="P133" s="322" t="str">
        <f>IF(O133&lt;=0,"",IF(O133&lt;=2,"Muy Baja",IF(O133&lt;=24,"Baja",IF(O133&lt;=500,"Media",IF(O133&lt;=5000,"Alta","Muy Alta")))))</f>
        <v>Media</v>
      </c>
      <c r="Q133" s="323">
        <f>IF(P133="","",IF(P133="Muy Baja",0.2,IF(P133="Baja",0.4,IF(P133="Media",0.6,IF(P133="Alta",0.8,IF(P133="Muy Alta",1,))))))</f>
        <v>0.6</v>
      </c>
      <c r="R133" s="323" t="s">
        <v>183</v>
      </c>
      <c r="S133" s="323" t="str">
        <f ca="1">IF(NOT(ISERROR(MATCH(R133,'Tabla Impacto'!$B$221:$B$223,0))),'Tabla Impacto'!$F$223&amp;"Por favor no seleccionar los criterios de impacto(Afectación Económica o presupuestal y Pérdida Reputacional)",R133)</f>
        <v xml:space="preserve">Afectación menor a 10 SMLMV </v>
      </c>
      <c r="T133" s="322" t="str">
        <f ca="1">+IF(OR(S133='[1]Tabla Impacto'!$C$11,S133='[1]Tabla Impacto'!$D$11),"Leve",IF(OR(S133='[1]Tabla Impacto'!$C$12,S133='[1]Tabla Impacto'!$D$12),"Menor",IF(OR(S133='[1]Tabla Impacto'!$C$13,S133='[1]Tabla Impacto'!$D$13),"Moderado",IF(OR(S133='[1]Tabla Impacto'!$C$14,S133='[1]Tabla Impacto'!$D$14),"Mayor",IF(OR(S133='[1]Tabla Impacto'!$C$15,S133='[1]Tabla Impacto'!$D$15),"Catastrófico","")))))</f>
        <v>Leve</v>
      </c>
      <c r="U133" s="323">
        <f t="shared" ref="U133" ca="1" si="384">IF(T133="","",IF(T133="Leve",0.2,IF(T133="Menor",0.4,IF(T133="Moderado",0.6,IF(T133="Mayor",0.8,IF(T133="Catastrófico",1,))))))</f>
        <v>0.2</v>
      </c>
      <c r="V133" s="309" t="str">
        <f t="shared" ref="V133" ca="1" si="385">IF(OR(AND(P133="Muy Baja",T133="Leve"),AND(P133="Muy Baja",T133="Menor"),AND(P133="Baja",T133="Leve")),"Bajo",IF(OR(AND(P133="Muy baja",T133="Moderado"),AND(P133="Baja",T133="Menor"),AND(P133="Baja",T133="Moderado"),AND(P133="Media",T133="Leve"),AND(P133="Media",T133="Menor"),AND(P133="Media",T133="Moderado"),AND(P133="Alta",T133="Leve"),AND(P133="Alta",T133="Menor")),"Moderado",IF(OR(AND(P133="Muy Baja",T133="Mayor"),AND(P133="Baja",T133="Mayor"),AND(P133="Media",T133="Mayor"),AND(P133="Alta",T133="Moderado"),AND(P133="Alta",T133="Mayor"),AND(P133="Muy Alta",T133="Leve"),AND(P133="Muy Alta",T133="Menor"),AND(P133="Muy Alta",T133="Moderado"),AND(P133="Muy Alta",T133="Mayor")),"Alto",IF(OR(AND(P133="Muy Baja",T133="Catastrófico"),AND(P133="Baja",T133="Catastrófico"),AND(P133="Media",T133="Catastrófico"),AND(P133="Alta",T133="Catastrófico"),AND(P133="Muy Alta",T133="Catastrófico")),"Extremo",""))))</f>
        <v>Moderado</v>
      </c>
      <c r="W133" s="252">
        <v>1</v>
      </c>
      <c r="X133" s="207" t="s">
        <v>704</v>
      </c>
      <c r="Y133" s="250" t="str">
        <f t="shared" si="336"/>
        <v>Probabilidad</v>
      </c>
      <c r="Z133" s="185" t="s">
        <v>208</v>
      </c>
      <c r="AA133" s="185" t="s">
        <v>216</v>
      </c>
      <c r="AB133" s="186" t="str">
        <f t="shared" si="320"/>
        <v>40%</v>
      </c>
      <c r="AC133" s="185" t="s">
        <v>219</v>
      </c>
      <c r="AD133" s="185" t="s">
        <v>224</v>
      </c>
      <c r="AE133" s="185" t="s">
        <v>228</v>
      </c>
      <c r="AF133" s="187">
        <f t="shared" ref="AF133" si="386">IFERROR(IF(Y133="Probabilidad",(Q133-(+Q133*AB133)),IF(Y133="Impacto",Q133,"")),"")</f>
        <v>0.36</v>
      </c>
      <c r="AG133" s="188" t="str">
        <f t="shared" si="337"/>
        <v>Baja</v>
      </c>
      <c r="AH133" s="186">
        <f t="shared" si="338"/>
        <v>0.36</v>
      </c>
      <c r="AI133" s="188" t="str">
        <f t="shared" ca="1" si="339"/>
        <v>Leve</v>
      </c>
      <c r="AJ133" s="186">
        <f t="shared" ref="AJ133" ca="1" si="387">IFERROR(IF(Y133="Impacto",(U133-(+U133*AB133)),IF(Y133="Probabilidad",U133,"")),"")</f>
        <v>0.2</v>
      </c>
      <c r="AK133" s="189" t="str">
        <f t="shared" ca="1" si="340"/>
        <v>Bajo</v>
      </c>
      <c r="AL133" s="185" t="s">
        <v>255</v>
      </c>
      <c r="AM133" s="246"/>
      <c r="AN133" s="250"/>
      <c r="AO133" s="245"/>
      <c r="AP133" s="245"/>
      <c r="AQ133" s="246"/>
      <c r="AR133" s="247"/>
    </row>
    <row r="134" spans="1:44" s="191" customFormat="1" ht="153.75" customHeight="1" thickTop="1" thickBot="1" x14ac:dyDescent="0.3">
      <c r="A134" s="310"/>
      <c r="B134" s="327"/>
      <c r="C134" s="315"/>
      <c r="D134" s="315"/>
      <c r="E134" s="315"/>
      <c r="F134" s="332"/>
      <c r="G134" s="332"/>
      <c r="H134" s="333"/>
      <c r="I134" s="320"/>
      <c r="J134" s="320"/>
      <c r="K134" s="320"/>
      <c r="L134" s="320"/>
      <c r="M134" s="315"/>
      <c r="N134" s="315"/>
      <c r="O134" s="321"/>
      <c r="P134" s="322"/>
      <c r="Q134" s="323"/>
      <c r="R134" s="323"/>
      <c r="S134" s="323">
        <f ca="1">IF(NOT(ISERROR(MATCH(R134,_xlfn.ANCHORARRAY(H136),0))),#REF!&amp;"Por favor no seleccionar los criterios de impacto",R134)</f>
        <v>0</v>
      </c>
      <c r="T134" s="322"/>
      <c r="U134" s="323"/>
      <c r="V134" s="309"/>
      <c r="W134" s="252">
        <v>2</v>
      </c>
      <c r="X134" s="207" t="s">
        <v>705</v>
      </c>
      <c r="Y134" s="250" t="str">
        <f t="shared" si="336"/>
        <v>Probabilidad</v>
      </c>
      <c r="Z134" s="185" t="s">
        <v>208</v>
      </c>
      <c r="AA134" s="185" t="s">
        <v>216</v>
      </c>
      <c r="AB134" s="186" t="str">
        <f t="shared" si="320"/>
        <v>40%</v>
      </c>
      <c r="AC134" s="185" t="s">
        <v>219</v>
      </c>
      <c r="AD134" s="185" t="s">
        <v>224</v>
      </c>
      <c r="AE134" s="185" t="s">
        <v>228</v>
      </c>
      <c r="AF134" s="187">
        <f t="shared" ref="AF134" si="388">IFERROR(IF(AND(Y133="Probabilidad",Y134="Probabilidad"),(AH133-(+AH133*AB134)),IF(Y134="Probabilidad",(Q133-(+Q133*AB134)),IF(Y134="Impacto",AH133,""))),"")</f>
        <v>0.216</v>
      </c>
      <c r="AG134" s="188" t="str">
        <f t="shared" si="337"/>
        <v>Baja</v>
      </c>
      <c r="AH134" s="186">
        <f t="shared" si="338"/>
        <v>0.216</v>
      </c>
      <c r="AI134" s="188" t="str">
        <f t="shared" ca="1" si="339"/>
        <v>Leve</v>
      </c>
      <c r="AJ134" s="186">
        <f t="shared" ref="AJ134" ca="1" si="389">IFERROR(IF(AND(Y133="Impacto",Y134="Impacto"),(AJ133-(+AJ133*AB134)),IF(Y134="Impacto",(U133-(+U133*AB134)),IF(Y134="Probabilidad",AJ133,""))),"")</f>
        <v>0.2</v>
      </c>
      <c r="AK134" s="189" t="str">
        <f t="shared" ca="1" si="340"/>
        <v>Bajo</v>
      </c>
      <c r="AL134" s="185" t="s">
        <v>255</v>
      </c>
      <c r="AM134" s="246"/>
      <c r="AN134" s="250"/>
      <c r="AO134" s="245"/>
      <c r="AP134" s="245"/>
      <c r="AQ134" s="246"/>
      <c r="AR134" s="247"/>
    </row>
    <row r="135" spans="1:44" s="191" customFormat="1" ht="270" customHeight="1" thickTop="1" thickBot="1" x14ac:dyDescent="0.3">
      <c r="A135" s="244">
        <v>56</v>
      </c>
      <c r="B135" s="248" t="s">
        <v>706</v>
      </c>
      <c r="C135" s="246" t="s">
        <v>275</v>
      </c>
      <c r="D135" s="246" t="s">
        <v>701</v>
      </c>
      <c r="E135" s="246" t="s">
        <v>240</v>
      </c>
      <c r="F135" s="254" t="s">
        <v>702</v>
      </c>
      <c r="G135" s="254" t="s">
        <v>707</v>
      </c>
      <c r="H135" s="255" t="s">
        <v>967</v>
      </c>
      <c r="I135" s="242" t="s">
        <v>474</v>
      </c>
      <c r="J135" s="242" t="s">
        <v>474</v>
      </c>
      <c r="K135" s="242" t="s">
        <v>474</v>
      </c>
      <c r="L135" s="242" t="s">
        <v>474</v>
      </c>
      <c r="M135" s="246" t="s">
        <v>239</v>
      </c>
      <c r="N135" s="246"/>
      <c r="O135" s="250">
        <v>365</v>
      </c>
      <c r="P135" s="251" t="str">
        <f>IF(O135&lt;=0,"",IF(O135&lt;=2,"Muy Baja",IF(O135&lt;=24,"Baja",IF(O135&lt;=500,"Media",IF(O135&lt;=5000,"Alta","Muy Alta")))))</f>
        <v>Media</v>
      </c>
      <c r="Q135" s="243">
        <f>IF(P135="","",IF(P135="Muy Baja",0.2,IF(P135="Baja",0.4,IF(P135="Media",0.6,IF(P135="Alta",0.8,IF(P135="Muy Alta",1,))))))</f>
        <v>0.6</v>
      </c>
      <c r="R135" s="243" t="s">
        <v>186</v>
      </c>
      <c r="S135" s="243" t="str">
        <f ca="1">IF(NOT(ISERROR(MATCH(R135,'Tabla Impacto'!$B$221:$B$223,0))),'Tabla Impacto'!$F$223&amp;"Por favor no seleccionar los criterios de impacto(Afectación Económica o presupuestal y Pérdida Reputacional)",R135)</f>
        <v xml:space="preserve">Entre 10 y 50 SMLMV </v>
      </c>
      <c r="T135" s="251" t="str">
        <f ca="1">+IF(OR(S135='[1]Tabla Impacto'!$C$11,S135='[1]Tabla Impacto'!$D$11),"Leve",IF(OR(S135='[1]Tabla Impacto'!$C$12,S135='[1]Tabla Impacto'!$D$12),"Menor",IF(OR(S135='[1]Tabla Impacto'!$C$13,S135='[1]Tabla Impacto'!$D$13),"Moderado",IF(OR(S135='[1]Tabla Impacto'!$C$14,S135='[1]Tabla Impacto'!$D$14),"Mayor",IF(OR(S135='[1]Tabla Impacto'!$C$15,S135='[1]Tabla Impacto'!$D$15),"Catastrófico","")))))</f>
        <v>Menor</v>
      </c>
      <c r="U135" s="243">
        <f t="shared" ref="U135" ca="1" si="390">IF(T135="","",IF(T135="Leve",0.2,IF(T135="Menor",0.4,IF(T135="Moderado",0.6,IF(T135="Mayor",0.8,IF(T135="Catastrófico",1,))))))</f>
        <v>0.4</v>
      </c>
      <c r="V135" s="252" t="str">
        <f t="shared" ref="V135" ca="1" si="391">IF(OR(AND(P135="Muy Baja",T135="Leve"),AND(P135="Muy Baja",T135="Menor"),AND(P135="Baja",T135="Leve")),"Bajo",IF(OR(AND(P135="Muy baja",T135="Moderado"),AND(P135="Baja",T135="Menor"),AND(P135="Baja",T135="Moderado"),AND(P135="Media",T135="Leve"),AND(P135="Media",T135="Menor"),AND(P135="Media",T135="Moderado"),AND(P135="Alta",T135="Leve"),AND(P135="Alta",T135="Menor")),"Moderado",IF(OR(AND(P135="Muy Baja",T135="Mayor"),AND(P135="Baja",T135="Mayor"),AND(P135="Media",T135="Mayor"),AND(P135="Alta",T135="Moderado"),AND(P135="Alta",T135="Mayor"),AND(P135="Muy Alta",T135="Leve"),AND(P135="Muy Alta",T135="Menor"),AND(P135="Muy Alta",T135="Moderado"),AND(P135="Muy Alta",T135="Mayor")),"Alto",IF(OR(AND(P135="Muy Baja",T135="Catastrófico"),AND(P135="Baja",T135="Catastrófico"),AND(P135="Media",T135="Catastrófico"),AND(P135="Alta",T135="Catastrófico"),AND(P135="Muy Alta",T135="Catastrófico")),"Extremo",""))))</f>
        <v>Moderado</v>
      </c>
      <c r="W135" s="252">
        <v>1</v>
      </c>
      <c r="X135" s="207" t="s">
        <v>708</v>
      </c>
      <c r="Y135" s="250" t="str">
        <f t="shared" si="336"/>
        <v>Probabilidad</v>
      </c>
      <c r="Z135" s="185" t="s">
        <v>208</v>
      </c>
      <c r="AA135" s="185" t="s">
        <v>216</v>
      </c>
      <c r="AB135" s="186" t="str">
        <f t="shared" si="320"/>
        <v>40%</v>
      </c>
      <c r="AC135" s="185" t="s">
        <v>219</v>
      </c>
      <c r="AD135" s="185" t="s">
        <v>224</v>
      </c>
      <c r="AE135" s="185" t="s">
        <v>228</v>
      </c>
      <c r="AF135" s="187">
        <f t="shared" ref="AF135" si="392">IFERROR(IF(Y135="Probabilidad",(Q135-(+Q135*AB135)),IF(Y135="Impacto",Q135,"")),"")</f>
        <v>0.36</v>
      </c>
      <c r="AG135" s="188" t="str">
        <f t="shared" si="337"/>
        <v>Baja</v>
      </c>
      <c r="AH135" s="186">
        <f t="shared" si="338"/>
        <v>0.36</v>
      </c>
      <c r="AI135" s="188" t="str">
        <f t="shared" ca="1" si="339"/>
        <v>Menor</v>
      </c>
      <c r="AJ135" s="186">
        <f t="shared" ref="AJ135" ca="1" si="393">IFERROR(IF(Y135="Impacto",(U135-(+U135*AB135)),IF(Y135="Probabilidad",U135,"")),"")</f>
        <v>0.4</v>
      </c>
      <c r="AK135" s="189" t="str">
        <f t="shared" ca="1" si="340"/>
        <v>Moderado</v>
      </c>
      <c r="AL135" s="185" t="s">
        <v>255</v>
      </c>
      <c r="AM135" s="246"/>
      <c r="AN135" s="250"/>
      <c r="AO135" s="245"/>
      <c r="AP135" s="245"/>
      <c r="AQ135" s="246"/>
      <c r="AR135" s="247"/>
    </row>
    <row r="136" spans="1:44" s="191" customFormat="1" ht="116.25" customHeight="1" thickTop="1" thickBot="1" x14ac:dyDescent="0.3">
      <c r="A136" s="310">
        <v>57</v>
      </c>
      <c r="B136" s="311" t="s">
        <v>709</v>
      </c>
      <c r="C136" s="315" t="s">
        <v>276</v>
      </c>
      <c r="D136" s="315" t="s">
        <v>946</v>
      </c>
      <c r="E136" s="315" t="s">
        <v>240</v>
      </c>
      <c r="F136" s="332" t="s">
        <v>710</v>
      </c>
      <c r="G136" s="332" t="s">
        <v>711</v>
      </c>
      <c r="H136" s="333" t="s">
        <v>1125</v>
      </c>
      <c r="I136" s="320" t="s">
        <v>474</v>
      </c>
      <c r="J136" s="320" t="s">
        <v>474</v>
      </c>
      <c r="K136" s="320" t="s">
        <v>474</v>
      </c>
      <c r="L136" s="320" t="s">
        <v>474</v>
      </c>
      <c r="M136" s="315" t="s">
        <v>242</v>
      </c>
      <c r="N136" s="315"/>
      <c r="O136" s="321">
        <v>1095</v>
      </c>
      <c r="P136" s="322" t="str">
        <f>IF(O136&lt;=0,"",IF(O136&lt;=2,"Muy Baja",IF(O136&lt;=24,"Baja",IF(O136&lt;=500,"Media",IF(O136&lt;=5000,"Alta","Muy Alta")))))</f>
        <v>Alta</v>
      </c>
      <c r="Q136" s="323">
        <f>IF(P136="","",IF(P136="Muy Baja",0.2,IF(P136="Baja",0.4,IF(P136="Media",0.6,IF(P136="Alta",0.8,IF(P136="Muy Alta",1,))))))</f>
        <v>0.8</v>
      </c>
      <c r="R136" s="323" t="s">
        <v>186</v>
      </c>
      <c r="S136" s="323" t="str">
        <f ca="1">IF(NOT(ISERROR(MATCH(R136,'Tabla Impacto'!$B$221:$B$223,0))),'Tabla Impacto'!$F$223&amp;"Por favor no seleccionar los criterios de impacto(Afectación Económica o presupuestal y Pérdida Reputacional)",R136)</f>
        <v xml:space="preserve">Entre 10 y 50 SMLMV </v>
      </c>
      <c r="T136" s="322" t="str">
        <f ca="1">+IF(OR(S136='[1]Tabla Impacto'!$C$11,S136='[1]Tabla Impacto'!$D$11),"Leve",IF(OR(S136='[1]Tabla Impacto'!$C$12,S136='[1]Tabla Impacto'!$D$12),"Menor",IF(OR(S136='[1]Tabla Impacto'!$C$13,S136='[1]Tabla Impacto'!$D$13),"Moderado",IF(OR(S136='[1]Tabla Impacto'!$C$14,S136='[1]Tabla Impacto'!$D$14),"Mayor",IF(OR(S136='[1]Tabla Impacto'!$C$15,S136='[1]Tabla Impacto'!$D$15),"Catastrófico","")))))</f>
        <v>Menor</v>
      </c>
      <c r="U136" s="323">
        <f t="shared" ref="U136" ca="1" si="394">IF(T136="","",IF(T136="Leve",0.2,IF(T136="Menor",0.4,IF(T136="Moderado",0.6,IF(T136="Mayor",0.8,IF(T136="Catastrófico",1,))))))</f>
        <v>0.4</v>
      </c>
      <c r="V136" s="309" t="str">
        <f t="shared" ref="V136" ca="1" si="395">IF(OR(AND(P136="Muy Baja",T136="Leve"),AND(P136="Muy Baja",T136="Menor"),AND(P136="Baja",T136="Leve")),"Bajo",IF(OR(AND(P136="Muy baja",T136="Moderado"),AND(P136="Baja",T136="Menor"),AND(P136="Baja",T136="Moderado"),AND(P136="Media",T136="Leve"),AND(P136="Media",T136="Menor"),AND(P136="Media",T136="Moderado"),AND(P136="Alta",T136="Leve"),AND(P136="Alta",T136="Menor")),"Moderado",IF(OR(AND(P136="Muy Baja",T136="Mayor"),AND(P136="Baja",T136="Mayor"),AND(P136="Media",T136="Mayor"),AND(P136="Alta",T136="Moderado"),AND(P136="Alta",T136="Mayor"),AND(P136="Muy Alta",T136="Leve"),AND(P136="Muy Alta",T136="Menor"),AND(P136="Muy Alta",T136="Moderado"),AND(P136="Muy Alta",T136="Mayor")),"Alto",IF(OR(AND(P136="Muy Baja",T136="Catastrófico"),AND(P136="Baja",T136="Catastrófico"),AND(P136="Media",T136="Catastrófico"),AND(P136="Alta",T136="Catastrófico"),AND(P136="Muy Alta",T136="Catastrófico")),"Extremo",""))))</f>
        <v>Moderado</v>
      </c>
      <c r="W136" s="252">
        <v>1</v>
      </c>
      <c r="X136" s="207" t="s">
        <v>712</v>
      </c>
      <c r="Y136" s="250" t="str">
        <f t="shared" si="336"/>
        <v>Probabilidad</v>
      </c>
      <c r="Z136" s="185" t="s">
        <v>208</v>
      </c>
      <c r="AA136" s="185" t="s">
        <v>216</v>
      </c>
      <c r="AB136" s="186" t="str">
        <f t="shared" ref="AB136:AB157" si="396">IF(AND(Z136="Preventivo",AA136="Automático"),"50%",IF(AND(Z136="Preventivo",AA136="Manual"),"40%",IF(AND(Z136="Detectivo",AA136="Automático"),"40%",IF(AND(Z136="Detectivo",AA136="Manual"),"30%",IF(AND(Z136="Correctivo",AA136="Automático"),"35%",IF(AND(Z136="Correctivo",AA136="Manual"),"25%",""))))))</f>
        <v>40%</v>
      </c>
      <c r="AC136" s="185" t="s">
        <v>219</v>
      </c>
      <c r="AD136" s="185" t="s">
        <v>224</v>
      </c>
      <c r="AE136" s="185" t="s">
        <v>228</v>
      </c>
      <c r="AF136" s="187">
        <f t="shared" ref="AF136" si="397">IFERROR(IF(Y136="Probabilidad",(Q136-(+Q136*AB136)),IF(Y136="Impacto",Q136,"")),"")</f>
        <v>0.48</v>
      </c>
      <c r="AG136" s="188" t="str">
        <f t="shared" si="337"/>
        <v>Media</v>
      </c>
      <c r="AH136" s="186">
        <f t="shared" si="338"/>
        <v>0.48</v>
      </c>
      <c r="AI136" s="188" t="str">
        <f t="shared" ca="1" si="339"/>
        <v>Menor</v>
      </c>
      <c r="AJ136" s="186">
        <f t="shared" ref="AJ136" ca="1" si="398">IFERROR(IF(Y136="Impacto",(U136-(+U136*AB136)),IF(Y136="Probabilidad",U136,"")),"")</f>
        <v>0.4</v>
      </c>
      <c r="AK136" s="189" t="str">
        <f t="shared" ca="1" si="340"/>
        <v>Moderado</v>
      </c>
      <c r="AL136" s="185" t="s">
        <v>255</v>
      </c>
      <c r="AM136" s="246"/>
      <c r="AN136" s="250"/>
      <c r="AO136" s="245"/>
      <c r="AP136" s="245"/>
      <c r="AQ136" s="246"/>
      <c r="AR136" s="247"/>
    </row>
    <row r="137" spans="1:44" s="191" customFormat="1" ht="110.25" thickTop="1" thickBot="1" x14ac:dyDescent="0.3">
      <c r="A137" s="310"/>
      <c r="B137" s="311"/>
      <c r="C137" s="315"/>
      <c r="D137" s="315"/>
      <c r="E137" s="315"/>
      <c r="F137" s="332"/>
      <c r="G137" s="332"/>
      <c r="H137" s="333"/>
      <c r="I137" s="320"/>
      <c r="J137" s="320"/>
      <c r="K137" s="320"/>
      <c r="L137" s="320"/>
      <c r="M137" s="315"/>
      <c r="N137" s="315"/>
      <c r="O137" s="321"/>
      <c r="P137" s="322"/>
      <c r="Q137" s="323"/>
      <c r="R137" s="323"/>
      <c r="S137" s="323">
        <f ca="1">IF(NOT(ISERROR(MATCH(R137,_xlfn.ANCHORARRAY(H140),0))),#REF!&amp;"Por favor no seleccionar los criterios de impacto",R137)</f>
        <v>0</v>
      </c>
      <c r="T137" s="322"/>
      <c r="U137" s="323"/>
      <c r="V137" s="309"/>
      <c r="W137" s="252">
        <v>2</v>
      </c>
      <c r="X137" s="207" t="s">
        <v>713</v>
      </c>
      <c r="Y137" s="250" t="str">
        <f t="shared" si="336"/>
        <v>Probabilidad</v>
      </c>
      <c r="Z137" s="185" t="s">
        <v>208</v>
      </c>
      <c r="AA137" s="185" t="s">
        <v>216</v>
      </c>
      <c r="AB137" s="186" t="str">
        <f t="shared" si="396"/>
        <v>40%</v>
      </c>
      <c r="AC137" s="185" t="s">
        <v>219</v>
      </c>
      <c r="AD137" s="185" t="s">
        <v>224</v>
      </c>
      <c r="AE137" s="185" t="s">
        <v>228</v>
      </c>
      <c r="AF137" s="187">
        <f t="shared" ref="AF137" si="399">IFERROR(IF(AND(Y136="Probabilidad",Y137="Probabilidad"),(AH136-(+AH136*AB137)),IF(Y137="Probabilidad",(Q136-(+Q136*AB137)),IF(Y137="Impacto",AH136,""))),"")</f>
        <v>0.28799999999999998</v>
      </c>
      <c r="AG137" s="188" t="str">
        <f t="shared" si="337"/>
        <v>Baja</v>
      </c>
      <c r="AH137" s="186">
        <f t="shared" si="338"/>
        <v>0.28799999999999998</v>
      </c>
      <c r="AI137" s="188" t="str">
        <f t="shared" ca="1" si="339"/>
        <v>Menor</v>
      </c>
      <c r="AJ137" s="186">
        <f t="shared" ref="AJ137" ca="1" si="400">IFERROR(IF(AND(Y136="Impacto",Y137="Impacto"),(AJ136-(+AJ136*AB137)),IF(Y137="Impacto",(U136-(+U136*AB137)),IF(Y137="Probabilidad",AJ136,""))),"")</f>
        <v>0.4</v>
      </c>
      <c r="AK137" s="189" t="str">
        <f t="shared" ca="1" si="340"/>
        <v>Moderado</v>
      </c>
      <c r="AL137" s="185" t="s">
        <v>255</v>
      </c>
      <c r="AM137" s="246"/>
      <c r="AN137" s="250"/>
      <c r="AO137" s="245"/>
      <c r="AP137" s="245"/>
      <c r="AQ137" s="246"/>
      <c r="AR137" s="247"/>
    </row>
    <row r="138" spans="1:44" s="191" customFormat="1" ht="129" customHeight="1" thickTop="1" thickBot="1" x14ac:dyDescent="0.3">
      <c r="A138" s="310">
        <v>58</v>
      </c>
      <c r="B138" s="317" t="s">
        <v>714</v>
      </c>
      <c r="C138" s="315" t="s">
        <v>276</v>
      </c>
      <c r="D138" s="315" t="s">
        <v>947</v>
      </c>
      <c r="E138" s="315" t="s">
        <v>240</v>
      </c>
      <c r="F138" s="332" t="s">
        <v>715</v>
      </c>
      <c r="G138" s="332" t="s">
        <v>716</v>
      </c>
      <c r="H138" s="333" t="s">
        <v>1126</v>
      </c>
      <c r="I138" s="320" t="s">
        <v>474</v>
      </c>
      <c r="J138" s="320" t="s">
        <v>474</v>
      </c>
      <c r="K138" s="320" t="s">
        <v>474</v>
      </c>
      <c r="L138" s="320" t="s">
        <v>474</v>
      </c>
      <c r="M138" s="315" t="s">
        <v>239</v>
      </c>
      <c r="N138" s="315"/>
      <c r="O138" s="321">
        <v>365</v>
      </c>
      <c r="P138" s="322" t="str">
        <f>IF(O138&lt;=0,"",IF(O138&lt;=2,"Muy Baja",IF(O138&lt;=24,"Baja",IF(O138&lt;=500,"Media",IF(O138&lt;=5000,"Alta","Muy Alta")))))</f>
        <v>Media</v>
      </c>
      <c r="Q138" s="323">
        <f>IF(P138="","",IF(P138="Muy Baja",0.2,IF(P138="Baja",0.4,IF(P138="Media",0.6,IF(P138="Alta",0.8,IF(P138="Muy Alta",1,))))))</f>
        <v>0.6</v>
      </c>
      <c r="R138" s="323" t="s">
        <v>186</v>
      </c>
      <c r="S138" s="323" t="str">
        <f ca="1">IF(NOT(ISERROR(MATCH(R138,'Tabla Impacto'!$B$221:$B$223,0))),'Tabla Impacto'!$F$223&amp;"Por favor no seleccionar los criterios de impacto(Afectación Económica o presupuestal y Pérdida Reputacional)",R138)</f>
        <v xml:space="preserve">Entre 10 y 50 SMLMV </v>
      </c>
      <c r="T138" s="322" t="str">
        <f ca="1">+IF(OR(S138='[1]Tabla Impacto'!$C$11,S138='[1]Tabla Impacto'!$D$11),"Leve",IF(OR(S138='[1]Tabla Impacto'!$C$12,S138='[1]Tabla Impacto'!$D$12),"Menor",IF(OR(S138='[1]Tabla Impacto'!$C$13,S138='[1]Tabla Impacto'!$D$13),"Moderado",IF(OR(S138='[1]Tabla Impacto'!$C$14,S138='[1]Tabla Impacto'!$D$14),"Mayor",IF(OR(S138='[1]Tabla Impacto'!$C$15,S138='[1]Tabla Impacto'!$D$15),"Catastrófico","")))))</f>
        <v>Menor</v>
      </c>
      <c r="U138" s="323">
        <f t="shared" ref="U138" ca="1" si="401">IF(T138="","",IF(T138="Leve",0.2,IF(T138="Menor",0.4,IF(T138="Moderado",0.6,IF(T138="Mayor",0.8,IF(T138="Catastrófico",1,))))))</f>
        <v>0.4</v>
      </c>
      <c r="V138" s="309" t="str">
        <f t="shared" ref="V138" ca="1" si="402">IF(OR(AND(P138="Muy Baja",T138="Leve"),AND(P138="Muy Baja",T138="Menor"),AND(P138="Baja",T138="Leve")),"Bajo",IF(OR(AND(P138="Muy baja",T138="Moderado"),AND(P138="Baja",T138="Menor"),AND(P138="Baja",T138="Moderado"),AND(P138="Media",T138="Leve"),AND(P138="Media",T138="Menor"),AND(P138="Media",T138="Moderado"),AND(P138="Alta",T138="Leve"),AND(P138="Alta",T138="Menor")),"Moderado",IF(OR(AND(P138="Muy Baja",T138="Mayor"),AND(P138="Baja",T138="Mayor"),AND(P138="Media",T138="Mayor"),AND(P138="Alta",T138="Moderado"),AND(P138="Alta",T138="Mayor"),AND(P138="Muy Alta",T138="Leve"),AND(P138="Muy Alta",T138="Menor"),AND(P138="Muy Alta",T138="Moderado"),AND(P138="Muy Alta",T138="Mayor")),"Alto",IF(OR(AND(P138="Muy Baja",T138="Catastrófico"),AND(P138="Baja",T138="Catastrófico"),AND(P138="Media",T138="Catastrófico"),AND(P138="Alta",T138="Catastrófico"),AND(P138="Muy Alta",T138="Catastrófico")),"Extremo",""))))</f>
        <v>Moderado</v>
      </c>
      <c r="W138" s="252">
        <v>1</v>
      </c>
      <c r="X138" s="207" t="s">
        <v>1222</v>
      </c>
      <c r="Y138" s="250" t="str">
        <f t="shared" si="336"/>
        <v>Probabilidad</v>
      </c>
      <c r="Z138" s="185" t="s">
        <v>208</v>
      </c>
      <c r="AA138" s="185" t="s">
        <v>216</v>
      </c>
      <c r="AB138" s="186" t="str">
        <f t="shared" si="396"/>
        <v>40%</v>
      </c>
      <c r="AC138" s="185" t="s">
        <v>219</v>
      </c>
      <c r="AD138" s="185" t="s">
        <v>224</v>
      </c>
      <c r="AE138" s="185" t="s">
        <v>228</v>
      </c>
      <c r="AF138" s="187">
        <f t="shared" ref="AF138" si="403">IFERROR(IF(Y138="Probabilidad",(Q138-(+Q138*AB138)),IF(Y138="Impacto",Q138,"")),"")</f>
        <v>0.36</v>
      </c>
      <c r="AG138" s="188" t="str">
        <f t="shared" si="337"/>
        <v>Baja</v>
      </c>
      <c r="AH138" s="186">
        <f t="shared" si="338"/>
        <v>0.36</v>
      </c>
      <c r="AI138" s="188" t="str">
        <f t="shared" ca="1" si="339"/>
        <v>Menor</v>
      </c>
      <c r="AJ138" s="186">
        <f t="shared" ref="AJ138" ca="1" si="404">IFERROR(IF(Y138="Impacto",(U138-(+U138*AB138)),IF(Y138="Probabilidad",U138,"")),"")</f>
        <v>0.4</v>
      </c>
      <c r="AK138" s="189" t="str">
        <f t="shared" ca="1" si="340"/>
        <v>Moderado</v>
      </c>
      <c r="AL138" s="185" t="s">
        <v>255</v>
      </c>
      <c r="AM138" s="246"/>
      <c r="AN138" s="250"/>
      <c r="AO138" s="245"/>
      <c r="AP138" s="245"/>
      <c r="AQ138" s="246"/>
      <c r="AR138" s="247"/>
    </row>
    <row r="139" spans="1:44" s="191" customFormat="1" ht="129" customHeight="1" thickTop="1" thickBot="1" x14ac:dyDescent="0.3">
      <c r="A139" s="310"/>
      <c r="B139" s="317"/>
      <c r="C139" s="315"/>
      <c r="D139" s="315"/>
      <c r="E139" s="315"/>
      <c r="F139" s="332"/>
      <c r="G139" s="332"/>
      <c r="H139" s="333"/>
      <c r="I139" s="320"/>
      <c r="J139" s="320"/>
      <c r="K139" s="320"/>
      <c r="L139" s="320"/>
      <c r="M139" s="315"/>
      <c r="N139" s="315"/>
      <c r="O139" s="321"/>
      <c r="P139" s="322"/>
      <c r="Q139" s="323"/>
      <c r="R139" s="323"/>
      <c r="S139" s="323">
        <f ca="1">IF(NOT(ISERROR(MATCH(R139,_xlfn.ANCHORARRAY(H141),0))),#REF!&amp;"Por favor no seleccionar los criterios de impacto",R139)</f>
        <v>0</v>
      </c>
      <c r="T139" s="322"/>
      <c r="U139" s="323"/>
      <c r="V139" s="309"/>
      <c r="W139" s="252">
        <v>2</v>
      </c>
      <c r="X139" s="207" t="s">
        <v>1223</v>
      </c>
      <c r="Y139" s="250" t="str">
        <f t="shared" si="336"/>
        <v>Probabilidad</v>
      </c>
      <c r="Z139" s="185" t="s">
        <v>210</v>
      </c>
      <c r="AA139" s="185" t="s">
        <v>216</v>
      </c>
      <c r="AB139" s="186" t="str">
        <f t="shared" si="396"/>
        <v>30%</v>
      </c>
      <c r="AC139" s="185" t="s">
        <v>219</v>
      </c>
      <c r="AD139" s="185" t="s">
        <v>224</v>
      </c>
      <c r="AE139" s="185" t="s">
        <v>228</v>
      </c>
      <c r="AF139" s="187">
        <f t="shared" ref="AF139" si="405">IFERROR(IF(AND(Y138="Probabilidad",Y139="Probabilidad"),(AH138-(+AH138*AB139)),IF(Y139="Probabilidad",(Q138-(+Q138*AB139)),IF(Y139="Impacto",AH138,""))),"")</f>
        <v>0.252</v>
      </c>
      <c r="AG139" s="188" t="str">
        <f t="shared" si="337"/>
        <v>Baja</v>
      </c>
      <c r="AH139" s="186">
        <f t="shared" si="338"/>
        <v>0.252</v>
      </c>
      <c r="AI139" s="188" t="str">
        <f t="shared" ca="1" si="339"/>
        <v>Menor</v>
      </c>
      <c r="AJ139" s="186">
        <f t="shared" ref="AJ139" ca="1" si="406">IFERROR(IF(AND(Y138="Impacto",Y139="Impacto"),(AJ138-(+AJ138*AB139)),IF(Y139="Impacto",(U138-(+U138*AB139)),IF(Y139="Probabilidad",AJ138,""))),"")</f>
        <v>0.4</v>
      </c>
      <c r="AK139" s="189" t="str">
        <f t="shared" ca="1" si="340"/>
        <v>Moderado</v>
      </c>
      <c r="AL139" s="185" t="s">
        <v>255</v>
      </c>
      <c r="AM139" s="246"/>
      <c r="AN139" s="250"/>
      <c r="AO139" s="245"/>
      <c r="AP139" s="245"/>
      <c r="AQ139" s="246"/>
      <c r="AR139" s="247"/>
    </row>
    <row r="140" spans="1:44" s="191" customFormat="1" ht="242.25" customHeight="1" thickTop="1" thickBot="1" x14ac:dyDescent="0.3">
      <c r="A140" s="244">
        <v>59</v>
      </c>
      <c r="B140" s="262" t="s">
        <v>717</v>
      </c>
      <c r="C140" s="246" t="s">
        <v>276</v>
      </c>
      <c r="D140" s="246" t="s">
        <v>947</v>
      </c>
      <c r="E140" s="246" t="s">
        <v>240</v>
      </c>
      <c r="F140" s="254" t="s">
        <v>715</v>
      </c>
      <c r="G140" s="254" t="s">
        <v>718</v>
      </c>
      <c r="H140" s="255" t="s">
        <v>1127</v>
      </c>
      <c r="I140" s="242" t="s">
        <v>474</v>
      </c>
      <c r="J140" s="242" t="s">
        <v>474</v>
      </c>
      <c r="K140" s="242" t="s">
        <v>474</v>
      </c>
      <c r="L140" s="242" t="s">
        <v>474</v>
      </c>
      <c r="M140" s="246" t="s">
        <v>239</v>
      </c>
      <c r="N140" s="246"/>
      <c r="O140" s="250">
        <v>365</v>
      </c>
      <c r="P140" s="251" t="str">
        <f>IF(O140&lt;=0,"",IF(O140&lt;=2,"Muy Baja",IF(O140&lt;=24,"Baja",IF(O140&lt;=500,"Media",IF(O140&lt;=5000,"Alta","Muy Alta")))))</f>
        <v>Media</v>
      </c>
      <c r="Q140" s="243">
        <f>IF(P140="","",IF(P140="Muy Baja",0.2,IF(P140="Baja",0.4,IF(P140="Media",0.6,IF(P140="Alta",0.8,IF(P140="Muy Alta",1,))))))</f>
        <v>0.6</v>
      </c>
      <c r="R140" s="243" t="s">
        <v>193</v>
      </c>
      <c r="S140" s="243" t="str">
        <f ca="1">IF(NOT(ISERROR(MATCH(R140,'Tabla Impacto'!$B$221:$B$223,0))),'Tabla Impacto'!$F$223&amp;"Por favor no seleccionar los criterios de impacto(Afectación Económica o presupuestal y Pérdida Reputacional)",R140)</f>
        <v>El riesgo afecta la imagen de de la entidad con efecto publicitario sostenido a nivel de sector administrativo, nivel departamental o municipal</v>
      </c>
      <c r="T140" s="251" t="str">
        <f ca="1">+IF(OR(S140='[1]Tabla Impacto'!$C$11,S140='[1]Tabla Impacto'!$D$11),"Leve",IF(OR(S140='[1]Tabla Impacto'!$C$12,S140='[1]Tabla Impacto'!$D$12),"Menor",IF(OR(S140='[1]Tabla Impacto'!$C$13,S140='[1]Tabla Impacto'!$D$13),"Moderado",IF(OR(S140='[1]Tabla Impacto'!$C$14,S140='[1]Tabla Impacto'!$D$14),"Mayor",IF(OR(S140='[1]Tabla Impacto'!$C$15,S140='[1]Tabla Impacto'!$D$15),"Catastrófico","")))))</f>
        <v>Mayor</v>
      </c>
      <c r="U140" s="243">
        <f t="shared" ref="U140" ca="1" si="407">IF(T140="","",IF(T140="Leve",0.2,IF(T140="Menor",0.4,IF(T140="Moderado",0.6,IF(T140="Mayor",0.8,IF(T140="Catastrófico",1,))))))</f>
        <v>0.8</v>
      </c>
      <c r="V140" s="252" t="str">
        <f t="shared" ref="V140" ca="1" si="408">IF(OR(AND(P140="Muy Baja",T140="Leve"),AND(P140="Muy Baja",T140="Menor"),AND(P140="Baja",T140="Leve")),"Bajo",IF(OR(AND(P140="Muy baja",T140="Moderado"),AND(P140="Baja",T140="Menor"),AND(P140="Baja",T140="Moderado"),AND(P140="Media",T140="Leve"),AND(P140="Media",T140="Menor"),AND(P140="Media",T140="Moderado"),AND(P140="Alta",T140="Leve"),AND(P140="Alta",T140="Menor")),"Moderado",IF(OR(AND(P140="Muy Baja",T140="Mayor"),AND(P140="Baja",T140="Mayor"),AND(P140="Media",T140="Mayor"),AND(P140="Alta",T140="Moderado"),AND(P140="Alta",T140="Mayor"),AND(P140="Muy Alta",T140="Leve"),AND(P140="Muy Alta",T140="Menor"),AND(P140="Muy Alta",T140="Moderado"),AND(P140="Muy Alta",T140="Mayor")),"Alto",IF(OR(AND(P140="Muy Baja",T140="Catastrófico"),AND(P140="Baja",T140="Catastrófico"),AND(P140="Media",T140="Catastrófico"),AND(P140="Alta",T140="Catastrófico"),AND(P140="Muy Alta",T140="Catastrófico")),"Extremo",""))))</f>
        <v>Alto</v>
      </c>
      <c r="W140" s="252">
        <v>1</v>
      </c>
      <c r="X140" s="207" t="s">
        <v>719</v>
      </c>
      <c r="Y140" s="250" t="str">
        <f t="shared" si="336"/>
        <v>Probabilidad</v>
      </c>
      <c r="Z140" s="185" t="s">
        <v>208</v>
      </c>
      <c r="AA140" s="185" t="s">
        <v>216</v>
      </c>
      <c r="AB140" s="186" t="str">
        <f t="shared" si="396"/>
        <v>40%</v>
      </c>
      <c r="AC140" s="185" t="s">
        <v>219</v>
      </c>
      <c r="AD140" s="185" t="s">
        <v>224</v>
      </c>
      <c r="AE140" s="185" t="s">
        <v>228</v>
      </c>
      <c r="AF140" s="187">
        <f t="shared" ref="AF140" si="409">IFERROR(IF(Y140="Probabilidad",(Q140-(+Q140*AB140)),IF(Y140="Impacto",Q140,"")),"")</f>
        <v>0.36</v>
      </c>
      <c r="AG140" s="188" t="str">
        <f t="shared" si="337"/>
        <v>Baja</v>
      </c>
      <c r="AH140" s="186">
        <f t="shared" si="338"/>
        <v>0.36</v>
      </c>
      <c r="AI140" s="188" t="str">
        <f t="shared" ca="1" si="339"/>
        <v>Mayor</v>
      </c>
      <c r="AJ140" s="186">
        <f t="shared" ref="AJ140" ca="1" si="410">IFERROR(IF(Y140="Impacto",(U140-(+U140*AB140)),IF(Y140="Probabilidad",U140,"")),"")</f>
        <v>0.8</v>
      </c>
      <c r="AK140" s="189" t="str">
        <f t="shared" ca="1" si="340"/>
        <v>Alto</v>
      </c>
      <c r="AL140" s="185" t="s">
        <v>262</v>
      </c>
      <c r="AM140" s="246" t="s">
        <v>720</v>
      </c>
      <c r="AN140" s="246" t="s">
        <v>721</v>
      </c>
      <c r="AO140" s="264">
        <v>45658</v>
      </c>
      <c r="AP140" s="245" t="s">
        <v>527</v>
      </c>
      <c r="AQ140" s="246" t="s">
        <v>722</v>
      </c>
      <c r="AR140" s="247" t="s">
        <v>259</v>
      </c>
    </row>
    <row r="141" spans="1:44" s="191" customFormat="1" ht="120" customHeight="1" thickTop="1" thickBot="1" x14ac:dyDescent="0.3">
      <c r="A141" s="310">
        <v>60</v>
      </c>
      <c r="B141" s="311" t="s">
        <v>723</v>
      </c>
      <c r="C141" s="317" t="s">
        <v>276</v>
      </c>
      <c r="D141" s="317" t="s">
        <v>947</v>
      </c>
      <c r="E141" s="317" t="s">
        <v>240</v>
      </c>
      <c r="F141" s="318" t="s">
        <v>724</v>
      </c>
      <c r="G141" s="318" t="s">
        <v>725</v>
      </c>
      <c r="H141" s="319" t="s">
        <v>1128</v>
      </c>
      <c r="I141" s="320" t="s">
        <v>474</v>
      </c>
      <c r="J141" s="320" t="s">
        <v>474</v>
      </c>
      <c r="K141" s="320" t="s">
        <v>474</v>
      </c>
      <c r="L141" s="320" t="s">
        <v>474</v>
      </c>
      <c r="M141" s="315" t="s">
        <v>239</v>
      </c>
      <c r="N141" s="315"/>
      <c r="O141" s="321">
        <v>365</v>
      </c>
      <c r="P141" s="322" t="str">
        <f>IF(O141&lt;=0,"",IF(O141&lt;=2,"Muy Baja",IF(O141&lt;=24,"Baja",IF(O141&lt;=500,"Media",IF(O141&lt;=5000,"Alta","Muy Alta")))))</f>
        <v>Media</v>
      </c>
      <c r="Q141" s="323">
        <f>IF(P141="","",IF(P141="Muy Baja",0.2,IF(P141="Baja",0.4,IF(P141="Media",0.6,IF(P141="Alta",0.8,IF(P141="Muy Alta",1,))))))</f>
        <v>0.6</v>
      </c>
      <c r="R141" s="323" t="s">
        <v>195</v>
      </c>
      <c r="S141" s="323" t="str">
        <f ca="1">IF(NOT(ISERROR(MATCH(R141,'Tabla Impacto'!$B$221:$B$223,0))),'Tabla Impacto'!$F$223&amp;"Por favor no seleccionar los criterios de impacto(Afectación Económica o presupuestal y Pérdida Reputacional)",R141)</f>
        <v xml:space="preserve">Mayor a 500 SMLMV </v>
      </c>
      <c r="T141" s="322" t="str">
        <f ca="1">+IF(OR(S141='[1]Tabla Impacto'!$C$11,S141='[1]Tabla Impacto'!$D$11),"Leve",IF(OR(S141='[1]Tabla Impacto'!$C$12,S141='[1]Tabla Impacto'!$D$12),"Menor",IF(OR(S141='[1]Tabla Impacto'!$C$13,S141='[1]Tabla Impacto'!$D$13),"Moderado",IF(OR(S141='[1]Tabla Impacto'!$C$14,S141='[1]Tabla Impacto'!$D$14),"Mayor",IF(OR(S141='[1]Tabla Impacto'!$C$15,S141='[1]Tabla Impacto'!$D$15),"Catastrófico","")))))</f>
        <v>Catastrófico</v>
      </c>
      <c r="U141" s="323">
        <f t="shared" ref="U141" ca="1" si="411">IF(T141="","",IF(T141="Leve",0.2,IF(T141="Menor",0.4,IF(T141="Moderado",0.6,IF(T141="Mayor",0.8,IF(T141="Catastrófico",1,))))))</f>
        <v>1</v>
      </c>
      <c r="V141" s="309" t="str">
        <f t="shared" ref="V141" ca="1" si="412">IF(OR(AND(P141="Muy Baja",T141="Leve"),AND(P141="Muy Baja",T141="Menor"),AND(P141="Baja",T141="Leve")),"Bajo",IF(OR(AND(P141="Muy baja",T141="Moderado"),AND(P141="Baja",T141="Menor"),AND(P141="Baja",T141="Moderado"),AND(P141="Media",T141="Leve"),AND(P141="Media",T141="Menor"),AND(P141="Media",T141="Moderado"),AND(P141="Alta",T141="Leve"),AND(P141="Alta",T141="Menor")),"Moderado",IF(OR(AND(P141="Muy Baja",T141="Mayor"),AND(P141="Baja",T141="Mayor"),AND(P141="Media",T141="Mayor"),AND(P141="Alta",T141="Moderado"),AND(P141="Alta",T141="Mayor"),AND(P141="Muy Alta",T141="Leve"),AND(P141="Muy Alta",T141="Menor"),AND(P141="Muy Alta",T141="Moderado"),AND(P141="Muy Alta",T141="Mayor")),"Alto",IF(OR(AND(P141="Muy Baja",T141="Catastrófico"),AND(P141="Baja",T141="Catastrófico"),AND(P141="Media",T141="Catastrófico"),AND(P141="Alta",T141="Catastrófico"),AND(P141="Muy Alta",T141="Catastrófico")),"Extremo",""))))</f>
        <v>Extremo</v>
      </c>
      <c r="W141" s="252">
        <v>1</v>
      </c>
      <c r="X141" s="207" t="s">
        <v>1185</v>
      </c>
      <c r="Y141" s="250" t="str">
        <f t="shared" si="336"/>
        <v>Probabilidad</v>
      </c>
      <c r="Z141" s="185" t="s">
        <v>208</v>
      </c>
      <c r="AA141" s="185" t="s">
        <v>216</v>
      </c>
      <c r="AB141" s="186" t="str">
        <f t="shared" si="396"/>
        <v>40%</v>
      </c>
      <c r="AC141" s="185" t="s">
        <v>219</v>
      </c>
      <c r="AD141" s="185" t="s">
        <v>224</v>
      </c>
      <c r="AE141" s="185" t="s">
        <v>228</v>
      </c>
      <c r="AF141" s="187">
        <f t="shared" ref="AF141" si="413">IFERROR(IF(Y141="Probabilidad",(Q141-(+Q141*AB141)),IF(Y141="Impacto",Q141,"")),"")</f>
        <v>0.36</v>
      </c>
      <c r="AG141" s="188" t="str">
        <f t="shared" si="337"/>
        <v>Baja</v>
      </c>
      <c r="AH141" s="186">
        <f t="shared" si="338"/>
        <v>0.36</v>
      </c>
      <c r="AI141" s="188" t="str">
        <f t="shared" ca="1" si="339"/>
        <v>Catastrófico</v>
      </c>
      <c r="AJ141" s="186">
        <f t="shared" ref="AJ141" ca="1" si="414">IFERROR(IF(Y141="Impacto",(U141-(+U141*AB141)),IF(Y141="Probabilidad",U141,"")),"")</f>
        <v>1</v>
      </c>
      <c r="AK141" s="189" t="str">
        <f t="shared" ca="1" si="340"/>
        <v>Extremo</v>
      </c>
      <c r="AL141" s="185" t="s">
        <v>262</v>
      </c>
      <c r="AM141" s="315" t="s">
        <v>726</v>
      </c>
      <c r="AN141" s="315" t="s">
        <v>721</v>
      </c>
      <c r="AO141" s="343" t="s">
        <v>1065</v>
      </c>
      <c r="AP141" s="344" t="s">
        <v>727</v>
      </c>
      <c r="AQ141" s="315" t="s">
        <v>728</v>
      </c>
      <c r="AR141" s="336" t="s">
        <v>259</v>
      </c>
    </row>
    <row r="142" spans="1:44" s="191" customFormat="1" ht="118.5" customHeight="1" thickTop="1" thickBot="1" x14ac:dyDescent="0.3">
      <c r="A142" s="310"/>
      <c r="B142" s="311"/>
      <c r="C142" s="317"/>
      <c r="D142" s="317"/>
      <c r="E142" s="317"/>
      <c r="F142" s="318"/>
      <c r="G142" s="318"/>
      <c r="H142" s="319"/>
      <c r="I142" s="320"/>
      <c r="J142" s="320"/>
      <c r="K142" s="320"/>
      <c r="L142" s="320"/>
      <c r="M142" s="315"/>
      <c r="N142" s="315"/>
      <c r="O142" s="321"/>
      <c r="P142" s="322"/>
      <c r="Q142" s="323"/>
      <c r="R142" s="323"/>
      <c r="S142" s="323">
        <f ca="1">IF(NOT(ISERROR(MATCH(R142,_xlfn.ANCHORARRAY(H145),0))),#REF!&amp;"Por favor no seleccionar los criterios de impacto",R142)</f>
        <v>0</v>
      </c>
      <c r="T142" s="322"/>
      <c r="U142" s="323"/>
      <c r="V142" s="309"/>
      <c r="W142" s="252">
        <v>2</v>
      </c>
      <c r="X142" s="207" t="s">
        <v>1186</v>
      </c>
      <c r="Y142" s="250" t="str">
        <f t="shared" si="336"/>
        <v>Probabilidad</v>
      </c>
      <c r="Z142" s="185" t="s">
        <v>208</v>
      </c>
      <c r="AA142" s="185" t="s">
        <v>216</v>
      </c>
      <c r="AB142" s="186" t="str">
        <f t="shared" si="396"/>
        <v>40%</v>
      </c>
      <c r="AC142" s="185" t="s">
        <v>219</v>
      </c>
      <c r="AD142" s="185" t="s">
        <v>224</v>
      </c>
      <c r="AE142" s="185" t="s">
        <v>228</v>
      </c>
      <c r="AF142" s="187">
        <f t="shared" ref="AF142" si="415">IFERROR(IF(AND(Y141="Probabilidad",Y142="Probabilidad"),(AH141-(+AH141*AB142)),IF(Y142="Probabilidad",(Q141-(+Q141*AB142)),IF(Y142="Impacto",AH141,""))),"")</f>
        <v>0.216</v>
      </c>
      <c r="AG142" s="188" t="str">
        <f t="shared" si="337"/>
        <v>Baja</v>
      </c>
      <c r="AH142" s="186">
        <f t="shared" si="338"/>
        <v>0.216</v>
      </c>
      <c r="AI142" s="188" t="str">
        <f t="shared" ca="1" si="339"/>
        <v>Catastrófico</v>
      </c>
      <c r="AJ142" s="186">
        <f t="shared" ref="AJ142" ca="1" si="416">IFERROR(IF(AND(Y141="Impacto",Y142="Impacto"),(AJ141-(+AJ141*AB142)),IF(Y142="Impacto",(U141-(+U141*AB142)),IF(Y142="Probabilidad",AJ141,""))),"")</f>
        <v>1</v>
      </c>
      <c r="AK142" s="189" t="str">
        <f t="shared" ca="1" si="340"/>
        <v>Extremo</v>
      </c>
      <c r="AL142" s="185" t="s">
        <v>262</v>
      </c>
      <c r="AM142" s="315"/>
      <c r="AN142" s="315"/>
      <c r="AO142" s="343"/>
      <c r="AP142" s="344"/>
      <c r="AQ142" s="315"/>
      <c r="AR142" s="336"/>
    </row>
    <row r="143" spans="1:44" s="191" customFormat="1" ht="127.5" customHeight="1" thickTop="1" thickBot="1" x14ac:dyDescent="0.3">
      <c r="A143" s="310">
        <v>61</v>
      </c>
      <c r="B143" s="311" t="s">
        <v>729</v>
      </c>
      <c r="C143" s="317" t="s">
        <v>276</v>
      </c>
      <c r="D143" s="317" t="s">
        <v>946</v>
      </c>
      <c r="E143" s="317" t="s">
        <v>240</v>
      </c>
      <c r="F143" s="318" t="s">
        <v>730</v>
      </c>
      <c r="G143" s="318" t="s">
        <v>731</v>
      </c>
      <c r="H143" s="319" t="s">
        <v>1129</v>
      </c>
      <c r="I143" s="320" t="s">
        <v>474</v>
      </c>
      <c r="J143" s="320" t="s">
        <v>474</v>
      </c>
      <c r="K143" s="320" t="s">
        <v>474</v>
      </c>
      <c r="L143" s="320" t="s">
        <v>474</v>
      </c>
      <c r="M143" s="315" t="s">
        <v>237</v>
      </c>
      <c r="N143" s="315"/>
      <c r="O143" s="321">
        <v>365</v>
      </c>
      <c r="P143" s="322" t="str">
        <f>IF(O143&lt;=0,"",IF(O143&lt;=2,"Muy Baja",IF(O143&lt;=24,"Baja",IF(O143&lt;=500,"Media",IF(O143&lt;=5000,"Alta","Muy Alta")))))</f>
        <v>Media</v>
      </c>
      <c r="Q143" s="323">
        <f>IF(P143="","",IF(P143="Muy Baja",0.2,IF(P143="Baja",0.4,IF(P143="Media",0.6,IF(P143="Alta",0.8,IF(P143="Muy Alta",1,))))))</f>
        <v>0.6</v>
      </c>
      <c r="R143" s="323" t="s">
        <v>190</v>
      </c>
      <c r="S143" s="323" t="str">
        <f ca="1">IF(NOT(ISERROR(MATCH(R143,'Tabla Impacto'!$B$221:$B$223,0))),'Tabla Impacto'!$F$223&amp;"Por favor no seleccionar los criterios de impacto(Afectación Económica o presupuestal y Pérdida Reputacional)",R143)</f>
        <v>El riesgo afecta la imagen de la entidad con algunos usuarios de relevancia frente al logro de los objetivos</v>
      </c>
      <c r="T143" s="322" t="str">
        <f ca="1">+IF(OR(S143='[1]Tabla Impacto'!$C$11,S143='[1]Tabla Impacto'!$D$11),"Leve",IF(OR(S143='[1]Tabla Impacto'!$C$12,S143='[1]Tabla Impacto'!$D$12),"Menor",IF(OR(S143='[1]Tabla Impacto'!$C$13,S143='[1]Tabla Impacto'!$D$13),"Moderado",IF(OR(S143='[1]Tabla Impacto'!$C$14,S143='[1]Tabla Impacto'!$D$14),"Mayor",IF(OR(S143='[1]Tabla Impacto'!$C$15,S143='[1]Tabla Impacto'!$D$15),"Catastrófico","")))))</f>
        <v>Moderado</v>
      </c>
      <c r="U143" s="323">
        <f t="shared" ref="U143" ca="1" si="417">IF(T143="","",IF(T143="Leve",0.2,IF(T143="Menor",0.4,IF(T143="Moderado",0.6,IF(T143="Mayor",0.8,IF(T143="Catastrófico",1,))))))</f>
        <v>0.6</v>
      </c>
      <c r="V143" s="309" t="str">
        <f t="shared" ref="V143" ca="1" si="418">IF(OR(AND(P143="Muy Baja",T143="Leve"),AND(P143="Muy Baja",T143="Menor"),AND(P143="Baja",T143="Leve")),"Bajo",IF(OR(AND(P143="Muy baja",T143="Moderado"),AND(P143="Baja",T143="Menor"),AND(P143="Baja",T143="Moderado"),AND(P143="Media",T143="Leve"),AND(P143="Media",T143="Menor"),AND(P143="Media",T143="Moderado"),AND(P143="Alta",T143="Leve"),AND(P143="Alta",T143="Menor")),"Moderado",IF(OR(AND(P143="Muy Baja",T143="Mayor"),AND(P143="Baja",T143="Mayor"),AND(P143="Media",T143="Mayor"),AND(P143="Alta",T143="Moderado"),AND(P143="Alta",T143="Mayor"),AND(P143="Muy Alta",T143="Leve"),AND(P143="Muy Alta",T143="Menor"),AND(P143="Muy Alta",T143="Moderado"),AND(P143="Muy Alta",T143="Mayor")),"Alto",IF(OR(AND(P143="Muy Baja",T143="Catastrófico"),AND(P143="Baja",T143="Catastrófico"),AND(P143="Media",T143="Catastrófico"),AND(P143="Alta",T143="Catastrófico"),AND(P143="Muy Alta",T143="Catastrófico")),"Extremo",""))))</f>
        <v>Moderado</v>
      </c>
      <c r="W143" s="252">
        <v>1</v>
      </c>
      <c r="X143" s="207" t="s">
        <v>732</v>
      </c>
      <c r="Y143" s="250" t="str">
        <f t="shared" si="336"/>
        <v>Probabilidad</v>
      </c>
      <c r="Z143" s="185" t="s">
        <v>208</v>
      </c>
      <c r="AA143" s="185" t="s">
        <v>216</v>
      </c>
      <c r="AB143" s="186" t="str">
        <f t="shared" si="396"/>
        <v>40%</v>
      </c>
      <c r="AC143" s="185" t="s">
        <v>219</v>
      </c>
      <c r="AD143" s="185" t="s">
        <v>224</v>
      </c>
      <c r="AE143" s="185" t="s">
        <v>228</v>
      </c>
      <c r="AF143" s="187">
        <f t="shared" ref="AF143" si="419">IFERROR(IF(Y143="Probabilidad",(Q143-(+Q143*AB143)),IF(Y143="Impacto",Q143,"")),"")</f>
        <v>0.36</v>
      </c>
      <c r="AG143" s="188" t="str">
        <f t="shared" si="337"/>
        <v>Baja</v>
      </c>
      <c r="AH143" s="186">
        <f t="shared" si="338"/>
        <v>0.36</v>
      </c>
      <c r="AI143" s="188" t="str">
        <f t="shared" ca="1" si="339"/>
        <v>Moderado</v>
      </c>
      <c r="AJ143" s="186">
        <f t="shared" ref="AJ143" ca="1" si="420">IFERROR(IF(Y143="Impacto",(U143-(+U143*AB143)),IF(Y143="Probabilidad",U143,"")),"")</f>
        <v>0.6</v>
      </c>
      <c r="AK143" s="189" t="str">
        <f t="shared" ca="1" si="340"/>
        <v>Moderado</v>
      </c>
      <c r="AL143" s="185" t="s">
        <v>255</v>
      </c>
      <c r="AM143" s="246"/>
      <c r="AN143" s="250"/>
      <c r="AO143" s="245"/>
      <c r="AP143" s="245"/>
      <c r="AQ143" s="246"/>
      <c r="AR143" s="247"/>
    </row>
    <row r="144" spans="1:44" s="191" customFormat="1" ht="131.25" customHeight="1" thickTop="1" thickBot="1" x14ac:dyDescent="0.3">
      <c r="A144" s="310"/>
      <c r="B144" s="311"/>
      <c r="C144" s="317"/>
      <c r="D144" s="317"/>
      <c r="E144" s="317"/>
      <c r="F144" s="318"/>
      <c r="G144" s="318"/>
      <c r="H144" s="319"/>
      <c r="I144" s="320"/>
      <c r="J144" s="320"/>
      <c r="K144" s="320"/>
      <c r="L144" s="320"/>
      <c r="M144" s="315"/>
      <c r="N144" s="315"/>
      <c r="O144" s="321"/>
      <c r="P144" s="322"/>
      <c r="Q144" s="323"/>
      <c r="R144" s="323"/>
      <c r="S144" s="323">
        <f ca="1">IF(NOT(ISERROR(MATCH(R144,_xlfn.ANCHORARRAY(H147),0))),#REF!&amp;"Por favor no seleccionar los criterios de impacto",R144)</f>
        <v>0</v>
      </c>
      <c r="T144" s="322"/>
      <c r="U144" s="323"/>
      <c r="V144" s="309"/>
      <c r="W144" s="252">
        <v>2</v>
      </c>
      <c r="X144" s="211" t="s">
        <v>733</v>
      </c>
      <c r="Y144" s="250" t="str">
        <f t="shared" si="336"/>
        <v>Probabilidad</v>
      </c>
      <c r="Z144" s="185" t="s">
        <v>210</v>
      </c>
      <c r="AA144" s="185" t="s">
        <v>216</v>
      </c>
      <c r="AB144" s="186" t="str">
        <f t="shared" si="396"/>
        <v>30%</v>
      </c>
      <c r="AC144" s="185" t="s">
        <v>219</v>
      </c>
      <c r="AD144" s="185" t="s">
        <v>224</v>
      </c>
      <c r="AE144" s="185" t="s">
        <v>228</v>
      </c>
      <c r="AF144" s="187">
        <f t="shared" ref="AF144" si="421">IFERROR(IF(AND(Y143="Probabilidad",Y144="Probabilidad"),(AH143-(+AH143*AB144)),IF(Y144="Probabilidad",(Q143-(+Q143*AB144)),IF(Y144="Impacto",AH143,""))),"")</f>
        <v>0.252</v>
      </c>
      <c r="AG144" s="188" t="str">
        <f t="shared" si="337"/>
        <v>Baja</v>
      </c>
      <c r="AH144" s="186">
        <f t="shared" si="338"/>
        <v>0.252</v>
      </c>
      <c r="AI144" s="188" t="str">
        <f t="shared" ca="1" si="339"/>
        <v>Moderado</v>
      </c>
      <c r="AJ144" s="186">
        <f t="shared" ref="AJ144" ca="1" si="422">IFERROR(IF(AND(Y143="Impacto",Y144="Impacto"),(AJ143-(+AJ143*AB144)),IF(Y144="Impacto",(U143-(+U143*AB144)),IF(Y144="Probabilidad",AJ143,""))),"")</f>
        <v>0.6</v>
      </c>
      <c r="AK144" s="189" t="str">
        <f t="shared" ca="1" si="340"/>
        <v>Moderado</v>
      </c>
      <c r="AL144" s="185" t="s">
        <v>255</v>
      </c>
      <c r="AM144" s="246"/>
      <c r="AN144" s="250"/>
      <c r="AO144" s="245"/>
      <c r="AP144" s="245"/>
      <c r="AQ144" s="246"/>
      <c r="AR144" s="247"/>
    </row>
    <row r="145" spans="1:44" s="191" customFormat="1" ht="141" customHeight="1" thickTop="1" thickBot="1" x14ac:dyDescent="0.3">
      <c r="A145" s="310">
        <v>62</v>
      </c>
      <c r="B145" s="311" t="s">
        <v>734</v>
      </c>
      <c r="C145" s="315" t="s">
        <v>276</v>
      </c>
      <c r="D145" s="317" t="s">
        <v>946</v>
      </c>
      <c r="E145" s="315" t="s">
        <v>240</v>
      </c>
      <c r="F145" s="332" t="s">
        <v>735</v>
      </c>
      <c r="G145" s="332" t="s">
        <v>736</v>
      </c>
      <c r="H145" s="333" t="s">
        <v>1130</v>
      </c>
      <c r="I145" s="320" t="s">
        <v>474</v>
      </c>
      <c r="J145" s="320" t="s">
        <v>474</v>
      </c>
      <c r="K145" s="320" t="s">
        <v>474</v>
      </c>
      <c r="L145" s="320" t="s">
        <v>474</v>
      </c>
      <c r="M145" s="315" t="s">
        <v>242</v>
      </c>
      <c r="N145" s="315"/>
      <c r="O145" s="321">
        <v>365</v>
      </c>
      <c r="P145" s="322" t="str">
        <f>IF(O145&lt;=0,"",IF(O145&lt;=2,"Muy Baja",IF(O145&lt;=24,"Baja",IF(O145&lt;=500,"Media",IF(O145&lt;=5000,"Alta","Muy Alta")))))</f>
        <v>Media</v>
      </c>
      <c r="Q145" s="323">
        <f>IF(P145="","",IF(P145="Muy Baja",0.2,IF(P145="Baja",0.4,IF(P145="Media",0.6,IF(P145="Alta",0.8,IF(P145="Muy Alta",1,))))))</f>
        <v>0.6</v>
      </c>
      <c r="R145" s="323" t="s">
        <v>190</v>
      </c>
      <c r="S145" s="323" t="str">
        <f ca="1">IF(NOT(ISERROR(MATCH(R145,'Tabla Impacto'!$B$221:$B$223,0))),'Tabla Impacto'!$F$223&amp;"Por favor no seleccionar los criterios de impacto(Afectación Económica o presupuestal y Pérdida Reputacional)",R145)</f>
        <v>El riesgo afecta la imagen de la entidad con algunos usuarios de relevancia frente al logro de los objetivos</v>
      </c>
      <c r="T145" s="322" t="str">
        <f ca="1">+IF(OR(S145='[1]Tabla Impacto'!$C$11,S145='[1]Tabla Impacto'!$D$11),"Leve",IF(OR(S145='[1]Tabla Impacto'!$C$12,S145='[1]Tabla Impacto'!$D$12),"Menor",IF(OR(S145='[1]Tabla Impacto'!$C$13,S145='[1]Tabla Impacto'!$D$13),"Moderado",IF(OR(S145='[1]Tabla Impacto'!$C$14,S145='[1]Tabla Impacto'!$D$14),"Mayor",IF(OR(S145='[1]Tabla Impacto'!$C$15,S145='[1]Tabla Impacto'!$D$15),"Catastrófico","")))))</f>
        <v>Moderado</v>
      </c>
      <c r="U145" s="323">
        <f t="shared" ref="U145" ca="1" si="423">IF(T145="","",IF(T145="Leve",0.2,IF(T145="Menor",0.4,IF(T145="Moderado",0.6,IF(T145="Mayor",0.8,IF(T145="Catastrófico",1,))))))</f>
        <v>0.6</v>
      </c>
      <c r="V145" s="309" t="str">
        <f t="shared" ref="V145" ca="1" si="424">IF(OR(AND(P145="Muy Baja",T145="Leve"),AND(P145="Muy Baja",T145="Menor"),AND(P145="Baja",T145="Leve")),"Bajo",IF(OR(AND(P145="Muy baja",T145="Moderado"),AND(P145="Baja",T145="Menor"),AND(P145="Baja",T145="Moderado"),AND(P145="Media",T145="Leve"),AND(P145="Media",T145="Menor"),AND(P145="Media",T145="Moderado"),AND(P145="Alta",T145="Leve"),AND(P145="Alta",T145="Menor")),"Moderado",IF(OR(AND(P145="Muy Baja",T145="Mayor"),AND(P145="Baja",T145="Mayor"),AND(P145="Media",T145="Mayor"),AND(P145="Alta",T145="Moderado"),AND(P145="Alta",T145="Mayor"),AND(P145="Muy Alta",T145="Leve"),AND(P145="Muy Alta",T145="Menor"),AND(P145="Muy Alta",T145="Moderado"),AND(P145="Muy Alta",T145="Mayor")),"Alto",IF(OR(AND(P145="Muy Baja",T145="Catastrófico"),AND(P145="Baja",T145="Catastrófico"),AND(P145="Media",T145="Catastrófico"),AND(P145="Alta",T145="Catastrófico"),AND(P145="Muy Alta",T145="Catastrófico")),"Extremo",""))))</f>
        <v>Moderado</v>
      </c>
      <c r="W145" s="252">
        <v>1</v>
      </c>
      <c r="X145" s="207" t="s">
        <v>1026</v>
      </c>
      <c r="Y145" s="250" t="str">
        <f t="shared" si="336"/>
        <v>Probabilidad</v>
      </c>
      <c r="Z145" s="185" t="s">
        <v>208</v>
      </c>
      <c r="AA145" s="185" t="s">
        <v>216</v>
      </c>
      <c r="AB145" s="186" t="str">
        <f t="shared" si="396"/>
        <v>40%</v>
      </c>
      <c r="AC145" s="185" t="s">
        <v>219</v>
      </c>
      <c r="AD145" s="185" t="s">
        <v>224</v>
      </c>
      <c r="AE145" s="185" t="s">
        <v>228</v>
      </c>
      <c r="AF145" s="187">
        <f t="shared" ref="AF145" si="425">IFERROR(IF(Y145="Probabilidad",(Q145-(+Q145*AB145)),IF(Y145="Impacto",Q145,"")),"")</f>
        <v>0.36</v>
      </c>
      <c r="AG145" s="188" t="str">
        <f t="shared" si="337"/>
        <v>Baja</v>
      </c>
      <c r="AH145" s="186">
        <f t="shared" si="338"/>
        <v>0.36</v>
      </c>
      <c r="AI145" s="188" t="str">
        <f t="shared" ca="1" si="339"/>
        <v>Moderado</v>
      </c>
      <c r="AJ145" s="186">
        <f t="shared" ref="AJ145" ca="1" si="426">IFERROR(IF(Y145="Impacto",(U145-(+U145*AB145)),IF(Y145="Probabilidad",U145,"")),"")</f>
        <v>0.6</v>
      </c>
      <c r="AK145" s="189" t="str">
        <f t="shared" ca="1" si="340"/>
        <v>Moderado</v>
      </c>
      <c r="AL145" s="185" t="s">
        <v>255</v>
      </c>
      <c r="AM145" s="246"/>
      <c r="AN145" s="250"/>
      <c r="AO145" s="245"/>
      <c r="AP145" s="245"/>
      <c r="AQ145" s="246"/>
      <c r="AR145" s="247"/>
    </row>
    <row r="146" spans="1:44" s="191" customFormat="1" ht="181.5" customHeight="1" thickTop="1" thickBot="1" x14ac:dyDescent="0.3">
      <c r="A146" s="310"/>
      <c r="B146" s="311"/>
      <c r="C146" s="315"/>
      <c r="D146" s="317"/>
      <c r="E146" s="315"/>
      <c r="F146" s="332"/>
      <c r="G146" s="332"/>
      <c r="H146" s="333"/>
      <c r="I146" s="320"/>
      <c r="J146" s="320"/>
      <c r="K146" s="320"/>
      <c r="L146" s="320"/>
      <c r="M146" s="315"/>
      <c r="N146" s="315"/>
      <c r="O146" s="321"/>
      <c r="P146" s="322"/>
      <c r="Q146" s="323"/>
      <c r="R146" s="323"/>
      <c r="S146" s="323">
        <f ca="1">IF(NOT(ISERROR(MATCH(R146,_xlfn.ANCHORARRAY(H149),0))),Q151&amp;"Por favor no seleccionar los criterios de impacto",R146)</f>
        <v>0</v>
      </c>
      <c r="T146" s="322"/>
      <c r="U146" s="323"/>
      <c r="V146" s="309"/>
      <c r="W146" s="252">
        <v>2</v>
      </c>
      <c r="X146" s="207" t="s">
        <v>1027</v>
      </c>
      <c r="Y146" s="250" t="str">
        <f t="shared" si="336"/>
        <v>Probabilidad</v>
      </c>
      <c r="Z146" s="185" t="s">
        <v>208</v>
      </c>
      <c r="AA146" s="185" t="s">
        <v>216</v>
      </c>
      <c r="AB146" s="186" t="str">
        <f t="shared" si="396"/>
        <v>40%</v>
      </c>
      <c r="AC146" s="185" t="s">
        <v>219</v>
      </c>
      <c r="AD146" s="185" t="s">
        <v>224</v>
      </c>
      <c r="AE146" s="185" t="s">
        <v>228</v>
      </c>
      <c r="AF146" s="187">
        <f t="shared" ref="AF146" si="427">IFERROR(IF(AND(Y145="Probabilidad",Y146="Probabilidad"),(AH145-(+AH145*AB146)),IF(Y146="Probabilidad",(Q145-(+Q145*AB146)),IF(Y146="Impacto",AH145,""))),"")</f>
        <v>0.216</v>
      </c>
      <c r="AG146" s="188" t="str">
        <f t="shared" si="337"/>
        <v>Baja</v>
      </c>
      <c r="AH146" s="186">
        <f t="shared" si="338"/>
        <v>0.216</v>
      </c>
      <c r="AI146" s="188" t="str">
        <f t="shared" ca="1" si="339"/>
        <v>Moderado</v>
      </c>
      <c r="AJ146" s="186">
        <f t="shared" ref="AJ146" ca="1" si="428">IFERROR(IF(AND(Y145="Impacto",Y146="Impacto"),(AJ145-(+AJ145*AB146)),IF(Y146="Impacto",(U145-(+U145*AB146)),IF(Y146="Probabilidad",AJ145,""))),"")</f>
        <v>0.6</v>
      </c>
      <c r="AK146" s="189" t="str">
        <f t="shared" ca="1" si="340"/>
        <v>Moderado</v>
      </c>
      <c r="AL146" s="185" t="s">
        <v>255</v>
      </c>
      <c r="AM146" s="246"/>
      <c r="AN146" s="250"/>
      <c r="AO146" s="245"/>
      <c r="AP146" s="245"/>
      <c r="AQ146" s="246"/>
      <c r="AR146" s="247"/>
    </row>
    <row r="147" spans="1:44" s="191" customFormat="1" ht="162" customHeight="1" thickTop="1" thickBot="1" x14ac:dyDescent="0.3">
      <c r="A147" s="310">
        <v>63</v>
      </c>
      <c r="B147" s="311" t="s">
        <v>737</v>
      </c>
      <c r="C147" s="317" t="s">
        <v>276</v>
      </c>
      <c r="D147" s="317" t="s">
        <v>946</v>
      </c>
      <c r="E147" s="317" t="s">
        <v>240</v>
      </c>
      <c r="F147" s="318" t="s">
        <v>738</v>
      </c>
      <c r="G147" s="318" t="s">
        <v>739</v>
      </c>
      <c r="H147" s="319" t="s">
        <v>1131</v>
      </c>
      <c r="I147" s="320" t="s">
        <v>474</v>
      </c>
      <c r="J147" s="320" t="s">
        <v>474</v>
      </c>
      <c r="K147" s="320" t="s">
        <v>474</v>
      </c>
      <c r="L147" s="320" t="s">
        <v>474</v>
      </c>
      <c r="M147" s="315" t="s">
        <v>242</v>
      </c>
      <c r="N147" s="315"/>
      <c r="O147" s="321">
        <v>365</v>
      </c>
      <c r="P147" s="322" t="str">
        <f>IF(O147&lt;=0,"",IF(O147&lt;=2,"Muy Baja",IF(O147&lt;=24,"Baja",IF(O147&lt;=500,"Media",IF(O147&lt;=5000,"Alta","Muy Alta")))))</f>
        <v>Media</v>
      </c>
      <c r="Q147" s="323">
        <f>IF(P147="","",IF(P147="Muy Baja",0.2,IF(P147="Baja",0.4,IF(P147="Media",0.6,IF(P147="Alta",0.8,IF(P147="Muy Alta",1,))))))</f>
        <v>0.6</v>
      </c>
      <c r="R147" s="323" t="s">
        <v>192</v>
      </c>
      <c r="S147" s="323" t="str">
        <f ca="1">IF(NOT(ISERROR(MATCH(R147,'Tabla Impacto'!$B$221:$B$223,0))),'Tabla Impacto'!$F$223&amp;"Por favor no seleccionar los criterios de impacto(Afectación Económica o presupuestal y Pérdida Reputacional)",R147)</f>
        <v xml:space="preserve">Entre 100 y 500 SMLMV </v>
      </c>
      <c r="T147" s="322" t="str">
        <f ca="1">+IF(OR(S147='[1]Tabla Impacto'!$C$11,S147='[1]Tabla Impacto'!$D$11),"Leve",IF(OR(S147='[1]Tabla Impacto'!$C$12,S147='[1]Tabla Impacto'!$D$12),"Menor",IF(OR(S147='[1]Tabla Impacto'!$C$13,S147='[1]Tabla Impacto'!$D$13),"Moderado",IF(OR(S147='[1]Tabla Impacto'!$C$14,S147='[1]Tabla Impacto'!$D$14),"Mayor",IF(OR(S147='[1]Tabla Impacto'!$C$15,S147='[1]Tabla Impacto'!$D$15),"Catastrófico","")))))</f>
        <v>Mayor</v>
      </c>
      <c r="U147" s="323">
        <f t="shared" ref="U147" ca="1" si="429">IF(T147="","",IF(T147="Leve",0.2,IF(T147="Menor",0.4,IF(T147="Moderado",0.6,IF(T147="Mayor",0.8,IF(T147="Catastrófico",1,))))))</f>
        <v>0.8</v>
      </c>
      <c r="V147" s="309" t="str">
        <f t="shared" ref="V147" ca="1" si="430">IF(OR(AND(P147="Muy Baja",T147="Leve"),AND(P147="Muy Baja",T147="Menor"),AND(P147="Baja",T147="Leve")),"Bajo",IF(OR(AND(P147="Muy baja",T147="Moderado"),AND(P147="Baja",T147="Menor"),AND(P147="Baja",T147="Moderado"),AND(P147="Media",T147="Leve"),AND(P147="Media",T147="Menor"),AND(P147="Media",T147="Moderado"),AND(P147="Alta",T147="Leve"),AND(P147="Alta",T147="Menor")),"Moderado",IF(OR(AND(P147="Muy Baja",T147="Mayor"),AND(P147="Baja",T147="Mayor"),AND(P147="Media",T147="Mayor"),AND(P147="Alta",T147="Moderado"),AND(P147="Alta",T147="Mayor"),AND(P147="Muy Alta",T147="Leve"),AND(P147="Muy Alta",T147="Menor"),AND(P147="Muy Alta",T147="Moderado"),AND(P147="Muy Alta",T147="Mayor")),"Alto",IF(OR(AND(P147="Muy Baja",T147="Catastrófico"),AND(P147="Baja",T147="Catastrófico"),AND(P147="Media",T147="Catastrófico"),AND(P147="Alta",T147="Catastrófico"),AND(P147="Muy Alta",T147="Catastrófico")),"Extremo",""))))</f>
        <v>Alto</v>
      </c>
      <c r="W147" s="252">
        <v>1</v>
      </c>
      <c r="X147" s="207" t="s">
        <v>1028</v>
      </c>
      <c r="Y147" s="250" t="str">
        <f t="shared" ref="Y147:Y166" si="431">IF(OR(Z147="Preventivo",Z147="Detectivo"),"Probabilidad",IF(Z147="Correctivo","Impacto",""))</f>
        <v>Probabilidad</v>
      </c>
      <c r="Z147" s="185" t="s">
        <v>208</v>
      </c>
      <c r="AA147" s="185" t="s">
        <v>216</v>
      </c>
      <c r="AB147" s="186" t="str">
        <f t="shared" si="396"/>
        <v>40%</v>
      </c>
      <c r="AC147" s="185" t="s">
        <v>219</v>
      </c>
      <c r="AD147" s="185" t="s">
        <v>224</v>
      </c>
      <c r="AE147" s="185" t="s">
        <v>228</v>
      </c>
      <c r="AF147" s="187">
        <f t="shared" ref="AF147" si="432">IFERROR(IF(Y147="Probabilidad",(Q147-(+Q147*AB147)),IF(Y147="Impacto",Q147,"")),"")</f>
        <v>0.36</v>
      </c>
      <c r="AG147" s="188" t="str">
        <f t="shared" ref="AG147:AG166" si="433">IFERROR(IF(AF147="","",IF(AF147&lt;=0.2,"Muy Baja",IF(AF147&lt;=0.4,"Baja",IF(AF147&lt;=0.6,"Media",IF(AF147&lt;=0.8,"Alta","Muy Alta"))))),"")</f>
        <v>Baja</v>
      </c>
      <c r="AH147" s="186">
        <f t="shared" ref="AH147:AH166" si="434">+AF147</f>
        <v>0.36</v>
      </c>
      <c r="AI147" s="188" t="str">
        <f t="shared" ref="AI147:AI166" ca="1" si="435">IFERROR(IF(AJ147="","",IF(AJ147&lt;=0.2,"Leve",IF(AJ147&lt;=0.4,"Menor",IF(AJ147&lt;=0.6,"Moderado",IF(AJ147&lt;=0.8,"Mayor","Catastrófico"))))),"")</f>
        <v>Mayor</v>
      </c>
      <c r="AJ147" s="186">
        <f t="shared" ref="AJ147" ca="1" si="436">IFERROR(IF(Y147="Impacto",(U147-(+U147*AB147)),IF(Y147="Probabilidad",U147,"")),"")</f>
        <v>0.8</v>
      </c>
      <c r="AK147" s="189" t="str">
        <f t="shared" ref="AK147:AK166" ca="1" si="437">IFERROR(IF(OR(AND(AG147="Muy Baja",AI147="Leve"),AND(AG147="Muy Baja",AI147="Menor"),AND(AG147="Baja",AI147="Leve")),"Bajo",IF(OR(AND(AG147="Muy baja",AI147="Moderado"),AND(AG147="Baja",AI147="Menor"),AND(AG147="Baja",AI147="Moderado"),AND(AG147="Media",AI147="Leve"),AND(AG147="Media",AI147="Menor"),AND(AG147="Media",AI147="Moderado"),AND(AG147="Alta",AI147="Leve"),AND(AG147="Alta",AI147="Menor")),"Moderado",IF(OR(AND(AG147="Muy Baja",AI147="Mayor"),AND(AG147="Baja",AI147="Mayor"),AND(AG147="Media",AI147="Mayor"),AND(AG147="Alta",AI147="Moderado"),AND(AG147="Alta",AI147="Mayor"),AND(AG147="Muy Alta",AI147="Leve"),AND(AG147="Muy Alta",AI147="Menor"),AND(AG147="Muy Alta",AI147="Moderado"),AND(AG147="Muy Alta",AI147="Mayor")),"Alto",IF(OR(AND(AG147="Muy Baja",AI147="Catastrófico"),AND(AG147="Baja",AI147="Catastrófico"),AND(AG147="Media",AI147="Catastrófico"),AND(AG147="Alta",AI147="Catastrófico"),AND(AG147="Muy Alta",AI147="Catastrófico")),"Extremo","")))),"")</f>
        <v>Alto</v>
      </c>
      <c r="AL147" s="185" t="s">
        <v>262</v>
      </c>
      <c r="AM147" s="246"/>
      <c r="AN147" s="250"/>
      <c r="AO147" s="245"/>
      <c r="AP147" s="245"/>
      <c r="AQ147" s="246"/>
      <c r="AR147" s="247"/>
    </row>
    <row r="148" spans="1:44" s="191" customFormat="1" ht="157.5" customHeight="1" thickTop="1" thickBot="1" x14ac:dyDescent="0.3">
      <c r="A148" s="310"/>
      <c r="B148" s="311"/>
      <c r="C148" s="317"/>
      <c r="D148" s="317"/>
      <c r="E148" s="317"/>
      <c r="F148" s="318"/>
      <c r="G148" s="318"/>
      <c r="H148" s="319"/>
      <c r="I148" s="320"/>
      <c r="J148" s="320"/>
      <c r="K148" s="320"/>
      <c r="L148" s="320"/>
      <c r="M148" s="315"/>
      <c r="N148" s="315"/>
      <c r="O148" s="321"/>
      <c r="P148" s="322"/>
      <c r="Q148" s="323"/>
      <c r="R148" s="323"/>
      <c r="S148" s="323">
        <f ca="1">IF(NOT(ISERROR(MATCH(R148,_xlfn.ANCHORARRAY(H152),0))),#REF!&amp;"Por favor no seleccionar los criterios de impacto",R148)</f>
        <v>0</v>
      </c>
      <c r="T148" s="322"/>
      <c r="U148" s="323"/>
      <c r="V148" s="309"/>
      <c r="W148" s="252">
        <v>2</v>
      </c>
      <c r="X148" s="207" t="s">
        <v>1029</v>
      </c>
      <c r="Y148" s="250" t="str">
        <f t="shared" si="431"/>
        <v>Impacto</v>
      </c>
      <c r="Z148" s="185" t="s">
        <v>212</v>
      </c>
      <c r="AA148" s="185" t="s">
        <v>216</v>
      </c>
      <c r="AB148" s="186" t="str">
        <f t="shared" si="396"/>
        <v>25%</v>
      </c>
      <c r="AC148" s="185" t="s">
        <v>219</v>
      </c>
      <c r="AD148" s="185" t="s">
        <v>224</v>
      </c>
      <c r="AE148" s="185" t="s">
        <v>228</v>
      </c>
      <c r="AF148" s="187">
        <f t="shared" ref="AF148" si="438">IFERROR(IF(AND(Y147="Probabilidad",Y148="Probabilidad"),(AH147-(+AH147*AB148)),IF(Y148="Probabilidad",(Q147-(+Q147*AB148)),IF(Y148="Impacto",AH147,""))),"")</f>
        <v>0.36</v>
      </c>
      <c r="AG148" s="188" t="str">
        <f t="shared" si="433"/>
        <v>Baja</v>
      </c>
      <c r="AH148" s="186">
        <f t="shared" si="434"/>
        <v>0.36</v>
      </c>
      <c r="AI148" s="188" t="str">
        <f t="shared" ca="1" si="435"/>
        <v>Moderado</v>
      </c>
      <c r="AJ148" s="186">
        <f t="shared" ref="AJ148" ca="1" si="439">IFERROR(IF(AND(Y147="Impacto",Y148="Impacto"),(AJ147-(+AJ147*AB148)),IF(Y148="Impacto",(U147-(+U147*AB148)),IF(Y148="Probabilidad",AJ147,""))),"")</f>
        <v>0.60000000000000009</v>
      </c>
      <c r="AK148" s="189" t="str">
        <f t="shared" ca="1" si="437"/>
        <v>Moderado</v>
      </c>
      <c r="AL148" s="185" t="s">
        <v>255</v>
      </c>
      <c r="AM148" s="246"/>
      <c r="AN148" s="250"/>
      <c r="AO148" s="245"/>
      <c r="AP148" s="245"/>
      <c r="AQ148" s="246"/>
      <c r="AR148" s="247"/>
    </row>
    <row r="149" spans="1:44" s="191" customFormat="1" ht="121.5" customHeight="1" thickTop="1" thickBot="1" x14ac:dyDescent="0.3">
      <c r="A149" s="310">
        <v>64</v>
      </c>
      <c r="B149" s="311" t="s">
        <v>740</v>
      </c>
      <c r="C149" s="317" t="s">
        <v>276</v>
      </c>
      <c r="D149" s="317" t="s">
        <v>948</v>
      </c>
      <c r="E149" s="317" t="s">
        <v>240</v>
      </c>
      <c r="F149" s="318" t="s">
        <v>741</v>
      </c>
      <c r="G149" s="318" t="s">
        <v>742</v>
      </c>
      <c r="H149" s="319" t="s">
        <v>1132</v>
      </c>
      <c r="I149" s="320" t="s">
        <v>474</v>
      </c>
      <c r="J149" s="320" t="s">
        <v>474</v>
      </c>
      <c r="K149" s="320" t="s">
        <v>474</v>
      </c>
      <c r="L149" s="320" t="s">
        <v>474</v>
      </c>
      <c r="M149" s="315" t="s">
        <v>241</v>
      </c>
      <c r="N149" s="315"/>
      <c r="O149" s="321">
        <v>501</v>
      </c>
      <c r="P149" s="322" t="str">
        <f>IF(O149&lt;=0,"",IF(O149&lt;=2,"Muy Baja",IF(O149&lt;=24,"Baja",IF(O149&lt;=500,"Media",IF(O149&lt;=5000,"Alta","Muy Alta")))))</f>
        <v>Alta</v>
      </c>
      <c r="Q149" s="323">
        <f>IF(P149="","",IF(P149="Muy Baja",0.2,IF(P149="Baja",0.4,IF(P149="Media",0.6,IF(P149="Alta",0.8,IF(P149="Muy Alta",1,))))))</f>
        <v>0.8</v>
      </c>
      <c r="R149" s="323" t="s">
        <v>187</v>
      </c>
      <c r="S149" s="323" t="str">
        <f ca="1">IF(NOT(ISERROR(MATCH(R149,'Tabla Impacto'!$B$221:$B$223,0))),'Tabla Impacto'!$F$223&amp;"Por favor no seleccionar los criterios de impacto(Afectación Económica o presupuestal y Pérdida Reputacional)",R149)</f>
        <v>El riesgo afecta la imagen de la entidad internamente, de conocimiento general, nivel interno, de junta dircetiva y accionistas y/o de provedores</v>
      </c>
      <c r="T149" s="322" t="str">
        <f ca="1">+IF(OR(S149='[1]Tabla Impacto'!$C$11,S149='[1]Tabla Impacto'!$D$11),"Leve",IF(OR(S149='[1]Tabla Impacto'!$C$12,S149='[1]Tabla Impacto'!$D$12),"Menor",IF(OR(S149='[1]Tabla Impacto'!$C$13,S149='[1]Tabla Impacto'!$D$13),"Moderado",IF(OR(S149='[1]Tabla Impacto'!$C$14,S149='[1]Tabla Impacto'!$D$14),"Mayor",IF(OR(S149='[1]Tabla Impacto'!$C$15,S149='[1]Tabla Impacto'!$D$15),"Catastrófico","")))))</f>
        <v>Menor</v>
      </c>
      <c r="U149" s="323">
        <f t="shared" ref="U149" ca="1" si="440">IF(T149="","",IF(T149="Leve",0.2,IF(T149="Menor",0.4,IF(T149="Moderado",0.6,IF(T149="Mayor",0.8,IF(T149="Catastrófico",1,))))))</f>
        <v>0.4</v>
      </c>
      <c r="V149" s="309" t="str">
        <f t="shared" ref="V149" ca="1" si="441">IF(OR(AND(P149="Muy Baja",T149="Leve"),AND(P149="Muy Baja",T149="Menor"),AND(P149="Baja",T149="Leve")),"Bajo",IF(OR(AND(P149="Muy baja",T149="Moderado"),AND(P149="Baja",T149="Menor"),AND(P149="Baja",T149="Moderado"),AND(P149="Media",T149="Leve"),AND(P149="Media",T149="Menor"),AND(P149="Media",T149="Moderado"),AND(P149="Alta",T149="Leve"),AND(P149="Alta",T149="Menor")),"Moderado",IF(OR(AND(P149="Muy Baja",T149="Mayor"),AND(P149="Baja",T149="Mayor"),AND(P149="Media",T149="Mayor"),AND(P149="Alta",T149="Moderado"),AND(P149="Alta",T149="Mayor"),AND(P149="Muy Alta",T149="Leve"),AND(P149="Muy Alta",T149="Menor"),AND(P149="Muy Alta",T149="Moderado"),AND(P149="Muy Alta",T149="Mayor")),"Alto",IF(OR(AND(P149="Muy Baja",T149="Catastrófico"),AND(P149="Baja",T149="Catastrófico"),AND(P149="Media",T149="Catastrófico"),AND(P149="Alta",T149="Catastrófico"),AND(P149="Muy Alta",T149="Catastrófico")),"Extremo",""))))</f>
        <v>Moderado</v>
      </c>
      <c r="W149" s="252">
        <v>1</v>
      </c>
      <c r="X149" s="207" t="s">
        <v>743</v>
      </c>
      <c r="Y149" s="250" t="str">
        <f t="shared" si="431"/>
        <v>Probabilidad</v>
      </c>
      <c r="Z149" s="185" t="s">
        <v>208</v>
      </c>
      <c r="AA149" s="185" t="s">
        <v>216</v>
      </c>
      <c r="AB149" s="186" t="str">
        <f t="shared" si="396"/>
        <v>40%</v>
      </c>
      <c r="AC149" s="185" t="s">
        <v>219</v>
      </c>
      <c r="AD149" s="185" t="s">
        <v>224</v>
      </c>
      <c r="AE149" s="185" t="s">
        <v>228</v>
      </c>
      <c r="AF149" s="187">
        <f t="shared" ref="AF149" si="442">IFERROR(IF(Y149="Probabilidad",(Q149-(+Q149*AB149)),IF(Y149="Impacto",Q149,"")),"")</f>
        <v>0.48</v>
      </c>
      <c r="AG149" s="188" t="str">
        <f t="shared" si="433"/>
        <v>Media</v>
      </c>
      <c r="AH149" s="186">
        <f t="shared" si="434"/>
        <v>0.48</v>
      </c>
      <c r="AI149" s="188" t="str">
        <f t="shared" ca="1" si="435"/>
        <v>Menor</v>
      </c>
      <c r="AJ149" s="186">
        <f t="shared" ref="AJ149" ca="1" si="443">IFERROR(IF(Y149="Impacto",(U149-(+U149*AB149)),IF(Y149="Probabilidad",U149,"")),"")</f>
        <v>0.4</v>
      </c>
      <c r="AK149" s="189" t="str">
        <f t="shared" ca="1" si="437"/>
        <v>Moderado</v>
      </c>
      <c r="AL149" s="185" t="s">
        <v>255</v>
      </c>
      <c r="AM149" s="246"/>
      <c r="AN149" s="250"/>
      <c r="AO149" s="245"/>
      <c r="AP149" s="245"/>
      <c r="AQ149" s="246"/>
      <c r="AR149" s="247"/>
    </row>
    <row r="150" spans="1:44" s="191" customFormat="1" ht="127.5" customHeight="1" thickTop="1" thickBot="1" x14ac:dyDescent="0.3">
      <c r="A150" s="310"/>
      <c r="B150" s="311"/>
      <c r="C150" s="317"/>
      <c r="D150" s="317"/>
      <c r="E150" s="317"/>
      <c r="F150" s="318"/>
      <c r="G150" s="318"/>
      <c r="H150" s="319"/>
      <c r="I150" s="320"/>
      <c r="J150" s="320"/>
      <c r="K150" s="320"/>
      <c r="L150" s="320"/>
      <c r="M150" s="315"/>
      <c r="N150" s="315"/>
      <c r="O150" s="321"/>
      <c r="P150" s="322"/>
      <c r="Q150" s="323"/>
      <c r="R150" s="323"/>
      <c r="S150" s="323">
        <f ca="1">IF(NOT(ISERROR(MATCH(R150,_xlfn.ANCHORARRAY(H154),0))),#REF!&amp;"Por favor no seleccionar los criterios de impacto",R150)</f>
        <v>0</v>
      </c>
      <c r="T150" s="322"/>
      <c r="U150" s="323"/>
      <c r="V150" s="309"/>
      <c r="W150" s="252">
        <v>2</v>
      </c>
      <c r="X150" s="207" t="s">
        <v>744</v>
      </c>
      <c r="Y150" s="250" t="str">
        <f t="shared" si="431"/>
        <v>Probabilidad</v>
      </c>
      <c r="Z150" s="185" t="s">
        <v>208</v>
      </c>
      <c r="AA150" s="185" t="s">
        <v>216</v>
      </c>
      <c r="AB150" s="186" t="str">
        <f t="shared" si="396"/>
        <v>40%</v>
      </c>
      <c r="AC150" s="185" t="s">
        <v>222</v>
      </c>
      <c r="AD150" s="185" t="s">
        <v>224</v>
      </c>
      <c r="AE150" s="185" t="s">
        <v>228</v>
      </c>
      <c r="AF150" s="187">
        <f t="shared" ref="AF150:AF151" si="444">IFERROR(IF(AND(Y149="Probabilidad",Y150="Probabilidad"),(AH149-(+AH149*AB150)),IF(Y150="Probabilidad",(Q149-(+Q149*AB150)),IF(Y150="Impacto",AH149,""))),"")</f>
        <v>0.28799999999999998</v>
      </c>
      <c r="AG150" s="188" t="str">
        <f t="shared" si="433"/>
        <v>Baja</v>
      </c>
      <c r="AH150" s="186">
        <f t="shared" si="434"/>
        <v>0.28799999999999998</v>
      </c>
      <c r="AI150" s="188" t="str">
        <f t="shared" ca="1" si="435"/>
        <v>Menor</v>
      </c>
      <c r="AJ150" s="186">
        <f t="shared" ref="AJ150" ca="1" si="445">IFERROR(IF(AND(Y149="Impacto",Y150="Impacto"),(AJ149-(+AJ149*AB150)),IF(Y150="Impacto",(U149-(+U149*AB150)),IF(Y150="Probabilidad",AJ149,""))),"")</f>
        <v>0.4</v>
      </c>
      <c r="AK150" s="189" t="str">
        <f t="shared" ca="1" si="437"/>
        <v>Moderado</v>
      </c>
      <c r="AL150" s="185" t="s">
        <v>255</v>
      </c>
      <c r="AM150" s="246"/>
      <c r="AN150" s="250"/>
      <c r="AO150" s="245"/>
      <c r="AP150" s="245"/>
      <c r="AQ150" s="246"/>
      <c r="AR150" s="247"/>
    </row>
    <row r="151" spans="1:44" s="191" customFormat="1" ht="118.5" customHeight="1" thickTop="1" thickBot="1" x14ac:dyDescent="0.3">
      <c r="A151" s="310"/>
      <c r="B151" s="311"/>
      <c r="C151" s="317"/>
      <c r="D151" s="317"/>
      <c r="E151" s="317"/>
      <c r="F151" s="318"/>
      <c r="G151" s="318"/>
      <c r="H151" s="319"/>
      <c r="I151" s="320"/>
      <c r="J151" s="320"/>
      <c r="K151" s="320"/>
      <c r="L151" s="320"/>
      <c r="M151" s="315"/>
      <c r="N151" s="315"/>
      <c r="O151" s="321"/>
      <c r="P151" s="322"/>
      <c r="Q151" s="323"/>
      <c r="R151" s="323"/>
      <c r="S151" s="323">
        <f ca="1">IF(NOT(ISERROR(MATCH(R151,_xlfn.ANCHORARRAY(H155),0))),#REF!&amp;"Por favor no seleccionar los criterios de impacto",R151)</f>
        <v>0</v>
      </c>
      <c r="T151" s="322"/>
      <c r="U151" s="323"/>
      <c r="V151" s="309"/>
      <c r="W151" s="252">
        <v>3</v>
      </c>
      <c r="X151" s="207" t="s">
        <v>745</v>
      </c>
      <c r="Y151" s="250" t="str">
        <f t="shared" si="431"/>
        <v>Probabilidad</v>
      </c>
      <c r="Z151" s="185" t="s">
        <v>208</v>
      </c>
      <c r="AA151" s="185" t="s">
        <v>216</v>
      </c>
      <c r="AB151" s="186" t="str">
        <f t="shared" si="396"/>
        <v>40%</v>
      </c>
      <c r="AC151" s="185" t="s">
        <v>219</v>
      </c>
      <c r="AD151" s="185" t="s">
        <v>224</v>
      </c>
      <c r="AE151" s="185" t="s">
        <v>228</v>
      </c>
      <c r="AF151" s="187">
        <f t="shared" si="444"/>
        <v>0.17279999999999998</v>
      </c>
      <c r="AG151" s="188" t="str">
        <f t="shared" si="433"/>
        <v>Muy Baja</v>
      </c>
      <c r="AH151" s="186">
        <f t="shared" si="434"/>
        <v>0.17279999999999998</v>
      </c>
      <c r="AI151" s="188" t="str">
        <f t="shared" ca="1" si="435"/>
        <v>Menor</v>
      </c>
      <c r="AJ151" s="186">
        <f t="shared" ref="AJ151" ca="1" si="446">IFERROR(IF(AND(Y150="Impacto",Y151="Impacto"),(AJ150-(+AJ150*AB151)),IF(AND(Y150="Probabilidad",Y151="Impacto"),(AJ149-(+AJ149*AB151)),IF(Y151="Probabilidad",AJ150,""))),"")</f>
        <v>0.4</v>
      </c>
      <c r="AK151" s="189" t="str">
        <f t="shared" ca="1" si="437"/>
        <v>Bajo</v>
      </c>
      <c r="AL151" s="185" t="s">
        <v>255</v>
      </c>
      <c r="AM151" s="246"/>
      <c r="AN151" s="250"/>
      <c r="AO151" s="245"/>
      <c r="AP151" s="245"/>
      <c r="AQ151" s="246"/>
      <c r="AR151" s="247"/>
    </row>
    <row r="152" spans="1:44" s="191" customFormat="1" ht="149.25" customHeight="1" thickTop="1" thickBot="1" x14ac:dyDescent="0.3">
      <c r="A152" s="310">
        <v>65</v>
      </c>
      <c r="B152" s="311" t="s">
        <v>746</v>
      </c>
      <c r="C152" s="317" t="s">
        <v>276</v>
      </c>
      <c r="D152" s="317" t="s">
        <v>747</v>
      </c>
      <c r="E152" s="317" t="s">
        <v>240</v>
      </c>
      <c r="F152" s="318" t="s">
        <v>748</v>
      </c>
      <c r="G152" s="318" t="s">
        <v>749</v>
      </c>
      <c r="H152" s="319" t="s">
        <v>1133</v>
      </c>
      <c r="I152" s="320" t="s">
        <v>474</v>
      </c>
      <c r="J152" s="320" t="s">
        <v>474</v>
      </c>
      <c r="K152" s="320" t="s">
        <v>474</v>
      </c>
      <c r="L152" s="320" t="s">
        <v>474</v>
      </c>
      <c r="M152" s="315" t="s">
        <v>246</v>
      </c>
      <c r="N152" s="315"/>
      <c r="O152" s="321">
        <v>365</v>
      </c>
      <c r="P152" s="322" t="str">
        <f t="shared" ref="P152" si="447">IF(O152&lt;=0,"",IF(O152&lt;=2,"Muy Baja",IF(O152&lt;=24,"Baja",IF(O152&lt;=500,"Media",IF(O152&lt;=5000,"Alta","Muy Alta")))))</f>
        <v>Media</v>
      </c>
      <c r="Q152" s="323">
        <f t="shared" ref="Q152" si="448">IF(P152="","",IF(P152="Muy Baja",0.2,IF(P152="Baja",0.4,IF(P152="Media",0.6,IF(P152="Alta",0.8,IF(P152="Muy Alta",1,))))))</f>
        <v>0.6</v>
      </c>
      <c r="R152" s="323" t="s">
        <v>190</v>
      </c>
      <c r="S152" s="323" t="str">
        <f ca="1">IF(NOT(ISERROR(MATCH(R152,'Tabla Impacto'!$B$221:$B$223,0))),'Tabla Impacto'!$F$223&amp;"Por favor no seleccionar los criterios de impacto(Afectación Económica o presupuestal y Pérdida Reputacional)",R152)</f>
        <v>El riesgo afecta la imagen de la entidad con algunos usuarios de relevancia frente al logro de los objetivos</v>
      </c>
      <c r="T152" s="322" t="str">
        <f ca="1">+IF(OR(S152='[1]Tabla Impacto'!$C$11,S152='[1]Tabla Impacto'!$D$11),"Leve",IF(OR(S152='[1]Tabla Impacto'!$C$12,S152='[1]Tabla Impacto'!$D$12),"Menor",IF(OR(S152='[1]Tabla Impacto'!$C$13,S152='[1]Tabla Impacto'!$D$13),"Moderado",IF(OR(S152='[1]Tabla Impacto'!$C$14,S152='[1]Tabla Impacto'!$D$14),"Mayor",IF(OR(S152='[1]Tabla Impacto'!$C$15,S152='[1]Tabla Impacto'!$D$15),"Catastrófico","")))))</f>
        <v>Moderado</v>
      </c>
      <c r="U152" s="323">
        <f t="shared" ref="U152" ca="1" si="449">IF(T152="","",IF(T152="Leve",0.2,IF(T152="Menor",0.4,IF(T152="Moderado",0.6,IF(T152="Mayor",0.8,IF(T152="Catastrófico",1,))))))</f>
        <v>0.6</v>
      </c>
      <c r="V152" s="309" t="str">
        <f t="shared" ref="V152" ca="1" si="450">IF(OR(AND(P152="Muy Baja",T152="Leve"),AND(P152="Muy Baja",T152="Menor"),AND(P152="Baja",T152="Leve")),"Bajo",IF(OR(AND(P152="Muy baja",T152="Moderado"),AND(P152="Baja",T152="Menor"),AND(P152="Baja",T152="Moderado"),AND(P152="Media",T152="Leve"),AND(P152="Media",T152="Menor"),AND(P152="Media",T152="Moderado"),AND(P152="Alta",T152="Leve"),AND(P152="Alta",T152="Menor")),"Moderado",IF(OR(AND(P152="Muy Baja",T152="Mayor"),AND(P152="Baja",T152="Mayor"),AND(P152="Media",T152="Mayor"),AND(P152="Alta",T152="Moderado"),AND(P152="Alta",T152="Mayor"),AND(P152="Muy Alta",T152="Leve"),AND(P152="Muy Alta",T152="Menor"),AND(P152="Muy Alta",T152="Moderado"),AND(P152="Muy Alta",T152="Mayor")),"Alto",IF(OR(AND(P152="Muy Baja",T152="Catastrófico"),AND(P152="Baja",T152="Catastrófico"),AND(P152="Media",T152="Catastrófico"),AND(P152="Alta",T152="Catastrófico"),AND(P152="Muy Alta",T152="Catastrófico")),"Extremo",""))))</f>
        <v>Moderado</v>
      </c>
      <c r="W152" s="252">
        <v>1</v>
      </c>
      <c r="X152" s="207" t="s">
        <v>750</v>
      </c>
      <c r="Y152" s="250" t="str">
        <f t="shared" si="431"/>
        <v>Probabilidad</v>
      </c>
      <c r="Z152" s="185" t="s">
        <v>208</v>
      </c>
      <c r="AA152" s="185" t="s">
        <v>216</v>
      </c>
      <c r="AB152" s="186" t="str">
        <f t="shared" si="396"/>
        <v>40%</v>
      </c>
      <c r="AC152" s="185" t="s">
        <v>219</v>
      </c>
      <c r="AD152" s="185" t="s">
        <v>224</v>
      </c>
      <c r="AE152" s="185" t="s">
        <v>228</v>
      </c>
      <c r="AF152" s="187">
        <f t="shared" ref="AF152" si="451">IFERROR(IF(Y152="Probabilidad",(Q152-(+Q152*AB152)),IF(Y152="Impacto",Q152,"")),"")</f>
        <v>0.36</v>
      </c>
      <c r="AG152" s="188" t="str">
        <f t="shared" si="433"/>
        <v>Baja</v>
      </c>
      <c r="AH152" s="186">
        <f t="shared" si="434"/>
        <v>0.36</v>
      </c>
      <c r="AI152" s="188" t="str">
        <f t="shared" ca="1" si="435"/>
        <v>Moderado</v>
      </c>
      <c r="AJ152" s="186">
        <f t="shared" ref="AJ152" ca="1" si="452">IFERROR(IF(Y152="Impacto",(U152-(+U152*AB152)),IF(Y152="Probabilidad",U152,"")),"")</f>
        <v>0.6</v>
      </c>
      <c r="AK152" s="189" t="str">
        <f t="shared" ca="1" si="437"/>
        <v>Moderado</v>
      </c>
      <c r="AL152" s="185" t="s">
        <v>255</v>
      </c>
      <c r="AM152" s="246"/>
      <c r="AN152" s="250"/>
      <c r="AO152" s="245"/>
      <c r="AP152" s="245"/>
      <c r="AQ152" s="246"/>
      <c r="AR152" s="247"/>
    </row>
    <row r="153" spans="1:44" s="191" customFormat="1" ht="119.25" customHeight="1" thickTop="1" thickBot="1" x14ac:dyDescent="0.3">
      <c r="A153" s="310"/>
      <c r="B153" s="311"/>
      <c r="C153" s="317"/>
      <c r="D153" s="317"/>
      <c r="E153" s="317"/>
      <c r="F153" s="318"/>
      <c r="G153" s="318"/>
      <c r="H153" s="319"/>
      <c r="I153" s="320"/>
      <c r="J153" s="320"/>
      <c r="K153" s="320"/>
      <c r="L153" s="320"/>
      <c r="M153" s="315"/>
      <c r="N153" s="315"/>
      <c r="O153" s="321"/>
      <c r="P153" s="322"/>
      <c r="Q153" s="323"/>
      <c r="R153" s="323"/>
      <c r="S153" s="323">
        <f ca="1">IF(NOT(ISERROR(MATCH(R153,_xlfn.ANCHORARRAY(H156),0))),#REF!&amp;"Por favor no seleccionar los criterios de impacto",R153)</f>
        <v>0</v>
      </c>
      <c r="T153" s="322"/>
      <c r="U153" s="323"/>
      <c r="V153" s="309"/>
      <c r="W153" s="252">
        <v>2</v>
      </c>
      <c r="X153" s="207" t="s">
        <v>751</v>
      </c>
      <c r="Y153" s="250" t="str">
        <f t="shared" si="431"/>
        <v>Probabilidad</v>
      </c>
      <c r="Z153" s="185" t="s">
        <v>208</v>
      </c>
      <c r="AA153" s="185" t="s">
        <v>216</v>
      </c>
      <c r="AB153" s="186" t="str">
        <f t="shared" si="396"/>
        <v>40%</v>
      </c>
      <c r="AC153" s="185" t="s">
        <v>219</v>
      </c>
      <c r="AD153" s="185" t="s">
        <v>224</v>
      </c>
      <c r="AE153" s="185" t="s">
        <v>228</v>
      </c>
      <c r="AF153" s="187">
        <f t="shared" ref="AF153" si="453">IFERROR(IF(AND(Y152="Probabilidad",Y153="Probabilidad"),(AH152-(+AH152*AB153)),IF(Y153="Probabilidad",(Q152-(+Q152*AB153)),IF(Y153="Impacto",AH152,""))),"")</f>
        <v>0.216</v>
      </c>
      <c r="AG153" s="188" t="str">
        <f t="shared" si="433"/>
        <v>Baja</v>
      </c>
      <c r="AH153" s="186">
        <f t="shared" si="434"/>
        <v>0.216</v>
      </c>
      <c r="AI153" s="188" t="str">
        <f t="shared" ca="1" si="435"/>
        <v>Moderado</v>
      </c>
      <c r="AJ153" s="186">
        <f t="shared" ref="AJ153" ca="1" si="454">IFERROR(IF(AND(Y152="Impacto",Y153="Impacto"),(AJ152-(+AJ152*AB153)),IF(Y153="Impacto",(U152-(+U152*AB153)),IF(Y153="Probabilidad",AJ152,""))),"")</f>
        <v>0.6</v>
      </c>
      <c r="AK153" s="189" t="str">
        <f t="shared" ca="1" si="437"/>
        <v>Moderado</v>
      </c>
      <c r="AL153" s="185" t="s">
        <v>255</v>
      </c>
      <c r="AM153" s="246"/>
      <c r="AN153" s="250"/>
      <c r="AO153" s="245"/>
      <c r="AP153" s="245"/>
      <c r="AQ153" s="246"/>
      <c r="AR153" s="247"/>
    </row>
    <row r="154" spans="1:44" s="191" customFormat="1" ht="135" customHeight="1" thickTop="1" thickBot="1" x14ac:dyDescent="0.3">
      <c r="A154" s="310">
        <v>66</v>
      </c>
      <c r="B154" s="311" t="s">
        <v>752</v>
      </c>
      <c r="C154" s="317" t="s">
        <v>276</v>
      </c>
      <c r="D154" s="317" t="s">
        <v>747</v>
      </c>
      <c r="E154" s="317" t="s">
        <v>238</v>
      </c>
      <c r="F154" s="318" t="s">
        <v>753</v>
      </c>
      <c r="G154" s="318" t="s">
        <v>754</v>
      </c>
      <c r="H154" s="319" t="s">
        <v>1134</v>
      </c>
      <c r="I154" s="320" t="s">
        <v>474</v>
      </c>
      <c r="J154" s="320" t="s">
        <v>474</v>
      </c>
      <c r="K154" s="320" t="s">
        <v>474</v>
      </c>
      <c r="L154" s="320" t="s">
        <v>474</v>
      </c>
      <c r="M154" s="315" t="s">
        <v>239</v>
      </c>
      <c r="N154" s="315"/>
      <c r="O154" s="321">
        <v>365</v>
      </c>
      <c r="P154" s="322" t="str">
        <f t="shared" ref="P154" si="455">IF(O154&lt;=0,"",IF(O154&lt;=2,"Muy Baja",IF(O154&lt;=24,"Baja",IF(O154&lt;=500,"Media",IF(O154&lt;=5000,"Alta","Muy Alta")))))</f>
        <v>Media</v>
      </c>
      <c r="Q154" s="323">
        <f t="shared" ref="Q154" si="456">IF(P154="","",IF(P154="Muy Baja",0.2,IF(P154="Baja",0.4,IF(P154="Media",0.6,IF(P154="Alta",0.8,IF(P154="Muy Alta",1,))))))</f>
        <v>0.6</v>
      </c>
      <c r="R154" s="323" t="s">
        <v>190</v>
      </c>
      <c r="S154" s="323" t="str">
        <f ca="1">IF(NOT(ISERROR(MATCH(R154,'Tabla Impacto'!$B$221:$B$223,0))),'Tabla Impacto'!$F$223&amp;"Por favor no seleccionar los criterios de impacto(Afectación Económica o presupuestal y Pérdida Reputacional)",R154)</f>
        <v>El riesgo afecta la imagen de la entidad con algunos usuarios de relevancia frente al logro de los objetivos</v>
      </c>
      <c r="T154" s="322" t="str">
        <f ca="1">+IF(OR(S154='[1]Tabla Impacto'!$C$11,S154='[1]Tabla Impacto'!$D$11),"Leve",IF(OR(S154='[1]Tabla Impacto'!$C$12,S154='[1]Tabla Impacto'!$D$12),"Menor",IF(OR(S154='[1]Tabla Impacto'!$C$13,S154='[1]Tabla Impacto'!$D$13),"Moderado",IF(OR(S154='[1]Tabla Impacto'!$C$14,S154='[1]Tabla Impacto'!$D$14),"Mayor",IF(OR(S154='[1]Tabla Impacto'!$C$15,S154='[1]Tabla Impacto'!$D$15),"Catastrófico","")))))</f>
        <v>Moderado</v>
      </c>
      <c r="U154" s="323">
        <f t="shared" ref="U154" ca="1" si="457">IF(T154="","",IF(T154="Leve",0.2,IF(T154="Menor",0.4,IF(T154="Moderado",0.6,IF(T154="Mayor",0.8,IF(T154="Catastrófico",1,))))))</f>
        <v>0.6</v>
      </c>
      <c r="V154" s="309" t="str">
        <f t="shared" ref="V154" ca="1" si="458">IF(OR(AND(P154="Muy Baja",T154="Leve"),AND(P154="Muy Baja",T154="Menor"),AND(P154="Baja",T154="Leve")),"Bajo",IF(OR(AND(P154="Muy baja",T154="Moderado"),AND(P154="Baja",T154="Menor"),AND(P154="Baja",T154="Moderado"),AND(P154="Media",T154="Leve"),AND(P154="Media",T154="Menor"),AND(P154="Media",T154="Moderado"),AND(P154="Alta",T154="Leve"),AND(P154="Alta",T154="Menor")),"Moderado",IF(OR(AND(P154="Muy Baja",T154="Mayor"),AND(P154="Baja",T154="Mayor"),AND(P154="Media",T154="Mayor"),AND(P154="Alta",T154="Moderado"),AND(P154="Alta",T154="Mayor"),AND(P154="Muy Alta",T154="Leve"),AND(P154="Muy Alta",T154="Menor"),AND(P154="Muy Alta",T154="Moderado"),AND(P154="Muy Alta",T154="Mayor")),"Alto",IF(OR(AND(P154="Muy Baja",T154="Catastrófico"),AND(P154="Baja",T154="Catastrófico"),AND(P154="Media",T154="Catastrófico"),AND(P154="Alta",T154="Catastrófico"),AND(P154="Muy Alta",T154="Catastrófico")),"Extremo",""))))</f>
        <v>Moderado</v>
      </c>
      <c r="W154" s="252">
        <v>1</v>
      </c>
      <c r="X154" s="207" t="s">
        <v>755</v>
      </c>
      <c r="Y154" s="250" t="str">
        <f t="shared" si="431"/>
        <v>Probabilidad</v>
      </c>
      <c r="Z154" s="185" t="s">
        <v>208</v>
      </c>
      <c r="AA154" s="185" t="s">
        <v>216</v>
      </c>
      <c r="AB154" s="186" t="str">
        <f t="shared" si="396"/>
        <v>40%</v>
      </c>
      <c r="AC154" s="185" t="s">
        <v>219</v>
      </c>
      <c r="AD154" s="185" t="s">
        <v>224</v>
      </c>
      <c r="AE154" s="185" t="s">
        <v>228</v>
      </c>
      <c r="AF154" s="187">
        <f t="shared" ref="AF154" si="459">IFERROR(IF(Y154="Probabilidad",(Q154-(+Q154*AB154)),IF(Y154="Impacto",Q154,"")),"")</f>
        <v>0.36</v>
      </c>
      <c r="AG154" s="188" t="str">
        <f t="shared" si="433"/>
        <v>Baja</v>
      </c>
      <c r="AH154" s="186">
        <f t="shared" si="434"/>
        <v>0.36</v>
      </c>
      <c r="AI154" s="188" t="str">
        <f t="shared" ca="1" si="435"/>
        <v>Moderado</v>
      </c>
      <c r="AJ154" s="186">
        <f t="shared" ref="AJ154" ca="1" si="460">IFERROR(IF(Y154="Impacto",(U154-(+U154*AB154)),IF(Y154="Probabilidad",U154,"")),"")</f>
        <v>0.6</v>
      </c>
      <c r="AK154" s="189" t="str">
        <f t="shared" ca="1" si="437"/>
        <v>Moderado</v>
      </c>
      <c r="AL154" s="185" t="s">
        <v>255</v>
      </c>
      <c r="AM154" s="246"/>
      <c r="AN154" s="250"/>
      <c r="AO154" s="245"/>
      <c r="AP154" s="245"/>
      <c r="AQ154" s="246"/>
      <c r="AR154" s="247"/>
    </row>
    <row r="155" spans="1:44" s="191" customFormat="1" ht="135" customHeight="1" thickTop="1" thickBot="1" x14ac:dyDescent="0.3">
      <c r="A155" s="310"/>
      <c r="B155" s="311"/>
      <c r="C155" s="317"/>
      <c r="D155" s="317"/>
      <c r="E155" s="317"/>
      <c r="F155" s="318"/>
      <c r="G155" s="318"/>
      <c r="H155" s="319"/>
      <c r="I155" s="320"/>
      <c r="J155" s="320"/>
      <c r="K155" s="320"/>
      <c r="L155" s="320"/>
      <c r="M155" s="315"/>
      <c r="N155" s="315"/>
      <c r="O155" s="321"/>
      <c r="P155" s="322"/>
      <c r="Q155" s="323"/>
      <c r="R155" s="323"/>
      <c r="S155" s="323">
        <f ca="1">IF(NOT(ISERROR(MATCH(R155,_xlfn.ANCHORARRAY(#REF!),0))),#REF!&amp;"Por favor no seleccionar los criterios de impacto",R155)</f>
        <v>0</v>
      </c>
      <c r="T155" s="322"/>
      <c r="U155" s="323"/>
      <c r="V155" s="309"/>
      <c r="W155" s="252">
        <v>2</v>
      </c>
      <c r="X155" s="207" t="s">
        <v>756</v>
      </c>
      <c r="Y155" s="250" t="str">
        <f t="shared" si="431"/>
        <v>Probabilidad</v>
      </c>
      <c r="Z155" s="185" t="s">
        <v>208</v>
      </c>
      <c r="AA155" s="185" t="s">
        <v>216</v>
      </c>
      <c r="AB155" s="186" t="str">
        <f t="shared" si="396"/>
        <v>40%</v>
      </c>
      <c r="AC155" s="185" t="s">
        <v>219</v>
      </c>
      <c r="AD155" s="185" t="s">
        <v>224</v>
      </c>
      <c r="AE155" s="185" t="s">
        <v>228</v>
      </c>
      <c r="AF155" s="187">
        <f t="shared" ref="AF155" si="461">IFERROR(IF(AND(Y154="Probabilidad",Y155="Probabilidad"),(AH154-(+AH154*AB155)),IF(Y155="Probabilidad",(Q154-(+Q154*AB155)),IF(Y155="Impacto",AH154,""))),"")</f>
        <v>0.216</v>
      </c>
      <c r="AG155" s="188" t="str">
        <f t="shared" si="433"/>
        <v>Baja</v>
      </c>
      <c r="AH155" s="186">
        <f t="shared" si="434"/>
        <v>0.216</v>
      </c>
      <c r="AI155" s="188" t="str">
        <f t="shared" ca="1" si="435"/>
        <v>Moderado</v>
      </c>
      <c r="AJ155" s="186">
        <f t="shared" ref="AJ155" ca="1" si="462">IFERROR(IF(AND(Y154="Impacto",Y155="Impacto"),(AJ154-(+AJ154*AB155)),IF(Y155="Impacto",(U154-(+U154*AB155)),IF(Y155="Probabilidad",AJ154,""))),"")</f>
        <v>0.6</v>
      </c>
      <c r="AK155" s="189" t="str">
        <f t="shared" ca="1" si="437"/>
        <v>Moderado</v>
      </c>
      <c r="AL155" s="185" t="s">
        <v>255</v>
      </c>
      <c r="AM155" s="246"/>
      <c r="AN155" s="250"/>
      <c r="AO155" s="245"/>
      <c r="AP155" s="245"/>
      <c r="AQ155" s="246"/>
      <c r="AR155" s="247"/>
    </row>
    <row r="156" spans="1:44" s="191" customFormat="1" ht="109.5" customHeight="1" thickTop="1" thickBot="1" x14ac:dyDescent="0.3">
      <c r="A156" s="310">
        <v>67</v>
      </c>
      <c r="B156" s="311" t="s">
        <v>757</v>
      </c>
      <c r="C156" s="315" t="s">
        <v>276</v>
      </c>
      <c r="D156" s="315" t="s">
        <v>747</v>
      </c>
      <c r="E156" s="315" t="s">
        <v>238</v>
      </c>
      <c r="F156" s="332" t="s">
        <v>758</v>
      </c>
      <c r="G156" s="332" t="s">
        <v>759</v>
      </c>
      <c r="H156" s="333" t="s">
        <v>1135</v>
      </c>
      <c r="I156" s="320" t="s">
        <v>474</v>
      </c>
      <c r="J156" s="320" t="s">
        <v>474</v>
      </c>
      <c r="K156" s="320" t="s">
        <v>474</v>
      </c>
      <c r="L156" s="320" t="s">
        <v>474</v>
      </c>
      <c r="M156" s="315" t="s">
        <v>239</v>
      </c>
      <c r="N156" s="315"/>
      <c r="O156" s="321">
        <v>365</v>
      </c>
      <c r="P156" s="322" t="str">
        <f t="shared" ref="P156" si="463">IF(O156&lt;=0,"",IF(O156&lt;=2,"Muy Baja",IF(O156&lt;=24,"Baja",IF(O156&lt;=500,"Media",IF(O156&lt;=5000,"Alta","Muy Alta")))))</f>
        <v>Media</v>
      </c>
      <c r="Q156" s="323">
        <f t="shared" ref="Q156" si="464">IF(P156="","",IF(P156="Muy Baja",0.2,IF(P156="Baja",0.4,IF(P156="Media",0.6,IF(P156="Alta",0.8,IF(P156="Muy Alta",1,))))))</f>
        <v>0.6</v>
      </c>
      <c r="R156" s="323" t="s">
        <v>190</v>
      </c>
      <c r="S156" s="323" t="str">
        <f ca="1">IF(NOT(ISERROR(MATCH(R156,'Tabla Impacto'!$B$221:$B$223,0))),'Tabla Impacto'!$F$223&amp;"Por favor no seleccionar los criterios de impacto(Afectación Económica o presupuestal y Pérdida Reputacional)",R156)</f>
        <v>El riesgo afecta la imagen de la entidad con algunos usuarios de relevancia frente al logro de los objetivos</v>
      </c>
      <c r="T156" s="322" t="str">
        <f ca="1">+IF(OR(S156='[1]Tabla Impacto'!$C$11,S156='[1]Tabla Impacto'!$D$11),"Leve",IF(OR(S156='[1]Tabla Impacto'!$C$12,S156='[1]Tabla Impacto'!$D$12),"Menor",IF(OR(S156='[1]Tabla Impacto'!$C$13,S156='[1]Tabla Impacto'!$D$13),"Moderado",IF(OR(S156='[1]Tabla Impacto'!$C$14,S156='[1]Tabla Impacto'!$D$14),"Mayor",IF(OR(S156='[1]Tabla Impacto'!$C$15,S156='[1]Tabla Impacto'!$D$15),"Catastrófico","")))))</f>
        <v>Moderado</v>
      </c>
      <c r="U156" s="323">
        <f t="shared" ref="U156" ca="1" si="465">IF(T156="","",IF(T156="Leve",0.2,IF(T156="Menor",0.4,IF(T156="Moderado",0.6,IF(T156="Mayor",0.8,IF(T156="Catastrófico",1,))))))</f>
        <v>0.6</v>
      </c>
      <c r="V156" s="309" t="str">
        <f t="shared" ref="V156" ca="1" si="466">IF(OR(AND(P156="Muy Baja",T156="Leve"),AND(P156="Muy Baja",T156="Menor"),AND(P156="Baja",T156="Leve")),"Bajo",IF(OR(AND(P156="Muy baja",T156="Moderado"),AND(P156="Baja",T156="Menor"),AND(P156="Baja",T156="Moderado"),AND(P156="Media",T156="Leve"),AND(P156="Media",T156="Menor"),AND(P156="Media",T156="Moderado"),AND(P156="Alta",T156="Leve"),AND(P156="Alta",T156="Menor")),"Moderado",IF(OR(AND(P156="Muy Baja",T156="Mayor"),AND(P156="Baja",T156="Mayor"),AND(P156="Media",T156="Mayor"),AND(P156="Alta",T156="Moderado"),AND(P156="Alta",T156="Mayor"),AND(P156="Muy Alta",T156="Leve"),AND(P156="Muy Alta",T156="Menor"),AND(P156="Muy Alta",T156="Moderado"),AND(P156="Muy Alta",T156="Mayor")),"Alto",IF(OR(AND(P156="Muy Baja",T156="Catastrófico"),AND(P156="Baja",T156="Catastrófico"),AND(P156="Media",T156="Catastrófico"),AND(P156="Alta",T156="Catastrófico"),AND(P156="Muy Alta",T156="Catastrófico")),"Extremo",""))))</f>
        <v>Moderado</v>
      </c>
      <c r="W156" s="252">
        <v>1</v>
      </c>
      <c r="X156" s="207" t="s">
        <v>760</v>
      </c>
      <c r="Y156" s="250" t="str">
        <f t="shared" si="431"/>
        <v>Probabilidad</v>
      </c>
      <c r="Z156" s="185" t="s">
        <v>208</v>
      </c>
      <c r="AA156" s="185" t="s">
        <v>216</v>
      </c>
      <c r="AB156" s="186" t="str">
        <f t="shared" si="396"/>
        <v>40%</v>
      </c>
      <c r="AC156" s="185" t="s">
        <v>219</v>
      </c>
      <c r="AD156" s="185" t="s">
        <v>224</v>
      </c>
      <c r="AE156" s="185" t="s">
        <v>228</v>
      </c>
      <c r="AF156" s="187">
        <f t="shared" ref="AF156" si="467">IFERROR(IF(Y156="Probabilidad",(Q156-(+Q156*AB156)),IF(Y156="Impacto",Q156,"")),"")</f>
        <v>0.36</v>
      </c>
      <c r="AG156" s="188" t="str">
        <f t="shared" si="433"/>
        <v>Baja</v>
      </c>
      <c r="AH156" s="186">
        <f t="shared" si="434"/>
        <v>0.36</v>
      </c>
      <c r="AI156" s="188" t="str">
        <f t="shared" ca="1" si="435"/>
        <v>Moderado</v>
      </c>
      <c r="AJ156" s="186">
        <f t="shared" ref="AJ156" ca="1" si="468">IFERROR(IF(Y156="Impacto",(U156-(+U156*AB156)),IF(Y156="Probabilidad",U156,"")),"")</f>
        <v>0.6</v>
      </c>
      <c r="AK156" s="189" t="str">
        <f t="shared" ca="1" si="437"/>
        <v>Moderado</v>
      </c>
      <c r="AL156" s="185" t="s">
        <v>255</v>
      </c>
      <c r="AM156" s="246"/>
      <c r="AN156" s="250"/>
      <c r="AO156" s="245"/>
      <c r="AP156" s="245"/>
      <c r="AQ156" s="246"/>
      <c r="AR156" s="247"/>
    </row>
    <row r="157" spans="1:44" s="191" customFormat="1" ht="116.25" customHeight="1" thickTop="1" thickBot="1" x14ac:dyDescent="0.3">
      <c r="A157" s="310"/>
      <c r="B157" s="311"/>
      <c r="C157" s="315"/>
      <c r="D157" s="315"/>
      <c r="E157" s="315"/>
      <c r="F157" s="332"/>
      <c r="G157" s="332"/>
      <c r="H157" s="333"/>
      <c r="I157" s="320"/>
      <c r="J157" s="320"/>
      <c r="K157" s="320"/>
      <c r="L157" s="320"/>
      <c r="M157" s="315"/>
      <c r="N157" s="315"/>
      <c r="O157" s="321"/>
      <c r="P157" s="322"/>
      <c r="Q157" s="323"/>
      <c r="R157" s="323"/>
      <c r="S157" s="323">
        <f ca="1">IF(NOT(ISERROR(MATCH(R157,_xlfn.ANCHORARRAY(#REF!),0))),#REF!&amp;"Por favor no seleccionar los criterios de impacto",R157)</f>
        <v>0</v>
      </c>
      <c r="T157" s="322"/>
      <c r="U157" s="323"/>
      <c r="V157" s="309"/>
      <c r="W157" s="252">
        <v>2</v>
      </c>
      <c r="X157" s="207" t="s">
        <v>761</v>
      </c>
      <c r="Y157" s="250" t="str">
        <f t="shared" si="431"/>
        <v>Probabilidad</v>
      </c>
      <c r="Z157" s="185" t="s">
        <v>208</v>
      </c>
      <c r="AA157" s="185" t="s">
        <v>216</v>
      </c>
      <c r="AB157" s="186" t="str">
        <f t="shared" si="396"/>
        <v>40%</v>
      </c>
      <c r="AC157" s="185" t="s">
        <v>219</v>
      </c>
      <c r="AD157" s="185" t="s">
        <v>224</v>
      </c>
      <c r="AE157" s="185" t="s">
        <v>228</v>
      </c>
      <c r="AF157" s="187">
        <f t="shared" ref="AF157" si="469">IFERROR(IF(AND(Y156="Probabilidad",Y157="Probabilidad"),(AH156-(+AH156*AB157)),IF(Y157="Probabilidad",(Q156-(+Q156*AB157)),IF(Y157="Impacto",AH156,""))),"")</f>
        <v>0.216</v>
      </c>
      <c r="AG157" s="188" t="str">
        <f t="shared" si="433"/>
        <v>Baja</v>
      </c>
      <c r="AH157" s="186">
        <f t="shared" si="434"/>
        <v>0.216</v>
      </c>
      <c r="AI157" s="188" t="str">
        <f t="shared" ca="1" si="435"/>
        <v>Moderado</v>
      </c>
      <c r="AJ157" s="186">
        <f t="shared" ref="AJ157" ca="1" si="470">IFERROR(IF(AND(Y156="Impacto",Y157="Impacto"),(AJ156-(+AJ156*AB157)),IF(Y157="Impacto",(U156-(+U156*AB157)),IF(Y157="Probabilidad",AJ156,""))),"")</f>
        <v>0.6</v>
      </c>
      <c r="AK157" s="189" t="str">
        <f t="shared" ca="1" si="437"/>
        <v>Moderado</v>
      </c>
      <c r="AL157" s="185" t="s">
        <v>255</v>
      </c>
      <c r="AM157" s="246"/>
      <c r="AN157" s="250"/>
      <c r="AO157" s="245"/>
      <c r="AP157" s="245"/>
      <c r="AQ157" s="246"/>
      <c r="AR157" s="247"/>
    </row>
    <row r="158" spans="1:44" s="191" customFormat="1" ht="289.5" customHeight="1" thickTop="1" thickBot="1" x14ac:dyDescent="0.3">
      <c r="A158" s="235">
        <v>68</v>
      </c>
      <c r="B158" s="263" t="s">
        <v>769</v>
      </c>
      <c r="C158" s="215" t="s">
        <v>276</v>
      </c>
      <c r="D158" s="215" t="s">
        <v>949</v>
      </c>
      <c r="E158" s="215" t="s">
        <v>240</v>
      </c>
      <c r="F158" s="216" t="s">
        <v>770</v>
      </c>
      <c r="G158" s="216" t="s">
        <v>771</v>
      </c>
      <c r="H158" s="217" t="s">
        <v>1136</v>
      </c>
      <c r="I158" s="238" t="s">
        <v>474</v>
      </c>
      <c r="J158" s="238" t="s">
        <v>474</v>
      </c>
      <c r="K158" s="238" t="s">
        <v>474</v>
      </c>
      <c r="L158" s="238" t="s">
        <v>474</v>
      </c>
      <c r="M158" s="236" t="s">
        <v>239</v>
      </c>
      <c r="N158" s="236"/>
      <c r="O158" s="239">
        <v>2</v>
      </c>
      <c r="P158" s="240" t="str">
        <f t="shared" ref="P158:P171" si="471">IF(O158&lt;=0,"",IF(O158&lt;=2,"Muy Baja",IF(O158&lt;=24,"Baja",IF(O158&lt;=500,"Media",IF(O158&lt;=5000,"Alta","Muy Alta")))))</f>
        <v>Muy Baja</v>
      </c>
      <c r="Q158" s="241">
        <f t="shared" ref="Q158:Q171" si="472">IF(P158="","",IF(P158="Muy Baja",0.2,IF(P158="Baja",0.4,IF(P158="Media",0.6,IF(P158="Alta",0.8,IF(P158="Muy Alta",1,))))))</f>
        <v>0.2</v>
      </c>
      <c r="R158" s="241" t="s">
        <v>190</v>
      </c>
      <c r="S158" s="241" t="str">
        <f ca="1">IF(NOT(ISERROR(MATCH(R158,'Tabla Impacto'!$B$221:$B$223,0))),'Tabla Impacto'!$F$223&amp;"Por favor no seleccionar los criterios de impacto(Afectación Económica o presupuestal y Pérdida Reputacional)",R158)</f>
        <v>El riesgo afecta la imagen de la entidad con algunos usuarios de relevancia frente al logro de los objetivos</v>
      </c>
      <c r="T158" s="240" t="str">
        <f ca="1">+IF(OR(S158='[1]Tabla Impacto'!$C$11,S158='[1]Tabla Impacto'!$D$11),"Leve",IF(OR(S158='[1]Tabla Impacto'!$C$12,S158='[1]Tabla Impacto'!$D$12),"Menor",IF(OR(S158='[1]Tabla Impacto'!$C$13,S158='[1]Tabla Impacto'!$D$13),"Moderado",IF(OR(S158='[1]Tabla Impacto'!$C$14,S158='[1]Tabla Impacto'!$D$14),"Mayor",IF(OR(S158='[1]Tabla Impacto'!$C$15,S158='[1]Tabla Impacto'!$D$15),"Catastrófico","")))))</f>
        <v>Moderado</v>
      </c>
      <c r="U158" s="241">
        <f t="shared" ref="U158" ca="1" si="473">IF(T158="","",IF(T158="Leve",0.2,IF(T158="Menor",0.4,IF(T158="Moderado",0.6,IF(T158="Mayor",0.8,IF(T158="Catastrófico",1,))))))</f>
        <v>0.6</v>
      </c>
      <c r="V158" s="260" t="str">
        <f t="shared" ref="V158" ca="1" si="474">IF(OR(AND(P158="Muy Baja",T158="Leve"),AND(P158="Muy Baja",T158="Menor"),AND(P158="Baja",T158="Leve")),"Bajo",IF(OR(AND(P158="Muy baja",T158="Moderado"),AND(P158="Baja",T158="Menor"),AND(P158="Baja",T158="Moderado"),AND(P158="Media",T158="Leve"),AND(P158="Media",T158="Menor"),AND(P158="Media",T158="Moderado"),AND(P158="Alta",T158="Leve"),AND(P158="Alta",T158="Menor")),"Moderado",IF(OR(AND(P158="Muy Baja",T158="Mayor"),AND(P158="Baja",T158="Mayor"),AND(P158="Media",T158="Mayor"),AND(P158="Alta",T158="Moderado"),AND(P158="Alta",T158="Mayor"),AND(P158="Muy Alta",T158="Leve"),AND(P158="Muy Alta",T158="Menor"),AND(P158="Muy Alta",T158="Moderado"),AND(P158="Muy Alta",T158="Mayor")),"Alto",IF(OR(AND(P158="Muy Baja",T158="Catastrófico"),AND(P158="Baja",T158="Catastrófico"),AND(P158="Media",T158="Catastrófico"),AND(P158="Alta",T158="Catastrófico"),AND(P158="Muy Alta",T158="Catastrófico")),"Extremo",""))))</f>
        <v>Moderado</v>
      </c>
      <c r="W158" s="252">
        <v>1</v>
      </c>
      <c r="X158" s="207" t="s">
        <v>772</v>
      </c>
      <c r="Y158" s="250" t="str">
        <f t="shared" si="431"/>
        <v>Probabilidad</v>
      </c>
      <c r="Z158" s="185" t="s">
        <v>208</v>
      </c>
      <c r="AA158" s="185" t="s">
        <v>216</v>
      </c>
      <c r="AB158" s="186" t="str">
        <f t="shared" ref="AB158:AB184" si="475">IF(AND(Z158="Preventivo",AA158="Automático"),"50%",IF(AND(Z158="Preventivo",AA158="Manual"),"40%",IF(AND(Z158="Detectivo",AA158="Automático"),"40%",IF(AND(Z158="Detectivo",AA158="Manual"),"30%",IF(AND(Z158="Correctivo",AA158="Automático"),"35%",IF(AND(Z158="Correctivo",AA158="Manual"),"25%",""))))))</f>
        <v>40%</v>
      </c>
      <c r="AC158" s="185" t="s">
        <v>219</v>
      </c>
      <c r="AD158" s="185" t="s">
        <v>224</v>
      </c>
      <c r="AE158" s="185" t="s">
        <v>228</v>
      </c>
      <c r="AF158" s="187">
        <f t="shared" ref="AF158" si="476">IFERROR(IF(Y158="Probabilidad",(Q158-(+Q158*AB158)),IF(Y158="Impacto",Q158,"")),"")</f>
        <v>0.12</v>
      </c>
      <c r="AG158" s="188" t="str">
        <f t="shared" si="433"/>
        <v>Muy Baja</v>
      </c>
      <c r="AH158" s="186">
        <f t="shared" si="434"/>
        <v>0.12</v>
      </c>
      <c r="AI158" s="188" t="str">
        <f t="shared" ca="1" si="435"/>
        <v>Moderado</v>
      </c>
      <c r="AJ158" s="186">
        <f t="shared" ref="AJ158" ca="1" si="477">IFERROR(IF(Y158="Impacto",(U158-(+U158*AB158)),IF(Y158="Probabilidad",U158,"")),"")</f>
        <v>0.6</v>
      </c>
      <c r="AK158" s="189" t="str">
        <f t="shared" ca="1" si="437"/>
        <v>Moderado</v>
      </c>
      <c r="AL158" s="185" t="s">
        <v>255</v>
      </c>
      <c r="AM158" s="246"/>
      <c r="AN158" s="250"/>
      <c r="AO158" s="245"/>
      <c r="AP158" s="245"/>
      <c r="AQ158" s="246"/>
      <c r="AR158" s="247"/>
    </row>
    <row r="159" spans="1:44" s="191" customFormat="1" ht="251.25" customHeight="1" thickTop="1" thickBot="1" x14ac:dyDescent="0.3">
      <c r="A159" s="310">
        <v>69</v>
      </c>
      <c r="B159" s="311" t="s">
        <v>773</v>
      </c>
      <c r="C159" s="317" t="s">
        <v>276</v>
      </c>
      <c r="D159" s="317" t="s">
        <v>774</v>
      </c>
      <c r="E159" s="317" t="s">
        <v>240</v>
      </c>
      <c r="F159" s="318" t="s">
        <v>775</v>
      </c>
      <c r="G159" s="318" t="s">
        <v>1072</v>
      </c>
      <c r="H159" s="319" t="s">
        <v>776</v>
      </c>
      <c r="I159" s="320" t="s">
        <v>474</v>
      </c>
      <c r="J159" s="320" t="s">
        <v>474</v>
      </c>
      <c r="K159" s="320" t="s">
        <v>474</v>
      </c>
      <c r="L159" s="320" t="s">
        <v>474</v>
      </c>
      <c r="M159" s="315" t="s">
        <v>241</v>
      </c>
      <c r="N159" s="315"/>
      <c r="O159" s="321">
        <v>365</v>
      </c>
      <c r="P159" s="322" t="str">
        <f t="shared" si="471"/>
        <v>Media</v>
      </c>
      <c r="Q159" s="323">
        <f t="shared" si="472"/>
        <v>0.6</v>
      </c>
      <c r="R159" s="323" t="s">
        <v>190</v>
      </c>
      <c r="S159" s="323" t="str">
        <f ca="1">IF(NOT(ISERROR(MATCH(R159,'Tabla Impacto'!$B$221:$B$223,0))),'Tabla Impacto'!$F$223&amp;"Por favor no seleccionar los criterios de impacto(Afectación Económica o presupuestal y Pérdida Reputacional)",R159)</f>
        <v>El riesgo afecta la imagen de la entidad con algunos usuarios de relevancia frente al logro de los objetivos</v>
      </c>
      <c r="T159" s="322" t="str">
        <f ca="1">+IF(OR(S159='[1]Tabla Impacto'!$C$11,S159='[1]Tabla Impacto'!$D$11),"Leve",IF(OR(S159='[1]Tabla Impacto'!$C$12,S159='[1]Tabla Impacto'!$D$12),"Menor",IF(OR(S159='[1]Tabla Impacto'!$C$13,S159='[1]Tabla Impacto'!$D$13),"Moderado",IF(OR(S159='[1]Tabla Impacto'!$C$14,S159='[1]Tabla Impacto'!$D$14),"Mayor",IF(OR(S159='[1]Tabla Impacto'!$C$15,S159='[1]Tabla Impacto'!$D$15),"Catastrófico","")))))</f>
        <v>Moderado</v>
      </c>
      <c r="U159" s="323">
        <f t="shared" ref="U159" ca="1" si="478">IF(T159="","",IF(T159="Leve",0.2,IF(T159="Menor",0.4,IF(T159="Moderado",0.6,IF(T159="Mayor",0.8,IF(T159="Catastrófico",1,))))))</f>
        <v>0.6</v>
      </c>
      <c r="V159" s="309" t="str">
        <f t="shared" ref="V159" ca="1" si="479">IF(OR(AND(P159="Muy Baja",T159="Leve"),AND(P159="Muy Baja",T159="Menor"),AND(P159="Baja",T159="Leve")),"Bajo",IF(OR(AND(P159="Muy baja",T159="Moderado"),AND(P159="Baja",T159="Menor"),AND(P159="Baja",T159="Moderado"),AND(P159="Media",T159="Leve"),AND(P159="Media",T159="Menor"),AND(P159="Media",T159="Moderado"),AND(P159="Alta",T159="Leve"),AND(P159="Alta",T159="Menor")),"Moderado",IF(OR(AND(P159="Muy Baja",T159="Mayor"),AND(P159="Baja",T159="Mayor"),AND(P159="Media",T159="Mayor"),AND(P159="Alta",T159="Moderado"),AND(P159="Alta",T159="Mayor"),AND(P159="Muy Alta",T159="Leve"),AND(P159="Muy Alta",T159="Menor"),AND(P159="Muy Alta",T159="Moderado"),AND(P159="Muy Alta",T159="Mayor")),"Alto",IF(OR(AND(P159="Muy Baja",T159="Catastrófico"),AND(P159="Baja",T159="Catastrófico"),AND(P159="Media",T159="Catastrófico"),AND(P159="Alta",T159="Catastrófico"),AND(P159="Muy Alta",T159="Catastrófico")),"Extremo",""))))</f>
        <v>Moderado</v>
      </c>
      <c r="W159" s="252">
        <v>1</v>
      </c>
      <c r="X159" s="207" t="s">
        <v>1224</v>
      </c>
      <c r="Y159" s="250" t="str">
        <f t="shared" si="431"/>
        <v>Probabilidad</v>
      </c>
      <c r="Z159" s="185" t="s">
        <v>208</v>
      </c>
      <c r="AA159" s="185" t="s">
        <v>216</v>
      </c>
      <c r="AB159" s="186" t="str">
        <f t="shared" si="475"/>
        <v>40%</v>
      </c>
      <c r="AC159" s="185" t="s">
        <v>219</v>
      </c>
      <c r="AD159" s="185" t="s">
        <v>224</v>
      </c>
      <c r="AE159" s="185" t="s">
        <v>228</v>
      </c>
      <c r="AF159" s="187">
        <f t="shared" ref="AF159" si="480">IFERROR(IF(Y159="Probabilidad",(Q159-(+Q159*AB159)),IF(Y159="Impacto",Q159,"")),"")</f>
        <v>0.36</v>
      </c>
      <c r="AG159" s="188" t="str">
        <f t="shared" si="433"/>
        <v>Baja</v>
      </c>
      <c r="AH159" s="186">
        <f t="shared" si="434"/>
        <v>0.36</v>
      </c>
      <c r="AI159" s="188" t="str">
        <f t="shared" ca="1" si="435"/>
        <v>Moderado</v>
      </c>
      <c r="AJ159" s="186">
        <f t="shared" ref="AJ159" ca="1" si="481">IFERROR(IF(Y159="Impacto",(U159-(+U159*AB159)),IF(Y159="Probabilidad",U159,"")),"")</f>
        <v>0.6</v>
      </c>
      <c r="AK159" s="189" t="str">
        <f t="shared" ca="1" si="437"/>
        <v>Moderado</v>
      </c>
      <c r="AL159" s="185" t="s">
        <v>255</v>
      </c>
      <c r="AM159" s="246"/>
      <c r="AN159" s="250"/>
      <c r="AO159" s="245"/>
      <c r="AP159" s="245"/>
      <c r="AQ159" s="246"/>
      <c r="AR159" s="247"/>
    </row>
    <row r="160" spans="1:44" s="191" customFormat="1" ht="171" customHeight="1" thickTop="1" thickBot="1" x14ac:dyDescent="0.3">
      <c r="A160" s="310"/>
      <c r="B160" s="311"/>
      <c r="C160" s="317"/>
      <c r="D160" s="317"/>
      <c r="E160" s="317"/>
      <c r="F160" s="318"/>
      <c r="G160" s="318"/>
      <c r="H160" s="319"/>
      <c r="I160" s="320"/>
      <c r="J160" s="320"/>
      <c r="K160" s="320"/>
      <c r="L160" s="320"/>
      <c r="M160" s="315"/>
      <c r="N160" s="315"/>
      <c r="O160" s="321"/>
      <c r="P160" s="322"/>
      <c r="Q160" s="323"/>
      <c r="R160" s="323"/>
      <c r="S160" s="323">
        <f ca="1">IF(NOT(ISERROR(MATCH(R160,_xlfn.ANCHORARRAY(H165),0))),#REF!&amp;"Por favor no seleccionar los criterios de impacto",R160)</f>
        <v>0</v>
      </c>
      <c r="T160" s="322"/>
      <c r="U160" s="323"/>
      <c r="V160" s="309"/>
      <c r="W160" s="252">
        <v>2</v>
      </c>
      <c r="X160" s="207" t="s">
        <v>1225</v>
      </c>
      <c r="Y160" s="250" t="str">
        <f t="shared" si="431"/>
        <v>Probabilidad</v>
      </c>
      <c r="Z160" s="185" t="s">
        <v>208</v>
      </c>
      <c r="AA160" s="185" t="s">
        <v>216</v>
      </c>
      <c r="AB160" s="186" t="str">
        <f t="shared" si="475"/>
        <v>40%</v>
      </c>
      <c r="AC160" s="185" t="s">
        <v>219</v>
      </c>
      <c r="AD160" s="185" t="s">
        <v>224</v>
      </c>
      <c r="AE160" s="185" t="s">
        <v>228</v>
      </c>
      <c r="AF160" s="187">
        <f t="shared" ref="AF160" si="482">IFERROR(IF(AND(Y159="Probabilidad",Y160="Probabilidad"),(AH159-(+AH159*AB160)),IF(Y160="Probabilidad",(Q159-(+Q159*AB160)),IF(Y160="Impacto",AH159,""))),"")</f>
        <v>0.216</v>
      </c>
      <c r="AG160" s="188" t="str">
        <f t="shared" si="433"/>
        <v>Baja</v>
      </c>
      <c r="AH160" s="186">
        <f t="shared" si="434"/>
        <v>0.216</v>
      </c>
      <c r="AI160" s="188" t="str">
        <f t="shared" ca="1" si="435"/>
        <v>Moderado</v>
      </c>
      <c r="AJ160" s="186">
        <f t="shared" ref="AJ160" ca="1" si="483">IFERROR(IF(AND(Y159="Impacto",Y160="Impacto"),(AJ159-(+AJ159*AB160)),IF(Y160="Impacto",(U159-(+U159*AB160)),IF(Y160="Probabilidad",AJ159,""))),"")</f>
        <v>0.6</v>
      </c>
      <c r="AK160" s="189" t="str">
        <f t="shared" ca="1" si="437"/>
        <v>Moderado</v>
      </c>
      <c r="AL160" s="185" t="s">
        <v>255</v>
      </c>
      <c r="AM160" s="246"/>
      <c r="AN160" s="250"/>
      <c r="AO160" s="245"/>
      <c r="AP160" s="245"/>
      <c r="AQ160" s="246"/>
      <c r="AR160" s="247"/>
    </row>
    <row r="161" spans="1:44" s="191" customFormat="1" ht="134.25" customHeight="1" thickTop="1" thickBot="1" x14ac:dyDescent="0.3">
      <c r="A161" s="310">
        <v>70</v>
      </c>
      <c r="B161" s="311" t="s">
        <v>777</v>
      </c>
      <c r="C161" s="317" t="s">
        <v>276</v>
      </c>
      <c r="D161" s="317" t="s">
        <v>774</v>
      </c>
      <c r="E161" s="317" t="s">
        <v>236</v>
      </c>
      <c r="F161" s="318" t="s">
        <v>778</v>
      </c>
      <c r="G161" s="318" t="s">
        <v>779</v>
      </c>
      <c r="H161" s="319" t="s">
        <v>1137</v>
      </c>
      <c r="I161" s="320" t="s">
        <v>474</v>
      </c>
      <c r="J161" s="320" t="s">
        <v>474</v>
      </c>
      <c r="K161" s="320" t="s">
        <v>474</v>
      </c>
      <c r="L161" s="320" t="s">
        <v>474</v>
      </c>
      <c r="M161" s="315" t="s">
        <v>241</v>
      </c>
      <c r="N161" s="315"/>
      <c r="O161" s="321">
        <v>365</v>
      </c>
      <c r="P161" s="322" t="str">
        <f t="shared" si="471"/>
        <v>Media</v>
      </c>
      <c r="Q161" s="323">
        <f t="shared" si="472"/>
        <v>0.6</v>
      </c>
      <c r="R161" s="323" t="s">
        <v>186</v>
      </c>
      <c r="S161" s="323" t="str">
        <f ca="1">IF(NOT(ISERROR(MATCH(R161,'Tabla Impacto'!$B$221:$B$223,0))),'Tabla Impacto'!$F$223&amp;"Por favor no seleccionar los criterios de impacto(Afectación Económica o presupuestal y Pérdida Reputacional)",R161)</f>
        <v xml:space="preserve">Entre 10 y 50 SMLMV </v>
      </c>
      <c r="T161" s="322" t="str">
        <f ca="1">+IF(OR(S161='[1]Tabla Impacto'!$C$11,S161='[1]Tabla Impacto'!$D$11),"Leve",IF(OR(S161='[1]Tabla Impacto'!$C$12,S161='[1]Tabla Impacto'!$D$12),"Menor",IF(OR(S161='[1]Tabla Impacto'!$C$13,S161='[1]Tabla Impacto'!$D$13),"Moderado",IF(OR(S161='[1]Tabla Impacto'!$C$14,S161='[1]Tabla Impacto'!$D$14),"Mayor",IF(OR(S161='[1]Tabla Impacto'!$C$15,S161='[1]Tabla Impacto'!$D$15),"Catastrófico","")))))</f>
        <v>Menor</v>
      </c>
      <c r="U161" s="323">
        <f t="shared" ref="U161" ca="1" si="484">IF(T161="","",IF(T161="Leve",0.2,IF(T161="Menor",0.4,IF(T161="Moderado",0.6,IF(T161="Mayor",0.8,IF(T161="Catastrófico",1,))))))</f>
        <v>0.4</v>
      </c>
      <c r="V161" s="309" t="str">
        <f t="shared" ref="V161" ca="1" si="485">IF(OR(AND(P161="Muy Baja",T161="Leve"),AND(P161="Muy Baja",T161="Menor"),AND(P161="Baja",T161="Leve")),"Bajo",IF(OR(AND(P161="Muy baja",T161="Moderado"),AND(P161="Baja",T161="Menor"),AND(P161="Baja",T161="Moderado"),AND(P161="Media",T161="Leve"),AND(P161="Media",T161="Menor"),AND(P161="Media",T161="Moderado"),AND(P161="Alta",T161="Leve"),AND(P161="Alta",T161="Menor")),"Moderado",IF(OR(AND(P161="Muy Baja",T161="Mayor"),AND(P161="Baja",T161="Mayor"),AND(P161="Media",T161="Mayor"),AND(P161="Alta",T161="Moderado"),AND(P161="Alta",T161="Mayor"),AND(P161="Muy Alta",T161="Leve"),AND(P161="Muy Alta",T161="Menor"),AND(P161="Muy Alta",T161="Moderado"),AND(P161="Muy Alta",T161="Mayor")),"Alto",IF(OR(AND(P161="Muy Baja",T161="Catastrófico"),AND(P161="Baja",T161="Catastrófico"),AND(P161="Media",T161="Catastrófico"),AND(P161="Alta",T161="Catastrófico"),AND(P161="Muy Alta",T161="Catastrófico")),"Extremo",""))))</f>
        <v>Moderado</v>
      </c>
      <c r="W161" s="252">
        <v>1</v>
      </c>
      <c r="X161" s="207" t="s">
        <v>780</v>
      </c>
      <c r="Y161" s="250" t="str">
        <f t="shared" si="431"/>
        <v>Probabilidad</v>
      </c>
      <c r="Z161" s="185" t="s">
        <v>208</v>
      </c>
      <c r="AA161" s="185" t="s">
        <v>216</v>
      </c>
      <c r="AB161" s="186" t="str">
        <f t="shared" si="475"/>
        <v>40%</v>
      </c>
      <c r="AC161" s="185" t="s">
        <v>219</v>
      </c>
      <c r="AD161" s="185" t="s">
        <v>224</v>
      </c>
      <c r="AE161" s="185" t="s">
        <v>228</v>
      </c>
      <c r="AF161" s="187">
        <f t="shared" ref="AF161" si="486">IFERROR(IF(Y161="Probabilidad",(Q161-(+Q161*AB161)),IF(Y161="Impacto",Q161,"")),"")</f>
        <v>0.36</v>
      </c>
      <c r="AG161" s="188" t="str">
        <f t="shared" si="433"/>
        <v>Baja</v>
      </c>
      <c r="AH161" s="186">
        <f t="shared" si="434"/>
        <v>0.36</v>
      </c>
      <c r="AI161" s="188" t="str">
        <f t="shared" ca="1" si="435"/>
        <v>Menor</v>
      </c>
      <c r="AJ161" s="186">
        <f t="shared" ref="AJ161" ca="1" si="487">IFERROR(IF(Y161="Impacto",(U161-(+U161*AB161)),IF(Y161="Probabilidad",U161,"")),"")</f>
        <v>0.4</v>
      </c>
      <c r="AK161" s="189" t="str">
        <f t="shared" ca="1" si="437"/>
        <v>Moderado</v>
      </c>
      <c r="AL161" s="185" t="s">
        <v>255</v>
      </c>
      <c r="AM161" s="246"/>
      <c r="AN161" s="250"/>
      <c r="AO161" s="245"/>
      <c r="AP161" s="245"/>
      <c r="AQ161" s="246"/>
      <c r="AR161" s="247"/>
    </row>
    <row r="162" spans="1:44" s="191" customFormat="1" ht="157.5" customHeight="1" thickTop="1" thickBot="1" x14ac:dyDescent="0.3">
      <c r="A162" s="310"/>
      <c r="B162" s="311"/>
      <c r="C162" s="317"/>
      <c r="D162" s="317"/>
      <c r="E162" s="317"/>
      <c r="F162" s="318"/>
      <c r="G162" s="318"/>
      <c r="H162" s="319"/>
      <c r="I162" s="320"/>
      <c r="J162" s="320"/>
      <c r="K162" s="320"/>
      <c r="L162" s="320"/>
      <c r="M162" s="315"/>
      <c r="N162" s="315"/>
      <c r="O162" s="321"/>
      <c r="P162" s="322"/>
      <c r="Q162" s="323"/>
      <c r="R162" s="323"/>
      <c r="S162" s="323">
        <f ca="1">IF(NOT(ISERROR(MATCH(R162,_xlfn.ANCHORARRAY(H167),0))),Q169&amp;"Por favor no seleccionar los criterios de impacto",R162)</f>
        <v>0</v>
      </c>
      <c r="T162" s="322"/>
      <c r="U162" s="323"/>
      <c r="V162" s="309"/>
      <c r="W162" s="252">
        <v>2</v>
      </c>
      <c r="X162" s="207" t="s">
        <v>781</v>
      </c>
      <c r="Y162" s="250" t="str">
        <f t="shared" si="431"/>
        <v>Probabilidad</v>
      </c>
      <c r="Z162" s="185" t="s">
        <v>208</v>
      </c>
      <c r="AA162" s="185" t="s">
        <v>216</v>
      </c>
      <c r="AB162" s="186" t="str">
        <f t="shared" si="475"/>
        <v>40%</v>
      </c>
      <c r="AC162" s="185" t="s">
        <v>219</v>
      </c>
      <c r="AD162" s="185" t="s">
        <v>224</v>
      </c>
      <c r="AE162" s="185" t="s">
        <v>228</v>
      </c>
      <c r="AF162" s="187">
        <f t="shared" ref="AF162:AF164" si="488">IFERROR(IF(AND(Y161="Probabilidad",Y162="Probabilidad"),(AH161-(+AH161*AB162)),IF(Y162="Probabilidad",(Q161-(+Q161*AB162)),IF(Y162="Impacto",AH161,""))),"")</f>
        <v>0.216</v>
      </c>
      <c r="AG162" s="188" t="str">
        <f t="shared" si="433"/>
        <v>Baja</v>
      </c>
      <c r="AH162" s="186">
        <f t="shared" si="434"/>
        <v>0.216</v>
      </c>
      <c r="AI162" s="188" t="str">
        <f t="shared" ca="1" si="435"/>
        <v>Menor</v>
      </c>
      <c r="AJ162" s="186">
        <f t="shared" ref="AJ162" ca="1" si="489">IFERROR(IF(AND(Y161="Impacto",Y162="Impacto"),(AJ161-(+AJ161*AB162)),IF(Y162="Impacto",(U161-(+U161*AB162)),IF(Y162="Probabilidad",AJ161,""))),"")</f>
        <v>0.4</v>
      </c>
      <c r="AK162" s="189" t="str">
        <f t="shared" ca="1" si="437"/>
        <v>Moderado</v>
      </c>
      <c r="AL162" s="185" t="s">
        <v>255</v>
      </c>
      <c r="AM162" s="246"/>
      <c r="AN162" s="250"/>
      <c r="AO162" s="245"/>
      <c r="AP162" s="245"/>
      <c r="AQ162" s="246"/>
      <c r="AR162" s="247"/>
    </row>
    <row r="163" spans="1:44" s="191" customFormat="1" ht="115.5" customHeight="1" thickTop="1" thickBot="1" x14ac:dyDescent="0.3">
      <c r="A163" s="310"/>
      <c r="B163" s="311"/>
      <c r="C163" s="317"/>
      <c r="D163" s="317"/>
      <c r="E163" s="317"/>
      <c r="F163" s="318"/>
      <c r="G163" s="318"/>
      <c r="H163" s="319"/>
      <c r="I163" s="320"/>
      <c r="J163" s="320"/>
      <c r="K163" s="320"/>
      <c r="L163" s="320"/>
      <c r="M163" s="315"/>
      <c r="N163" s="315"/>
      <c r="O163" s="321"/>
      <c r="P163" s="322"/>
      <c r="Q163" s="323"/>
      <c r="R163" s="323"/>
      <c r="S163" s="323">
        <f ca="1">IF(NOT(ISERROR(MATCH(R163,_xlfn.ANCHORARRAY(H168),0))),Q170&amp;"Por favor no seleccionar los criterios de impacto",R163)</f>
        <v>0</v>
      </c>
      <c r="T163" s="322"/>
      <c r="U163" s="323"/>
      <c r="V163" s="309"/>
      <c r="W163" s="252">
        <v>3</v>
      </c>
      <c r="X163" s="207" t="s">
        <v>782</v>
      </c>
      <c r="Y163" s="250" t="str">
        <f t="shared" si="431"/>
        <v>Probabilidad</v>
      </c>
      <c r="Z163" s="185" t="s">
        <v>208</v>
      </c>
      <c r="AA163" s="185" t="s">
        <v>216</v>
      </c>
      <c r="AB163" s="186" t="str">
        <f t="shared" si="475"/>
        <v>40%</v>
      </c>
      <c r="AC163" s="185" t="s">
        <v>219</v>
      </c>
      <c r="AD163" s="185" t="s">
        <v>224</v>
      </c>
      <c r="AE163" s="185" t="s">
        <v>228</v>
      </c>
      <c r="AF163" s="187">
        <f t="shared" si="488"/>
        <v>0.12959999999999999</v>
      </c>
      <c r="AG163" s="188" t="str">
        <f t="shared" si="433"/>
        <v>Muy Baja</v>
      </c>
      <c r="AH163" s="186">
        <f t="shared" si="434"/>
        <v>0.12959999999999999</v>
      </c>
      <c r="AI163" s="188" t="str">
        <f t="shared" ca="1" si="435"/>
        <v>Menor</v>
      </c>
      <c r="AJ163" s="186">
        <f t="shared" ref="AJ163:AJ164" ca="1" si="490">IFERROR(IF(AND(Y162="Impacto",Y163="Impacto"),(AJ162-(+AJ162*AB163)),IF(AND(Y162="Probabilidad",Y163="Impacto"),(AJ161-(+AJ161*AB163)),IF(Y163="Probabilidad",AJ162,""))),"")</f>
        <v>0.4</v>
      </c>
      <c r="AK163" s="189" t="str">
        <f t="shared" ca="1" si="437"/>
        <v>Bajo</v>
      </c>
      <c r="AL163" s="185" t="s">
        <v>255</v>
      </c>
      <c r="AM163" s="246"/>
      <c r="AN163" s="250"/>
      <c r="AO163" s="245"/>
      <c r="AP163" s="245"/>
      <c r="AQ163" s="246"/>
      <c r="AR163" s="247"/>
    </row>
    <row r="164" spans="1:44" s="191" customFormat="1" ht="132" customHeight="1" thickTop="1" thickBot="1" x14ac:dyDescent="0.3">
      <c r="A164" s="310"/>
      <c r="B164" s="311"/>
      <c r="C164" s="317"/>
      <c r="D164" s="317"/>
      <c r="E164" s="317"/>
      <c r="F164" s="318"/>
      <c r="G164" s="318"/>
      <c r="H164" s="319"/>
      <c r="I164" s="320"/>
      <c r="J164" s="320"/>
      <c r="K164" s="320"/>
      <c r="L164" s="320"/>
      <c r="M164" s="315"/>
      <c r="N164" s="315"/>
      <c r="O164" s="321"/>
      <c r="P164" s="322"/>
      <c r="Q164" s="323"/>
      <c r="R164" s="323"/>
      <c r="S164" s="323">
        <f ca="1">IF(NOT(ISERROR(MATCH(R164,_xlfn.ANCHORARRAY(H169),0))),#REF!&amp;"Por favor no seleccionar los criterios de impacto",R164)</f>
        <v>0</v>
      </c>
      <c r="T164" s="322"/>
      <c r="U164" s="323"/>
      <c r="V164" s="309"/>
      <c r="W164" s="252">
        <v>4</v>
      </c>
      <c r="X164" s="207" t="s">
        <v>783</v>
      </c>
      <c r="Y164" s="250" t="str">
        <f t="shared" si="431"/>
        <v>Probabilidad</v>
      </c>
      <c r="Z164" s="185" t="s">
        <v>208</v>
      </c>
      <c r="AA164" s="185" t="s">
        <v>216</v>
      </c>
      <c r="AB164" s="186" t="str">
        <f t="shared" si="475"/>
        <v>40%</v>
      </c>
      <c r="AC164" s="185" t="s">
        <v>219</v>
      </c>
      <c r="AD164" s="185" t="s">
        <v>224</v>
      </c>
      <c r="AE164" s="185" t="s">
        <v>228</v>
      </c>
      <c r="AF164" s="187">
        <f t="shared" si="488"/>
        <v>7.7759999999999996E-2</v>
      </c>
      <c r="AG164" s="188" t="str">
        <f t="shared" si="433"/>
        <v>Muy Baja</v>
      </c>
      <c r="AH164" s="186">
        <f t="shared" si="434"/>
        <v>7.7759999999999996E-2</v>
      </c>
      <c r="AI164" s="188" t="str">
        <f t="shared" ca="1" si="435"/>
        <v>Menor</v>
      </c>
      <c r="AJ164" s="186">
        <f t="shared" ca="1" si="490"/>
        <v>0.4</v>
      </c>
      <c r="AK164" s="189" t="str">
        <f t="shared" ca="1" si="437"/>
        <v>Bajo</v>
      </c>
      <c r="AL164" s="185" t="s">
        <v>255</v>
      </c>
      <c r="AM164" s="246"/>
      <c r="AN164" s="250"/>
      <c r="AO164" s="245"/>
      <c r="AP164" s="245"/>
      <c r="AQ164" s="246"/>
      <c r="AR164" s="247"/>
    </row>
    <row r="165" spans="1:44" s="191" customFormat="1" ht="156.75" customHeight="1" thickTop="1" thickBot="1" x14ac:dyDescent="0.3">
      <c r="A165" s="310">
        <v>71</v>
      </c>
      <c r="B165" s="311" t="s">
        <v>784</v>
      </c>
      <c r="C165" s="317" t="s">
        <v>276</v>
      </c>
      <c r="D165" s="317" t="s">
        <v>950</v>
      </c>
      <c r="E165" s="317" t="s">
        <v>240</v>
      </c>
      <c r="F165" s="318" t="s">
        <v>785</v>
      </c>
      <c r="G165" s="318" t="s">
        <v>786</v>
      </c>
      <c r="H165" s="319" t="s">
        <v>1138</v>
      </c>
      <c r="I165" s="320" t="s">
        <v>474</v>
      </c>
      <c r="J165" s="320" t="s">
        <v>474</v>
      </c>
      <c r="K165" s="320" t="s">
        <v>474</v>
      </c>
      <c r="L165" s="320" t="s">
        <v>474</v>
      </c>
      <c r="M165" s="315" t="s">
        <v>239</v>
      </c>
      <c r="N165" s="315"/>
      <c r="O165" s="321">
        <v>365</v>
      </c>
      <c r="P165" s="322" t="str">
        <f t="shared" si="471"/>
        <v>Media</v>
      </c>
      <c r="Q165" s="323">
        <f t="shared" si="472"/>
        <v>0.6</v>
      </c>
      <c r="R165" s="323" t="s">
        <v>190</v>
      </c>
      <c r="S165" s="323" t="str">
        <f ca="1">IF(NOT(ISERROR(MATCH(R165,'Tabla Impacto'!$B$221:$B$223,0))),'Tabla Impacto'!$F$223&amp;"Por favor no seleccionar los criterios de impacto(Afectación Económica o presupuestal y Pérdida Reputacional)",R165)</f>
        <v>El riesgo afecta la imagen de la entidad con algunos usuarios de relevancia frente al logro de los objetivos</v>
      </c>
      <c r="T165" s="322" t="str">
        <f ca="1">+IF(OR(S165='[1]Tabla Impacto'!$C$11,S165='[1]Tabla Impacto'!$D$11),"Leve",IF(OR(S165='[1]Tabla Impacto'!$C$12,S165='[1]Tabla Impacto'!$D$12),"Menor",IF(OR(S165='[1]Tabla Impacto'!$C$13,S165='[1]Tabla Impacto'!$D$13),"Moderado",IF(OR(S165='[1]Tabla Impacto'!$C$14,S165='[1]Tabla Impacto'!$D$14),"Mayor",IF(OR(S165='[1]Tabla Impacto'!$C$15,S165='[1]Tabla Impacto'!$D$15),"Catastrófico","")))))</f>
        <v>Moderado</v>
      </c>
      <c r="U165" s="323">
        <f t="shared" ref="U165" ca="1" si="491">IF(T165="","",IF(T165="Leve",0.2,IF(T165="Menor",0.4,IF(T165="Moderado",0.6,IF(T165="Mayor",0.8,IF(T165="Catastrófico",1,))))))</f>
        <v>0.6</v>
      </c>
      <c r="V165" s="309" t="str">
        <f t="shared" ref="V165" ca="1" si="492">IF(OR(AND(P165="Muy Baja",T165="Leve"),AND(P165="Muy Baja",T165="Menor"),AND(P165="Baja",T165="Leve")),"Bajo",IF(OR(AND(P165="Muy baja",T165="Moderado"),AND(P165="Baja",T165="Menor"),AND(P165="Baja",T165="Moderado"),AND(P165="Media",T165="Leve"),AND(P165="Media",T165="Menor"),AND(P165="Media",T165="Moderado"),AND(P165="Alta",T165="Leve"),AND(P165="Alta",T165="Menor")),"Moderado",IF(OR(AND(P165="Muy Baja",T165="Mayor"),AND(P165="Baja",T165="Mayor"),AND(P165="Media",T165="Mayor"),AND(P165="Alta",T165="Moderado"),AND(P165="Alta",T165="Mayor"),AND(P165="Muy Alta",T165="Leve"),AND(P165="Muy Alta",T165="Menor"),AND(P165="Muy Alta",T165="Moderado"),AND(P165="Muy Alta",T165="Mayor")),"Alto",IF(OR(AND(P165="Muy Baja",T165="Catastrófico"),AND(P165="Baja",T165="Catastrófico"),AND(P165="Media",T165="Catastrófico"),AND(P165="Alta",T165="Catastrófico"),AND(P165="Muy Alta",T165="Catastrófico")),"Extremo",""))))</f>
        <v>Moderado</v>
      </c>
      <c r="W165" s="252">
        <v>1</v>
      </c>
      <c r="X165" s="207" t="s">
        <v>942</v>
      </c>
      <c r="Y165" s="250" t="str">
        <f t="shared" si="431"/>
        <v>Probabilidad</v>
      </c>
      <c r="Z165" s="185" t="s">
        <v>208</v>
      </c>
      <c r="AA165" s="185" t="s">
        <v>216</v>
      </c>
      <c r="AB165" s="186" t="str">
        <f t="shared" si="475"/>
        <v>40%</v>
      </c>
      <c r="AC165" s="185" t="s">
        <v>219</v>
      </c>
      <c r="AD165" s="185" t="s">
        <v>224</v>
      </c>
      <c r="AE165" s="185" t="s">
        <v>228</v>
      </c>
      <c r="AF165" s="187">
        <f t="shared" ref="AF165" si="493">IFERROR(IF(Y165="Probabilidad",(Q165-(+Q165*AB165)),IF(Y165="Impacto",Q165,"")),"")</f>
        <v>0.36</v>
      </c>
      <c r="AG165" s="188" t="str">
        <f t="shared" si="433"/>
        <v>Baja</v>
      </c>
      <c r="AH165" s="186">
        <f t="shared" si="434"/>
        <v>0.36</v>
      </c>
      <c r="AI165" s="188" t="str">
        <f t="shared" ca="1" si="435"/>
        <v>Moderado</v>
      </c>
      <c r="AJ165" s="186">
        <f t="shared" ref="AJ165" ca="1" si="494">IFERROR(IF(Y165="Impacto",(U165-(+U165*AB165)),IF(Y165="Probabilidad",U165,"")),"")</f>
        <v>0.6</v>
      </c>
      <c r="AK165" s="189" t="str">
        <f t="shared" ca="1" si="437"/>
        <v>Moderado</v>
      </c>
      <c r="AL165" s="185" t="s">
        <v>255</v>
      </c>
      <c r="AM165" s="246"/>
      <c r="AN165" s="250"/>
      <c r="AO165" s="245"/>
      <c r="AP165" s="245"/>
      <c r="AQ165" s="246"/>
      <c r="AR165" s="247"/>
    </row>
    <row r="166" spans="1:44" s="191" customFormat="1" ht="184.5" customHeight="1" thickTop="1" thickBot="1" x14ac:dyDescent="0.3">
      <c r="A166" s="310"/>
      <c r="B166" s="311"/>
      <c r="C166" s="317"/>
      <c r="D166" s="317"/>
      <c r="E166" s="317"/>
      <c r="F166" s="318"/>
      <c r="G166" s="318"/>
      <c r="H166" s="319"/>
      <c r="I166" s="320"/>
      <c r="J166" s="320"/>
      <c r="K166" s="320"/>
      <c r="L166" s="320"/>
      <c r="M166" s="315"/>
      <c r="N166" s="315"/>
      <c r="O166" s="321"/>
      <c r="P166" s="322"/>
      <c r="Q166" s="323"/>
      <c r="R166" s="323"/>
      <c r="S166" s="323">
        <f ca="1">IF(NOT(ISERROR(MATCH(R166,_xlfn.ANCHORARRAY(H171),0))),Q173&amp;"Por favor no seleccionar los criterios de impacto",R166)</f>
        <v>0</v>
      </c>
      <c r="T166" s="322"/>
      <c r="U166" s="323"/>
      <c r="V166" s="309"/>
      <c r="W166" s="252">
        <v>2</v>
      </c>
      <c r="X166" s="207" t="s">
        <v>787</v>
      </c>
      <c r="Y166" s="250" t="str">
        <f t="shared" si="431"/>
        <v>Probabilidad</v>
      </c>
      <c r="Z166" s="185" t="s">
        <v>208</v>
      </c>
      <c r="AA166" s="185" t="s">
        <v>216</v>
      </c>
      <c r="AB166" s="186" t="str">
        <f t="shared" si="475"/>
        <v>40%</v>
      </c>
      <c r="AC166" s="185" t="s">
        <v>219</v>
      </c>
      <c r="AD166" s="185" t="s">
        <v>224</v>
      </c>
      <c r="AE166" s="185" t="s">
        <v>228</v>
      </c>
      <c r="AF166" s="187">
        <f t="shared" ref="AF166" si="495">IFERROR(IF(AND(Y165="Probabilidad",Y166="Probabilidad"),(AH165-(+AH165*AB166)),IF(Y166="Probabilidad",(Q165-(+Q165*AB166)),IF(Y166="Impacto",AH165,""))),"")</f>
        <v>0.216</v>
      </c>
      <c r="AG166" s="188" t="str">
        <f t="shared" si="433"/>
        <v>Baja</v>
      </c>
      <c r="AH166" s="186">
        <f t="shared" si="434"/>
        <v>0.216</v>
      </c>
      <c r="AI166" s="188" t="str">
        <f t="shared" ca="1" si="435"/>
        <v>Moderado</v>
      </c>
      <c r="AJ166" s="186">
        <f t="shared" ref="AJ166" ca="1" si="496">IFERROR(IF(AND(Y165="Impacto",Y166="Impacto"),(AJ165-(+AJ165*AB166)),IF(Y166="Impacto",(U165-(+U165*AB166)),IF(Y166="Probabilidad",AJ165,""))),"")</f>
        <v>0.6</v>
      </c>
      <c r="AK166" s="189" t="str">
        <f t="shared" ca="1" si="437"/>
        <v>Moderado</v>
      </c>
      <c r="AL166" s="185" t="s">
        <v>255</v>
      </c>
      <c r="AM166" s="246"/>
      <c r="AN166" s="250"/>
      <c r="AO166" s="245"/>
      <c r="AP166" s="245"/>
      <c r="AQ166" s="246"/>
      <c r="AR166" s="247"/>
    </row>
    <row r="167" spans="1:44" s="191" customFormat="1" ht="120.75" customHeight="1" thickTop="1" thickBot="1" x14ac:dyDescent="0.3">
      <c r="A167" s="310">
        <v>72</v>
      </c>
      <c r="B167" s="311" t="s">
        <v>788</v>
      </c>
      <c r="C167" s="315" t="s">
        <v>277</v>
      </c>
      <c r="D167" s="317" t="s">
        <v>960</v>
      </c>
      <c r="E167" s="315" t="s">
        <v>240</v>
      </c>
      <c r="F167" s="332" t="s">
        <v>789</v>
      </c>
      <c r="G167" s="332" t="s">
        <v>790</v>
      </c>
      <c r="H167" s="333" t="s">
        <v>1139</v>
      </c>
      <c r="I167" s="320" t="s">
        <v>474</v>
      </c>
      <c r="J167" s="320" t="s">
        <v>474</v>
      </c>
      <c r="K167" s="320" t="s">
        <v>474</v>
      </c>
      <c r="L167" s="320" t="s">
        <v>474</v>
      </c>
      <c r="M167" s="315" t="s">
        <v>466</v>
      </c>
      <c r="N167" s="315"/>
      <c r="O167" s="321">
        <v>52</v>
      </c>
      <c r="P167" s="322" t="str">
        <f t="shared" si="471"/>
        <v>Media</v>
      </c>
      <c r="Q167" s="323">
        <f t="shared" si="472"/>
        <v>0.6</v>
      </c>
      <c r="R167" s="323" t="s">
        <v>192</v>
      </c>
      <c r="S167" s="323" t="str">
        <f ca="1">IF(NOT(ISERROR(MATCH(R167,'Tabla Impacto'!$B$221:$B$223,0))),'Tabla Impacto'!$F$223&amp;"Por favor no seleccionar los criterios de impacto(Afectación Económica o presupuestal y Pérdida Reputacional)",R167)</f>
        <v xml:space="preserve">Entre 100 y 500 SMLMV </v>
      </c>
      <c r="T167" s="322" t="str">
        <f ca="1">+IF(OR(S167='[1]Tabla Impacto'!$C$11,S167='[1]Tabla Impacto'!$D$11),"Leve",IF(OR(S167='[1]Tabla Impacto'!$C$12,S167='[1]Tabla Impacto'!$D$12),"Menor",IF(OR(S167='[1]Tabla Impacto'!$C$13,S167='[1]Tabla Impacto'!$D$13),"Moderado",IF(OR(S167='[1]Tabla Impacto'!$C$14,S167='[1]Tabla Impacto'!$D$14),"Mayor",IF(OR(S167='[1]Tabla Impacto'!$C$15,S167='[1]Tabla Impacto'!$D$15),"Catastrófico","")))))</f>
        <v>Mayor</v>
      </c>
      <c r="U167" s="323">
        <f t="shared" ref="U167" ca="1" si="497">IF(T167="","",IF(T167="Leve",0.2,IF(T167="Menor",0.4,IF(T167="Moderado",0.6,IF(T167="Mayor",0.8,IF(T167="Catastrófico",1,))))))</f>
        <v>0.8</v>
      </c>
      <c r="V167" s="309" t="str">
        <f t="shared" ref="V167" ca="1" si="498">IF(OR(AND(P167="Muy Baja",T167="Leve"),AND(P167="Muy Baja",T167="Menor"),AND(P167="Baja",T167="Leve")),"Bajo",IF(OR(AND(P167="Muy baja",T167="Moderado"),AND(P167="Baja",T167="Menor"),AND(P167="Baja",T167="Moderado"),AND(P167="Media",T167="Leve"),AND(P167="Media",T167="Menor"),AND(P167="Media",T167="Moderado"),AND(P167="Alta",T167="Leve"),AND(P167="Alta",T167="Menor")),"Moderado",IF(OR(AND(P167="Muy Baja",T167="Mayor"),AND(P167="Baja",T167="Mayor"),AND(P167="Media",T167="Mayor"),AND(P167="Alta",T167="Moderado"),AND(P167="Alta",T167="Mayor"),AND(P167="Muy Alta",T167="Leve"),AND(P167="Muy Alta",T167="Menor"),AND(P167="Muy Alta",T167="Moderado"),AND(P167="Muy Alta",T167="Mayor")),"Alto",IF(OR(AND(P167="Muy Baja",T167="Catastrófico"),AND(P167="Baja",T167="Catastrófico"),AND(P167="Media",T167="Catastrófico"),AND(P167="Alta",T167="Catastrófico"),AND(P167="Muy Alta",T167="Catastrófico")),"Extremo",""))))</f>
        <v>Alto</v>
      </c>
      <c r="W167" s="252">
        <v>1</v>
      </c>
      <c r="X167" s="207" t="s">
        <v>1055</v>
      </c>
      <c r="Y167" s="250" t="str">
        <f t="shared" ref="Y167:Y212" si="499">IF(OR(Z167="Preventivo",Z167="Detectivo"),"Probabilidad",IF(Z167="Correctivo","Impacto",""))</f>
        <v>Probabilidad</v>
      </c>
      <c r="Z167" s="185" t="s">
        <v>208</v>
      </c>
      <c r="AA167" s="185" t="s">
        <v>216</v>
      </c>
      <c r="AB167" s="186" t="str">
        <f t="shared" si="475"/>
        <v>40%</v>
      </c>
      <c r="AC167" s="185" t="s">
        <v>219</v>
      </c>
      <c r="AD167" s="185" t="s">
        <v>224</v>
      </c>
      <c r="AE167" s="185" t="s">
        <v>228</v>
      </c>
      <c r="AF167" s="187">
        <f t="shared" ref="AF167" si="500">IFERROR(IF(Y167="Probabilidad",(Q167-(+Q167*AB167)),IF(Y167="Impacto",Q167,"")),"")</f>
        <v>0.36</v>
      </c>
      <c r="AG167" s="188" t="str">
        <f t="shared" ref="AG167:AG212" si="501">IFERROR(IF(AF167="","",IF(AF167&lt;=0.2,"Muy Baja",IF(AF167&lt;=0.4,"Baja",IF(AF167&lt;=0.6,"Media",IF(AF167&lt;=0.8,"Alta","Muy Alta"))))),"")</f>
        <v>Baja</v>
      </c>
      <c r="AH167" s="186">
        <f t="shared" ref="AH167:AH212" si="502">+AF167</f>
        <v>0.36</v>
      </c>
      <c r="AI167" s="188" t="str">
        <f t="shared" ref="AI167:AI212" ca="1" si="503">IFERROR(IF(AJ167="","",IF(AJ167&lt;=0.2,"Leve",IF(AJ167&lt;=0.4,"Menor",IF(AJ167&lt;=0.6,"Moderado",IF(AJ167&lt;=0.8,"Mayor","Catastrófico"))))),"")</f>
        <v>Mayor</v>
      </c>
      <c r="AJ167" s="186">
        <f t="shared" ref="AJ167" ca="1" si="504">IFERROR(IF(Y167="Impacto",(U167-(+U167*AB167)),IF(Y167="Probabilidad",U167,"")),"")</f>
        <v>0.8</v>
      </c>
      <c r="AK167" s="189" t="str">
        <f t="shared" ref="AK167:AK212" ca="1" si="505">IFERROR(IF(OR(AND(AG167="Muy Baja",AI167="Leve"),AND(AG167="Muy Baja",AI167="Menor"),AND(AG167="Baja",AI167="Leve")),"Bajo",IF(OR(AND(AG167="Muy baja",AI167="Moderado"),AND(AG167="Baja",AI167="Menor"),AND(AG167="Baja",AI167="Moderado"),AND(AG167="Media",AI167="Leve"),AND(AG167="Media",AI167="Menor"),AND(AG167="Media",AI167="Moderado"),AND(AG167="Alta",AI167="Leve"),AND(AG167="Alta",AI167="Menor")),"Moderado",IF(OR(AND(AG167="Muy Baja",AI167="Mayor"),AND(AG167="Baja",AI167="Mayor"),AND(AG167="Media",AI167="Mayor"),AND(AG167="Alta",AI167="Moderado"),AND(AG167="Alta",AI167="Mayor"),AND(AG167="Muy Alta",AI167="Leve"),AND(AG167="Muy Alta",AI167="Menor"),AND(AG167="Muy Alta",AI167="Moderado"),AND(AG167="Muy Alta",AI167="Mayor")),"Alto",IF(OR(AND(AG167="Muy Baja",AI167="Catastrófico"),AND(AG167="Baja",AI167="Catastrófico"),AND(AG167="Media",AI167="Catastrófico"),AND(AG167="Alta",AI167="Catastrófico"),AND(AG167="Muy Alta",AI167="Catastrófico")),"Extremo","")))),"")</f>
        <v>Alto</v>
      </c>
      <c r="AL167" s="185" t="s">
        <v>262</v>
      </c>
      <c r="AM167" s="326" t="s">
        <v>791</v>
      </c>
      <c r="AN167" s="315" t="s">
        <v>792</v>
      </c>
      <c r="AO167" s="335">
        <v>45658</v>
      </c>
      <c r="AP167" s="337" t="s">
        <v>535</v>
      </c>
      <c r="AQ167" s="315" t="s">
        <v>793</v>
      </c>
      <c r="AR167" s="336" t="s">
        <v>259</v>
      </c>
    </row>
    <row r="168" spans="1:44" s="191" customFormat="1" ht="135.75" customHeight="1" thickTop="1" thickBot="1" x14ac:dyDescent="0.3">
      <c r="A168" s="310"/>
      <c r="B168" s="311"/>
      <c r="C168" s="315"/>
      <c r="D168" s="317"/>
      <c r="E168" s="315"/>
      <c r="F168" s="332"/>
      <c r="G168" s="332"/>
      <c r="H168" s="333"/>
      <c r="I168" s="320"/>
      <c r="J168" s="320"/>
      <c r="K168" s="320"/>
      <c r="L168" s="320"/>
      <c r="M168" s="315"/>
      <c r="N168" s="315"/>
      <c r="O168" s="321"/>
      <c r="P168" s="322"/>
      <c r="Q168" s="323"/>
      <c r="R168" s="323"/>
      <c r="S168" s="323">
        <f ca="1">IF(NOT(ISERROR(MATCH(R168,_xlfn.ANCHORARRAY(H177),0))),Q179&amp;"Por favor no seleccionar los criterios de impacto",R168)</f>
        <v>0</v>
      </c>
      <c r="T168" s="322"/>
      <c r="U168" s="323"/>
      <c r="V168" s="309"/>
      <c r="W168" s="252">
        <v>2</v>
      </c>
      <c r="X168" s="207" t="s">
        <v>1056</v>
      </c>
      <c r="Y168" s="250" t="str">
        <f t="shared" si="499"/>
        <v>Probabilidad</v>
      </c>
      <c r="Z168" s="185" t="s">
        <v>208</v>
      </c>
      <c r="AA168" s="185" t="s">
        <v>216</v>
      </c>
      <c r="AB168" s="186" t="str">
        <f t="shared" si="475"/>
        <v>40%</v>
      </c>
      <c r="AC168" s="185" t="s">
        <v>219</v>
      </c>
      <c r="AD168" s="185" t="s">
        <v>224</v>
      </c>
      <c r="AE168" s="185" t="s">
        <v>228</v>
      </c>
      <c r="AF168" s="187">
        <f t="shared" ref="AF168:AF170" si="506">IFERROR(IF(AND(Y167="Probabilidad",Y168="Probabilidad"),(AH167-(+AH167*AB168)),IF(Y168="Probabilidad",(Q167-(+Q167*AB168)),IF(Y168="Impacto",AH167,""))),"")</f>
        <v>0.216</v>
      </c>
      <c r="AG168" s="188" t="str">
        <f t="shared" si="501"/>
        <v>Baja</v>
      </c>
      <c r="AH168" s="186">
        <f t="shared" si="502"/>
        <v>0.216</v>
      </c>
      <c r="AI168" s="188" t="str">
        <f t="shared" ca="1" si="503"/>
        <v>Mayor</v>
      </c>
      <c r="AJ168" s="186">
        <f t="shared" ref="AJ168" ca="1" si="507">IFERROR(IF(AND(Y167="Impacto",Y168="Impacto"),(AJ167-(+AJ167*AB168)),IF(Y168="Impacto",(U167-(+U167*AB168)),IF(Y168="Probabilidad",AJ167,""))),"")</f>
        <v>0.8</v>
      </c>
      <c r="AK168" s="189" t="str">
        <f t="shared" ca="1" si="505"/>
        <v>Alto</v>
      </c>
      <c r="AL168" s="185" t="s">
        <v>262</v>
      </c>
      <c r="AM168" s="326"/>
      <c r="AN168" s="315"/>
      <c r="AO168" s="335"/>
      <c r="AP168" s="337"/>
      <c r="AQ168" s="315"/>
      <c r="AR168" s="336"/>
    </row>
    <row r="169" spans="1:44" s="191" customFormat="1" ht="118.5" customHeight="1" thickTop="1" thickBot="1" x14ac:dyDescent="0.3">
      <c r="A169" s="310"/>
      <c r="B169" s="311"/>
      <c r="C169" s="315"/>
      <c r="D169" s="317"/>
      <c r="E169" s="315"/>
      <c r="F169" s="332"/>
      <c r="G169" s="332"/>
      <c r="H169" s="333"/>
      <c r="I169" s="320"/>
      <c r="J169" s="320"/>
      <c r="K169" s="320"/>
      <c r="L169" s="320"/>
      <c r="M169" s="315"/>
      <c r="N169" s="315"/>
      <c r="O169" s="321"/>
      <c r="P169" s="322"/>
      <c r="Q169" s="323"/>
      <c r="R169" s="323"/>
      <c r="S169" s="323">
        <f ca="1">IF(NOT(ISERROR(MATCH(R169,_xlfn.ANCHORARRAY(H178),0))),#REF!&amp;"Por favor no seleccionar los criterios de impacto",R169)</f>
        <v>0</v>
      </c>
      <c r="T169" s="322"/>
      <c r="U169" s="323"/>
      <c r="V169" s="309"/>
      <c r="W169" s="252">
        <v>3</v>
      </c>
      <c r="X169" s="207" t="s">
        <v>1057</v>
      </c>
      <c r="Y169" s="250" t="str">
        <f t="shared" si="499"/>
        <v>Probabilidad</v>
      </c>
      <c r="Z169" s="185" t="s">
        <v>208</v>
      </c>
      <c r="AA169" s="185" t="s">
        <v>216</v>
      </c>
      <c r="AB169" s="186" t="str">
        <f t="shared" si="475"/>
        <v>40%</v>
      </c>
      <c r="AC169" s="185" t="s">
        <v>219</v>
      </c>
      <c r="AD169" s="185" t="s">
        <v>224</v>
      </c>
      <c r="AE169" s="185" t="s">
        <v>228</v>
      </c>
      <c r="AF169" s="187">
        <f t="shared" si="506"/>
        <v>0.12959999999999999</v>
      </c>
      <c r="AG169" s="188" t="str">
        <f t="shared" si="501"/>
        <v>Muy Baja</v>
      </c>
      <c r="AH169" s="186">
        <f t="shared" si="502"/>
        <v>0.12959999999999999</v>
      </c>
      <c r="AI169" s="188" t="str">
        <f t="shared" ca="1" si="503"/>
        <v>Mayor</v>
      </c>
      <c r="AJ169" s="186">
        <f t="shared" ref="AJ169:AJ170" ca="1" si="508">IFERROR(IF(AND(Y168="Impacto",Y169="Impacto"),(AJ168-(+AJ168*AB169)),IF(AND(Y168="Probabilidad",Y169="Impacto"),(AJ167-(+AJ167*AB169)),IF(Y169="Probabilidad",AJ168,""))),"")</f>
        <v>0.8</v>
      </c>
      <c r="AK169" s="189" t="str">
        <f t="shared" ca="1" si="505"/>
        <v>Alto</v>
      </c>
      <c r="AL169" s="185" t="s">
        <v>262</v>
      </c>
      <c r="AM169" s="326"/>
      <c r="AN169" s="315"/>
      <c r="AO169" s="335"/>
      <c r="AP169" s="337"/>
      <c r="AQ169" s="315"/>
      <c r="AR169" s="336"/>
    </row>
    <row r="170" spans="1:44" s="191" customFormat="1" ht="129.75" thickTop="1" thickBot="1" x14ac:dyDescent="0.3">
      <c r="A170" s="310"/>
      <c r="B170" s="311"/>
      <c r="C170" s="315"/>
      <c r="D170" s="317"/>
      <c r="E170" s="315"/>
      <c r="F170" s="332"/>
      <c r="G170" s="332"/>
      <c r="H170" s="333"/>
      <c r="I170" s="320"/>
      <c r="J170" s="320"/>
      <c r="K170" s="320"/>
      <c r="L170" s="320"/>
      <c r="M170" s="315"/>
      <c r="N170" s="315"/>
      <c r="O170" s="321"/>
      <c r="P170" s="322"/>
      <c r="Q170" s="323"/>
      <c r="R170" s="323"/>
      <c r="S170" s="323">
        <f ca="1">IF(NOT(ISERROR(MATCH(R170,_xlfn.ANCHORARRAY(H179),0))),#REF!&amp;"Por favor no seleccionar los criterios de impacto",R170)</f>
        <v>0</v>
      </c>
      <c r="T170" s="322"/>
      <c r="U170" s="323"/>
      <c r="V170" s="309"/>
      <c r="W170" s="252">
        <v>4</v>
      </c>
      <c r="X170" s="208" t="s">
        <v>1058</v>
      </c>
      <c r="Y170" s="250" t="str">
        <f t="shared" si="499"/>
        <v>Probabilidad</v>
      </c>
      <c r="Z170" s="185" t="s">
        <v>208</v>
      </c>
      <c r="AA170" s="185" t="s">
        <v>216</v>
      </c>
      <c r="AB170" s="186" t="str">
        <f t="shared" si="475"/>
        <v>40%</v>
      </c>
      <c r="AC170" s="185" t="s">
        <v>219</v>
      </c>
      <c r="AD170" s="185" t="s">
        <v>224</v>
      </c>
      <c r="AE170" s="185" t="s">
        <v>228</v>
      </c>
      <c r="AF170" s="187">
        <f t="shared" si="506"/>
        <v>7.7759999999999996E-2</v>
      </c>
      <c r="AG170" s="188" t="str">
        <f t="shared" si="501"/>
        <v>Muy Baja</v>
      </c>
      <c r="AH170" s="186">
        <f t="shared" si="502"/>
        <v>7.7759999999999996E-2</v>
      </c>
      <c r="AI170" s="188" t="str">
        <f t="shared" ca="1" si="503"/>
        <v>Mayor</v>
      </c>
      <c r="AJ170" s="186">
        <f t="shared" ca="1" si="508"/>
        <v>0.8</v>
      </c>
      <c r="AK170" s="189" t="str">
        <f t="shared" ca="1" si="505"/>
        <v>Alto</v>
      </c>
      <c r="AL170" s="185" t="s">
        <v>262</v>
      </c>
      <c r="AM170" s="326"/>
      <c r="AN170" s="315"/>
      <c r="AO170" s="335"/>
      <c r="AP170" s="337"/>
      <c r="AQ170" s="315"/>
      <c r="AR170" s="336"/>
    </row>
    <row r="171" spans="1:44" s="191" customFormat="1" ht="137.25" customHeight="1" thickTop="1" thickBot="1" x14ac:dyDescent="0.3">
      <c r="A171" s="310">
        <v>73</v>
      </c>
      <c r="B171" s="311" t="s">
        <v>794</v>
      </c>
      <c r="C171" s="315" t="s">
        <v>277</v>
      </c>
      <c r="D171" s="317" t="s">
        <v>795</v>
      </c>
      <c r="E171" s="315" t="s">
        <v>240</v>
      </c>
      <c r="F171" s="332" t="s">
        <v>796</v>
      </c>
      <c r="G171" s="332" t="s">
        <v>797</v>
      </c>
      <c r="H171" s="333" t="s">
        <v>1140</v>
      </c>
      <c r="I171" s="320" t="s">
        <v>474</v>
      </c>
      <c r="J171" s="320" t="s">
        <v>474</v>
      </c>
      <c r="K171" s="320" t="s">
        <v>474</v>
      </c>
      <c r="L171" s="320" t="s">
        <v>474</v>
      </c>
      <c r="M171" s="315" t="s">
        <v>466</v>
      </c>
      <c r="N171" s="315"/>
      <c r="O171" s="321">
        <v>365</v>
      </c>
      <c r="P171" s="322" t="str">
        <f t="shared" si="471"/>
        <v>Media</v>
      </c>
      <c r="Q171" s="323">
        <f t="shared" si="472"/>
        <v>0.6</v>
      </c>
      <c r="R171" s="323" t="s">
        <v>192</v>
      </c>
      <c r="S171" s="323" t="str">
        <f ca="1">IF(NOT(ISERROR(MATCH(R171,'Tabla Impacto'!$B$221:$B$223,0))),'Tabla Impacto'!$F$223&amp;"Por favor no seleccionar los criterios de impacto(Afectación Económica o presupuestal y Pérdida Reputacional)",R171)</f>
        <v xml:space="preserve">Entre 100 y 500 SMLMV </v>
      </c>
      <c r="T171" s="322" t="str">
        <f ca="1">+IF(OR(S171='[1]Tabla Impacto'!$C$11,S171='[1]Tabla Impacto'!$D$11),"Leve",IF(OR(S171='[1]Tabla Impacto'!$C$12,S171='[1]Tabla Impacto'!$D$12),"Menor",IF(OR(S171='[1]Tabla Impacto'!$C$13,S171='[1]Tabla Impacto'!$D$13),"Moderado",IF(OR(S171='[1]Tabla Impacto'!$C$14,S171='[1]Tabla Impacto'!$D$14),"Mayor",IF(OR(S171='[1]Tabla Impacto'!$C$15,S171='[1]Tabla Impacto'!$D$15),"Catastrófico","")))))</f>
        <v>Mayor</v>
      </c>
      <c r="U171" s="323">
        <f t="shared" ref="U171" ca="1" si="509">IF(T171="","",IF(T171="Leve",0.2,IF(T171="Menor",0.4,IF(T171="Moderado",0.6,IF(T171="Mayor",0.8,IF(T171="Catastrófico",1,))))))</f>
        <v>0.8</v>
      </c>
      <c r="V171" s="309" t="str">
        <f t="shared" ref="V171" ca="1" si="510">IF(OR(AND(P171="Muy Baja",T171="Leve"),AND(P171="Muy Baja",T171="Menor"),AND(P171="Baja",T171="Leve")),"Bajo",IF(OR(AND(P171="Muy baja",T171="Moderado"),AND(P171="Baja",T171="Menor"),AND(P171="Baja",T171="Moderado"),AND(P171="Media",T171="Leve"),AND(P171="Media",T171="Menor"),AND(P171="Media",T171="Moderado"),AND(P171="Alta",T171="Leve"),AND(P171="Alta",T171="Menor")),"Moderado",IF(OR(AND(P171="Muy Baja",T171="Mayor"),AND(P171="Baja",T171="Mayor"),AND(P171="Media",T171="Mayor"),AND(P171="Alta",T171="Moderado"),AND(P171="Alta",T171="Mayor"),AND(P171="Muy Alta",T171="Leve"),AND(P171="Muy Alta",T171="Menor"),AND(P171="Muy Alta",T171="Moderado"),AND(P171="Muy Alta",T171="Mayor")),"Alto",IF(OR(AND(P171="Muy Baja",T171="Catastrófico"),AND(P171="Baja",T171="Catastrófico"),AND(P171="Media",T171="Catastrófico"),AND(P171="Alta",T171="Catastrófico"),AND(P171="Muy Alta",T171="Catastrófico")),"Extremo",""))))</f>
        <v>Alto</v>
      </c>
      <c r="W171" s="252">
        <v>1</v>
      </c>
      <c r="X171" s="212" t="s">
        <v>1216</v>
      </c>
      <c r="Y171" s="250" t="str">
        <f t="shared" si="499"/>
        <v>Probabilidad</v>
      </c>
      <c r="Z171" s="185" t="s">
        <v>208</v>
      </c>
      <c r="AA171" s="185" t="s">
        <v>216</v>
      </c>
      <c r="AB171" s="186" t="str">
        <f t="shared" si="475"/>
        <v>40%</v>
      </c>
      <c r="AC171" s="185" t="s">
        <v>219</v>
      </c>
      <c r="AD171" s="185" t="s">
        <v>224</v>
      </c>
      <c r="AE171" s="185" t="s">
        <v>228</v>
      </c>
      <c r="AF171" s="187">
        <f t="shared" ref="AF171" si="511">IFERROR(IF(Y171="Probabilidad",(Q171-(+Q171*AB171)),IF(Y171="Impacto",Q171,"")),"")</f>
        <v>0.36</v>
      </c>
      <c r="AG171" s="188" t="str">
        <f t="shared" si="501"/>
        <v>Baja</v>
      </c>
      <c r="AH171" s="186">
        <f t="shared" si="502"/>
        <v>0.36</v>
      </c>
      <c r="AI171" s="188" t="str">
        <f t="shared" ca="1" si="503"/>
        <v>Mayor</v>
      </c>
      <c r="AJ171" s="186">
        <f t="shared" ref="AJ171" ca="1" si="512">IFERROR(IF(Y171="Impacto",(U171-(+U171*AB171)),IF(Y171="Probabilidad",U171,"")),"")</f>
        <v>0.8</v>
      </c>
      <c r="AK171" s="189" t="str">
        <f t="shared" ca="1" si="505"/>
        <v>Alto</v>
      </c>
      <c r="AL171" s="185" t="s">
        <v>262</v>
      </c>
      <c r="AM171" s="326" t="s">
        <v>802</v>
      </c>
      <c r="AN171" s="315" t="s">
        <v>801</v>
      </c>
      <c r="AO171" s="335">
        <v>45658</v>
      </c>
      <c r="AP171" s="337" t="s">
        <v>535</v>
      </c>
      <c r="AQ171" s="315" t="s">
        <v>793</v>
      </c>
      <c r="AR171" s="336" t="s">
        <v>259</v>
      </c>
    </row>
    <row r="172" spans="1:44" s="191" customFormat="1" ht="144" customHeight="1" thickTop="1" thickBot="1" x14ac:dyDescent="0.3">
      <c r="A172" s="310"/>
      <c r="B172" s="311"/>
      <c r="C172" s="315"/>
      <c r="D172" s="317"/>
      <c r="E172" s="315"/>
      <c r="F172" s="332"/>
      <c r="G172" s="332"/>
      <c r="H172" s="333"/>
      <c r="I172" s="320"/>
      <c r="J172" s="320"/>
      <c r="K172" s="320"/>
      <c r="L172" s="320"/>
      <c r="M172" s="315"/>
      <c r="N172" s="315"/>
      <c r="O172" s="321"/>
      <c r="P172" s="322"/>
      <c r="Q172" s="323"/>
      <c r="R172" s="323"/>
      <c r="S172" s="323">
        <f ca="1">IF(NOT(ISERROR(MATCH(R172,_xlfn.ANCHORARRAY(H180),0))),Q182&amp;"Por favor no seleccionar los criterios de impacto",R172)</f>
        <v>0</v>
      </c>
      <c r="T172" s="322"/>
      <c r="U172" s="323"/>
      <c r="V172" s="309"/>
      <c r="W172" s="252">
        <v>2</v>
      </c>
      <c r="X172" s="212" t="s">
        <v>1217</v>
      </c>
      <c r="Y172" s="250" t="str">
        <f t="shared" si="499"/>
        <v>Probabilidad</v>
      </c>
      <c r="Z172" s="185" t="s">
        <v>208</v>
      </c>
      <c r="AA172" s="185" t="s">
        <v>216</v>
      </c>
      <c r="AB172" s="186" t="str">
        <f t="shared" si="475"/>
        <v>40%</v>
      </c>
      <c r="AC172" s="185" t="s">
        <v>219</v>
      </c>
      <c r="AD172" s="185" t="s">
        <v>224</v>
      </c>
      <c r="AE172" s="185" t="s">
        <v>228</v>
      </c>
      <c r="AF172" s="187">
        <f t="shared" ref="AF172:AF176" si="513">IFERROR(IF(AND(Y171="Probabilidad",Y172="Probabilidad"),(AH171-(+AH171*AB172)),IF(Y172="Probabilidad",(Q171-(+Q171*AB172)),IF(Y172="Impacto",AH171,""))),"")</f>
        <v>0.216</v>
      </c>
      <c r="AG172" s="188" t="str">
        <f t="shared" si="501"/>
        <v>Baja</v>
      </c>
      <c r="AH172" s="186">
        <f t="shared" si="502"/>
        <v>0.216</v>
      </c>
      <c r="AI172" s="188" t="str">
        <f t="shared" ca="1" si="503"/>
        <v>Mayor</v>
      </c>
      <c r="AJ172" s="186">
        <f t="shared" ref="AJ172" ca="1" si="514">IFERROR(IF(AND(Y171="Impacto",Y172="Impacto"),(AJ171-(+AJ171*AB172)),IF(Y172="Impacto",(U171-(+U171*AB172)),IF(Y172="Probabilidad",AJ171,""))),"")</f>
        <v>0.8</v>
      </c>
      <c r="AK172" s="189" t="str">
        <f t="shared" ca="1" si="505"/>
        <v>Alto</v>
      </c>
      <c r="AL172" s="185" t="s">
        <v>262</v>
      </c>
      <c r="AM172" s="326"/>
      <c r="AN172" s="315"/>
      <c r="AO172" s="335"/>
      <c r="AP172" s="337"/>
      <c r="AQ172" s="315"/>
      <c r="AR172" s="336"/>
    </row>
    <row r="173" spans="1:44" s="191" customFormat="1" ht="174.75" customHeight="1" thickTop="1" thickBot="1" x14ac:dyDescent="0.3">
      <c r="A173" s="310"/>
      <c r="B173" s="311"/>
      <c r="C173" s="315"/>
      <c r="D173" s="317"/>
      <c r="E173" s="315"/>
      <c r="F173" s="332"/>
      <c r="G173" s="332"/>
      <c r="H173" s="333"/>
      <c r="I173" s="320"/>
      <c r="J173" s="320"/>
      <c r="K173" s="320"/>
      <c r="L173" s="320"/>
      <c r="M173" s="315"/>
      <c r="N173" s="315"/>
      <c r="O173" s="321"/>
      <c r="P173" s="322"/>
      <c r="Q173" s="323"/>
      <c r="R173" s="323"/>
      <c r="S173" s="323">
        <f ca="1">IF(NOT(ISERROR(MATCH(R173,_xlfn.ANCHORARRAY(H181),0))),Q183&amp;"Por favor no seleccionar los criterios de impacto",R173)</f>
        <v>0</v>
      </c>
      <c r="T173" s="322"/>
      <c r="U173" s="323"/>
      <c r="V173" s="309"/>
      <c r="W173" s="252">
        <v>3</v>
      </c>
      <c r="X173" s="212" t="s">
        <v>1218</v>
      </c>
      <c r="Y173" s="250" t="str">
        <f t="shared" si="499"/>
        <v>Probabilidad</v>
      </c>
      <c r="Z173" s="185" t="s">
        <v>208</v>
      </c>
      <c r="AA173" s="185" t="s">
        <v>216</v>
      </c>
      <c r="AB173" s="186" t="str">
        <f t="shared" si="475"/>
        <v>40%</v>
      </c>
      <c r="AC173" s="185" t="s">
        <v>219</v>
      </c>
      <c r="AD173" s="185" t="s">
        <v>224</v>
      </c>
      <c r="AE173" s="185" t="s">
        <v>228</v>
      </c>
      <c r="AF173" s="187">
        <f t="shared" si="513"/>
        <v>0.12959999999999999</v>
      </c>
      <c r="AG173" s="188" t="str">
        <f t="shared" si="501"/>
        <v>Muy Baja</v>
      </c>
      <c r="AH173" s="186">
        <f t="shared" si="502"/>
        <v>0.12959999999999999</v>
      </c>
      <c r="AI173" s="188" t="str">
        <f t="shared" ca="1" si="503"/>
        <v>Mayor</v>
      </c>
      <c r="AJ173" s="186">
        <f t="shared" ref="AJ173:AJ176" ca="1" si="515">IFERROR(IF(AND(Y172="Impacto",Y173="Impacto"),(AJ172-(+AJ172*AB173)),IF(AND(Y172="Probabilidad",Y173="Impacto"),(AJ171-(+AJ171*AB173)),IF(Y173="Probabilidad",AJ172,""))),"")</f>
        <v>0.8</v>
      </c>
      <c r="AK173" s="189" t="str">
        <f t="shared" ca="1" si="505"/>
        <v>Alto</v>
      </c>
      <c r="AL173" s="185" t="s">
        <v>262</v>
      </c>
      <c r="AM173" s="326"/>
      <c r="AN173" s="315"/>
      <c r="AO173" s="335"/>
      <c r="AP173" s="337"/>
      <c r="AQ173" s="315"/>
      <c r="AR173" s="336"/>
    </row>
    <row r="174" spans="1:44" s="191" customFormat="1" ht="116.25" customHeight="1" thickTop="1" thickBot="1" x14ac:dyDescent="0.3">
      <c r="A174" s="310"/>
      <c r="B174" s="311"/>
      <c r="C174" s="315"/>
      <c r="D174" s="317"/>
      <c r="E174" s="315"/>
      <c r="F174" s="332"/>
      <c r="G174" s="332"/>
      <c r="H174" s="333"/>
      <c r="I174" s="320"/>
      <c r="J174" s="320"/>
      <c r="K174" s="320"/>
      <c r="L174" s="320"/>
      <c r="M174" s="315"/>
      <c r="N174" s="315"/>
      <c r="O174" s="321"/>
      <c r="P174" s="322"/>
      <c r="Q174" s="323"/>
      <c r="R174" s="323"/>
      <c r="S174" s="323">
        <f ca="1">IF(NOT(ISERROR(MATCH(R174,_xlfn.ANCHORARRAY(H182),0))),#REF!&amp;"Por favor no seleccionar los criterios de impacto",R174)</f>
        <v>0</v>
      </c>
      <c r="T174" s="322"/>
      <c r="U174" s="323"/>
      <c r="V174" s="309"/>
      <c r="W174" s="252">
        <v>4</v>
      </c>
      <c r="X174" s="212" t="s">
        <v>798</v>
      </c>
      <c r="Y174" s="250" t="str">
        <f t="shared" si="499"/>
        <v>Probabilidad</v>
      </c>
      <c r="Z174" s="185" t="s">
        <v>208</v>
      </c>
      <c r="AA174" s="185" t="s">
        <v>216</v>
      </c>
      <c r="AB174" s="186" t="str">
        <f t="shared" si="475"/>
        <v>40%</v>
      </c>
      <c r="AC174" s="185" t="s">
        <v>219</v>
      </c>
      <c r="AD174" s="185" t="s">
        <v>224</v>
      </c>
      <c r="AE174" s="185" t="s">
        <v>228</v>
      </c>
      <c r="AF174" s="187">
        <f t="shared" si="513"/>
        <v>7.7759999999999996E-2</v>
      </c>
      <c r="AG174" s="188" t="str">
        <f t="shared" si="501"/>
        <v>Muy Baja</v>
      </c>
      <c r="AH174" s="186">
        <f t="shared" si="502"/>
        <v>7.7759999999999996E-2</v>
      </c>
      <c r="AI174" s="188" t="str">
        <f t="shared" ca="1" si="503"/>
        <v>Mayor</v>
      </c>
      <c r="AJ174" s="186">
        <f t="shared" ca="1" si="515"/>
        <v>0.8</v>
      </c>
      <c r="AK174" s="189" t="str">
        <f t="shared" ca="1" si="505"/>
        <v>Alto</v>
      </c>
      <c r="AL174" s="185" t="s">
        <v>262</v>
      </c>
      <c r="AM174" s="326"/>
      <c r="AN174" s="315"/>
      <c r="AO174" s="335"/>
      <c r="AP174" s="337"/>
      <c r="AQ174" s="315"/>
      <c r="AR174" s="336"/>
    </row>
    <row r="175" spans="1:44" s="191" customFormat="1" ht="129.75" thickTop="1" thickBot="1" x14ac:dyDescent="0.3">
      <c r="A175" s="310"/>
      <c r="B175" s="311"/>
      <c r="C175" s="315"/>
      <c r="D175" s="317"/>
      <c r="E175" s="315"/>
      <c r="F175" s="332"/>
      <c r="G175" s="332"/>
      <c r="H175" s="333"/>
      <c r="I175" s="320"/>
      <c r="J175" s="320"/>
      <c r="K175" s="320"/>
      <c r="L175" s="320"/>
      <c r="M175" s="315"/>
      <c r="N175" s="315"/>
      <c r="O175" s="321"/>
      <c r="P175" s="322"/>
      <c r="Q175" s="323"/>
      <c r="R175" s="323"/>
      <c r="S175" s="323">
        <f ca="1">IF(NOT(ISERROR(MATCH(R175,_xlfn.ANCHORARRAY(H183),0))),#REF!&amp;"Por favor no seleccionar los criterios de impacto",R175)</f>
        <v>0</v>
      </c>
      <c r="T175" s="322"/>
      <c r="U175" s="323"/>
      <c r="V175" s="309"/>
      <c r="W175" s="252">
        <v>5</v>
      </c>
      <c r="X175" s="212" t="s">
        <v>799</v>
      </c>
      <c r="Y175" s="250" t="str">
        <f t="shared" si="499"/>
        <v>Probabilidad</v>
      </c>
      <c r="Z175" s="185" t="s">
        <v>208</v>
      </c>
      <c r="AA175" s="185" t="s">
        <v>216</v>
      </c>
      <c r="AB175" s="186" t="str">
        <f t="shared" si="475"/>
        <v>40%</v>
      </c>
      <c r="AC175" s="185" t="s">
        <v>219</v>
      </c>
      <c r="AD175" s="185" t="s">
        <v>224</v>
      </c>
      <c r="AE175" s="185" t="s">
        <v>228</v>
      </c>
      <c r="AF175" s="187">
        <f t="shared" si="513"/>
        <v>4.6655999999999996E-2</v>
      </c>
      <c r="AG175" s="188" t="str">
        <f t="shared" si="501"/>
        <v>Muy Baja</v>
      </c>
      <c r="AH175" s="186">
        <f t="shared" si="502"/>
        <v>4.6655999999999996E-2</v>
      </c>
      <c r="AI175" s="188" t="str">
        <f t="shared" ca="1" si="503"/>
        <v>Mayor</v>
      </c>
      <c r="AJ175" s="186">
        <f t="shared" ca="1" si="515"/>
        <v>0.8</v>
      </c>
      <c r="AK175" s="189" t="str">
        <f t="shared" ca="1" si="505"/>
        <v>Alto</v>
      </c>
      <c r="AL175" s="185" t="s">
        <v>262</v>
      </c>
      <c r="AM175" s="326"/>
      <c r="AN175" s="315"/>
      <c r="AO175" s="335"/>
      <c r="AP175" s="337"/>
      <c r="AQ175" s="315"/>
      <c r="AR175" s="336"/>
    </row>
    <row r="176" spans="1:44" s="191" customFormat="1" ht="129.75" thickTop="1" thickBot="1" x14ac:dyDescent="0.3">
      <c r="A176" s="310"/>
      <c r="B176" s="311"/>
      <c r="C176" s="315"/>
      <c r="D176" s="317"/>
      <c r="E176" s="315"/>
      <c r="F176" s="332"/>
      <c r="G176" s="332"/>
      <c r="H176" s="333"/>
      <c r="I176" s="320"/>
      <c r="J176" s="320"/>
      <c r="K176" s="320"/>
      <c r="L176" s="320"/>
      <c r="M176" s="315"/>
      <c r="N176" s="315"/>
      <c r="O176" s="321"/>
      <c r="P176" s="322"/>
      <c r="Q176" s="323"/>
      <c r="R176" s="323"/>
      <c r="S176" s="323">
        <f ca="1">IF(NOT(ISERROR(MATCH(R176,_xlfn.ANCHORARRAY(#REF!),0))),Q184&amp;"Por favor no seleccionar los criterios de impacto",R176)</f>
        <v>0</v>
      </c>
      <c r="T176" s="322"/>
      <c r="U176" s="323"/>
      <c r="V176" s="309"/>
      <c r="W176" s="252">
        <v>6</v>
      </c>
      <c r="X176" s="212" t="s">
        <v>800</v>
      </c>
      <c r="Y176" s="250" t="str">
        <f t="shared" si="499"/>
        <v>Probabilidad</v>
      </c>
      <c r="Z176" s="185" t="s">
        <v>210</v>
      </c>
      <c r="AA176" s="185" t="s">
        <v>216</v>
      </c>
      <c r="AB176" s="186" t="str">
        <f t="shared" si="475"/>
        <v>30%</v>
      </c>
      <c r="AC176" s="185" t="s">
        <v>219</v>
      </c>
      <c r="AD176" s="185" t="s">
        <v>224</v>
      </c>
      <c r="AE176" s="185" t="s">
        <v>228</v>
      </c>
      <c r="AF176" s="187">
        <f t="shared" si="513"/>
        <v>3.2659199999999999E-2</v>
      </c>
      <c r="AG176" s="188" t="str">
        <f t="shared" si="501"/>
        <v>Muy Baja</v>
      </c>
      <c r="AH176" s="186">
        <f t="shared" si="502"/>
        <v>3.2659199999999999E-2</v>
      </c>
      <c r="AI176" s="188" t="str">
        <f t="shared" ca="1" si="503"/>
        <v>Mayor</v>
      </c>
      <c r="AJ176" s="186">
        <f t="shared" ca="1" si="515"/>
        <v>0.8</v>
      </c>
      <c r="AK176" s="189" t="str">
        <f t="shared" ca="1" si="505"/>
        <v>Alto</v>
      </c>
      <c r="AL176" s="185" t="s">
        <v>262</v>
      </c>
      <c r="AM176" s="326"/>
      <c r="AN176" s="315"/>
      <c r="AO176" s="335"/>
      <c r="AP176" s="337"/>
      <c r="AQ176" s="315"/>
      <c r="AR176" s="336"/>
    </row>
    <row r="177" spans="1:44" s="191" customFormat="1" ht="121.5" customHeight="1" thickTop="1" thickBot="1" x14ac:dyDescent="0.3">
      <c r="A177" s="310">
        <v>74</v>
      </c>
      <c r="B177" s="311" t="s">
        <v>803</v>
      </c>
      <c r="C177" s="315" t="s">
        <v>277</v>
      </c>
      <c r="D177" s="317" t="s">
        <v>795</v>
      </c>
      <c r="E177" s="315" t="s">
        <v>236</v>
      </c>
      <c r="F177" s="332" t="s">
        <v>804</v>
      </c>
      <c r="G177" s="332" t="s">
        <v>805</v>
      </c>
      <c r="H177" s="333" t="s">
        <v>1141</v>
      </c>
      <c r="I177" s="320" t="s">
        <v>474</v>
      </c>
      <c r="J177" s="320" t="s">
        <v>474</v>
      </c>
      <c r="K177" s="320" t="s">
        <v>474</v>
      </c>
      <c r="L177" s="320" t="s">
        <v>474</v>
      </c>
      <c r="M177" s="315" t="s">
        <v>466</v>
      </c>
      <c r="N177" s="315"/>
      <c r="O177" s="321">
        <v>365</v>
      </c>
      <c r="P177" s="322" t="str">
        <f t="shared" ref="P177:P188" si="516">IF(O177&lt;=0,"",IF(O177&lt;=2,"Muy Baja",IF(O177&lt;=24,"Baja",IF(O177&lt;=500,"Media",IF(O177&lt;=5000,"Alta","Muy Alta")))))</f>
        <v>Media</v>
      </c>
      <c r="Q177" s="323">
        <f t="shared" ref="Q177:Q188" si="517">IF(P177="","",IF(P177="Muy Baja",0.2,IF(P177="Baja",0.4,IF(P177="Media",0.6,IF(P177="Alta",0.8,IF(P177="Muy Alta",1,))))))</f>
        <v>0.6</v>
      </c>
      <c r="R177" s="323" t="s">
        <v>189</v>
      </c>
      <c r="S177" s="323" t="str">
        <f ca="1">IF(NOT(ISERROR(MATCH(R177,'Tabla Impacto'!$B$221:$B$223,0))),'Tabla Impacto'!$F$223&amp;"Por favor no seleccionar los criterios de impacto(Afectación Económica o presupuestal y Pérdida Reputacional)",R177)</f>
        <v xml:space="preserve">Entre 50 y 100 SMLMV </v>
      </c>
      <c r="T177" s="322" t="str">
        <f ca="1">+IF(OR(S177='[1]Tabla Impacto'!$C$11,S177='[1]Tabla Impacto'!$D$11),"Leve",IF(OR(S177='[1]Tabla Impacto'!$C$12,S177='[1]Tabla Impacto'!$D$12),"Menor",IF(OR(S177='[1]Tabla Impacto'!$C$13,S177='[1]Tabla Impacto'!$D$13),"Moderado",IF(OR(S177='[1]Tabla Impacto'!$C$14,S177='[1]Tabla Impacto'!$D$14),"Mayor",IF(OR(S177='[1]Tabla Impacto'!$C$15,S177='[1]Tabla Impacto'!$D$15),"Catastrófico","")))))</f>
        <v>Moderado</v>
      </c>
      <c r="U177" s="323">
        <f t="shared" ref="U177" ca="1" si="518">IF(T177="","",IF(T177="Leve",0.2,IF(T177="Menor",0.4,IF(T177="Moderado",0.6,IF(T177="Mayor",0.8,IF(T177="Catastrófico",1,))))))</f>
        <v>0.6</v>
      </c>
      <c r="V177" s="309" t="str">
        <f t="shared" ref="V177" ca="1" si="519">IF(OR(AND(P177="Muy Baja",T177="Leve"),AND(P177="Muy Baja",T177="Menor"),AND(P177="Baja",T177="Leve")),"Bajo",IF(OR(AND(P177="Muy baja",T177="Moderado"),AND(P177="Baja",T177="Menor"),AND(P177="Baja",T177="Moderado"),AND(P177="Media",T177="Leve"),AND(P177="Media",T177="Menor"),AND(P177="Media",T177="Moderado"),AND(P177="Alta",T177="Leve"),AND(P177="Alta",T177="Menor")),"Moderado",IF(OR(AND(P177="Muy Baja",T177="Mayor"),AND(P177="Baja",T177="Mayor"),AND(P177="Media",T177="Mayor"),AND(P177="Alta",T177="Moderado"),AND(P177="Alta",T177="Mayor"),AND(P177="Muy Alta",T177="Leve"),AND(P177="Muy Alta",T177="Menor"),AND(P177="Muy Alta",T177="Moderado"),AND(P177="Muy Alta",T177="Mayor")),"Alto",IF(OR(AND(P177="Muy Baja",T177="Catastrófico"),AND(P177="Baja",T177="Catastrófico"),AND(P177="Media",T177="Catastrófico"),AND(P177="Alta",T177="Catastrófico"),AND(P177="Muy Alta",T177="Catastrófico")),"Extremo",""))))</f>
        <v>Moderado</v>
      </c>
      <c r="W177" s="252">
        <v>1</v>
      </c>
      <c r="X177" s="212" t="s">
        <v>806</v>
      </c>
      <c r="Y177" s="250" t="str">
        <f t="shared" si="499"/>
        <v>Probabilidad</v>
      </c>
      <c r="Z177" s="185" t="s">
        <v>208</v>
      </c>
      <c r="AA177" s="185" t="s">
        <v>216</v>
      </c>
      <c r="AB177" s="186" t="str">
        <f t="shared" si="475"/>
        <v>40%</v>
      </c>
      <c r="AC177" s="185" t="s">
        <v>219</v>
      </c>
      <c r="AD177" s="185" t="s">
        <v>224</v>
      </c>
      <c r="AE177" s="185" t="s">
        <v>228</v>
      </c>
      <c r="AF177" s="187">
        <f t="shared" ref="AF177" si="520">IFERROR(IF(Y177="Probabilidad",(Q177-(+Q177*AB177)),IF(Y177="Impacto",Q177,"")),"")</f>
        <v>0.36</v>
      </c>
      <c r="AG177" s="188" t="str">
        <f t="shared" si="501"/>
        <v>Baja</v>
      </c>
      <c r="AH177" s="186">
        <f t="shared" si="502"/>
        <v>0.36</v>
      </c>
      <c r="AI177" s="188" t="str">
        <f t="shared" ca="1" si="503"/>
        <v>Moderado</v>
      </c>
      <c r="AJ177" s="186">
        <f t="shared" ref="AJ177" ca="1" si="521">IFERROR(IF(Y177="Impacto",(U177-(+U177*AB177)),IF(Y177="Probabilidad",U177,"")),"")</f>
        <v>0.6</v>
      </c>
      <c r="AK177" s="189" t="str">
        <f t="shared" ca="1" si="505"/>
        <v>Moderado</v>
      </c>
      <c r="AL177" s="185" t="s">
        <v>255</v>
      </c>
      <c r="AM177" s="246"/>
      <c r="AN177" s="250"/>
      <c r="AO177" s="245"/>
      <c r="AP177" s="245"/>
      <c r="AQ177" s="246"/>
      <c r="AR177" s="247"/>
    </row>
    <row r="178" spans="1:44" s="191" customFormat="1" ht="129.75" customHeight="1" thickTop="1" thickBot="1" x14ac:dyDescent="0.3">
      <c r="A178" s="310"/>
      <c r="B178" s="311"/>
      <c r="C178" s="315"/>
      <c r="D178" s="317"/>
      <c r="E178" s="315"/>
      <c r="F178" s="332"/>
      <c r="G178" s="332"/>
      <c r="H178" s="333"/>
      <c r="I178" s="320"/>
      <c r="J178" s="320"/>
      <c r="K178" s="320"/>
      <c r="L178" s="320"/>
      <c r="M178" s="315"/>
      <c r="N178" s="315"/>
      <c r="O178" s="321"/>
      <c r="P178" s="322"/>
      <c r="Q178" s="323"/>
      <c r="R178" s="323"/>
      <c r="S178" s="323">
        <f ca="1">IF(NOT(ISERROR(MATCH(R178,_xlfn.ANCHORARRAY(H184),0))),Q186&amp;"Por favor no seleccionar los criterios de impacto",R178)</f>
        <v>0</v>
      </c>
      <c r="T178" s="322"/>
      <c r="U178" s="323"/>
      <c r="V178" s="309"/>
      <c r="W178" s="252">
        <v>2</v>
      </c>
      <c r="X178" s="212" t="s">
        <v>807</v>
      </c>
      <c r="Y178" s="250" t="str">
        <f t="shared" si="499"/>
        <v>Probabilidad</v>
      </c>
      <c r="Z178" s="185" t="s">
        <v>208</v>
      </c>
      <c r="AA178" s="185" t="s">
        <v>216</v>
      </c>
      <c r="AB178" s="186" t="str">
        <f t="shared" si="475"/>
        <v>40%</v>
      </c>
      <c r="AC178" s="185" t="s">
        <v>219</v>
      </c>
      <c r="AD178" s="185" t="s">
        <v>224</v>
      </c>
      <c r="AE178" s="185" t="s">
        <v>228</v>
      </c>
      <c r="AF178" s="187">
        <f t="shared" ref="AF178:AF179" si="522">IFERROR(IF(AND(Y177="Probabilidad",Y178="Probabilidad"),(AH177-(+AH177*AB178)),IF(Y178="Probabilidad",(Q177-(+Q177*AB178)),IF(Y178="Impacto",AH177,""))),"")</f>
        <v>0.216</v>
      </c>
      <c r="AG178" s="188" t="str">
        <f t="shared" si="501"/>
        <v>Baja</v>
      </c>
      <c r="AH178" s="186">
        <f t="shared" si="502"/>
        <v>0.216</v>
      </c>
      <c r="AI178" s="188" t="str">
        <f t="shared" ca="1" si="503"/>
        <v>Moderado</v>
      </c>
      <c r="AJ178" s="186">
        <f t="shared" ref="AJ178" ca="1" si="523">IFERROR(IF(AND(Y177="Impacto",Y178="Impacto"),(AJ177-(+AJ177*AB178)),IF(Y178="Impacto",(U177-(+U177*AB178)),IF(Y178="Probabilidad",AJ177,""))),"")</f>
        <v>0.6</v>
      </c>
      <c r="AK178" s="189" t="str">
        <f t="shared" ca="1" si="505"/>
        <v>Moderado</v>
      </c>
      <c r="AL178" s="185" t="s">
        <v>255</v>
      </c>
      <c r="AM178" s="246"/>
      <c r="AN178" s="250"/>
      <c r="AO178" s="245"/>
      <c r="AP178" s="245"/>
      <c r="AQ178" s="246"/>
      <c r="AR178" s="247"/>
    </row>
    <row r="179" spans="1:44" s="191" customFormat="1" ht="144" customHeight="1" thickTop="1" thickBot="1" x14ac:dyDescent="0.3">
      <c r="A179" s="310"/>
      <c r="B179" s="311"/>
      <c r="C179" s="315"/>
      <c r="D179" s="317"/>
      <c r="E179" s="315"/>
      <c r="F179" s="332"/>
      <c r="G179" s="332"/>
      <c r="H179" s="333"/>
      <c r="I179" s="320"/>
      <c r="J179" s="320"/>
      <c r="K179" s="320"/>
      <c r="L179" s="320"/>
      <c r="M179" s="315"/>
      <c r="N179" s="315"/>
      <c r="O179" s="321"/>
      <c r="P179" s="322"/>
      <c r="Q179" s="323"/>
      <c r="R179" s="323"/>
      <c r="S179" s="323">
        <f ca="1">IF(NOT(ISERROR(MATCH(R179,_xlfn.ANCHORARRAY(H185),0))),Q187&amp;"Por favor no seleccionar los criterios de impacto",R179)</f>
        <v>0</v>
      </c>
      <c r="T179" s="322"/>
      <c r="U179" s="323"/>
      <c r="V179" s="309"/>
      <c r="W179" s="252">
        <v>3</v>
      </c>
      <c r="X179" s="212" t="s">
        <v>1059</v>
      </c>
      <c r="Y179" s="250" t="str">
        <f t="shared" si="499"/>
        <v>Probabilidad</v>
      </c>
      <c r="Z179" s="185" t="s">
        <v>208</v>
      </c>
      <c r="AA179" s="185" t="s">
        <v>216</v>
      </c>
      <c r="AB179" s="186" t="str">
        <f t="shared" si="475"/>
        <v>40%</v>
      </c>
      <c r="AC179" s="185" t="s">
        <v>219</v>
      </c>
      <c r="AD179" s="185" t="s">
        <v>224</v>
      </c>
      <c r="AE179" s="185" t="s">
        <v>228</v>
      </c>
      <c r="AF179" s="187">
        <f t="shared" si="522"/>
        <v>0.12959999999999999</v>
      </c>
      <c r="AG179" s="188" t="str">
        <f t="shared" si="501"/>
        <v>Muy Baja</v>
      </c>
      <c r="AH179" s="186">
        <f t="shared" si="502"/>
        <v>0.12959999999999999</v>
      </c>
      <c r="AI179" s="188" t="str">
        <f t="shared" ca="1" si="503"/>
        <v>Moderado</v>
      </c>
      <c r="AJ179" s="186">
        <f t="shared" ref="AJ179" ca="1" si="524">IFERROR(IF(AND(Y178="Impacto",Y179="Impacto"),(AJ178-(+AJ178*AB179)),IF(AND(Y178="Probabilidad",Y179="Impacto"),(AJ177-(+AJ177*AB179)),IF(Y179="Probabilidad",AJ178,""))),"")</f>
        <v>0.6</v>
      </c>
      <c r="AK179" s="189" t="str">
        <f t="shared" ca="1" si="505"/>
        <v>Moderado</v>
      </c>
      <c r="AL179" s="185" t="s">
        <v>255</v>
      </c>
      <c r="AM179" s="246"/>
      <c r="AN179" s="250"/>
      <c r="AO179" s="245"/>
      <c r="AP179" s="245"/>
      <c r="AQ179" s="246"/>
      <c r="AR179" s="247"/>
    </row>
    <row r="180" spans="1:44" s="191" customFormat="1" ht="139.5" customHeight="1" thickTop="1" thickBot="1" x14ac:dyDescent="0.3">
      <c r="A180" s="310">
        <v>75</v>
      </c>
      <c r="B180" s="311" t="s">
        <v>808</v>
      </c>
      <c r="C180" s="315" t="s">
        <v>277</v>
      </c>
      <c r="D180" s="317" t="s">
        <v>960</v>
      </c>
      <c r="E180" s="317" t="s">
        <v>240</v>
      </c>
      <c r="F180" s="318" t="s">
        <v>809</v>
      </c>
      <c r="G180" s="318" t="s">
        <v>810</v>
      </c>
      <c r="H180" s="319" t="s">
        <v>1163</v>
      </c>
      <c r="I180" s="320" t="s">
        <v>593</v>
      </c>
      <c r="J180" s="320" t="s">
        <v>593</v>
      </c>
      <c r="K180" s="320" t="s">
        <v>593</v>
      </c>
      <c r="L180" s="320" t="s">
        <v>593</v>
      </c>
      <c r="M180" s="331" t="s">
        <v>244</v>
      </c>
      <c r="N180" s="315"/>
      <c r="O180" s="321">
        <v>365</v>
      </c>
      <c r="P180" s="322" t="str">
        <f t="shared" si="516"/>
        <v>Media</v>
      </c>
      <c r="Q180" s="323">
        <f t="shared" si="517"/>
        <v>0.6</v>
      </c>
      <c r="R180" s="323" t="s">
        <v>192</v>
      </c>
      <c r="S180" s="323" t="str">
        <f ca="1">IF(NOT(ISERROR(MATCH(R180,'Tabla Impacto'!$B$221:$B$223,0))),'Tabla Impacto'!$F$223&amp;"Por favor no seleccionar los criterios de impacto(Afectación Económica o presupuestal y Pérdida Reputacional)",R180)</f>
        <v xml:space="preserve">Entre 100 y 500 SMLMV </v>
      </c>
      <c r="T180" s="322" t="str">
        <f ca="1">+IF(OR(S180='[1]Tabla Impacto'!$C$11,S180='[1]Tabla Impacto'!$D$11),"Leve",IF(OR(S180='[1]Tabla Impacto'!$C$12,S180='[1]Tabla Impacto'!$D$12),"Menor",IF(OR(S180='[1]Tabla Impacto'!$C$13,S180='[1]Tabla Impacto'!$D$13),"Moderado",IF(OR(S180='[1]Tabla Impacto'!$C$14,S180='[1]Tabla Impacto'!$D$14),"Mayor",IF(OR(S180='[1]Tabla Impacto'!$C$15,S180='[1]Tabla Impacto'!$D$15),"Catastrófico","")))))</f>
        <v>Mayor</v>
      </c>
      <c r="U180" s="323">
        <f t="shared" ref="U180" ca="1" si="525">IF(T180="","",IF(T180="Leve",0.2,IF(T180="Menor",0.4,IF(T180="Moderado",0.6,IF(T180="Mayor",0.8,IF(T180="Catastrófico",1,))))))</f>
        <v>0.8</v>
      </c>
      <c r="V180" s="309" t="str">
        <f t="shared" ref="V180" ca="1" si="526">IF(OR(AND(P180="Muy Baja",T180="Leve"),AND(P180="Muy Baja",T180="Menor"),AND(P180="Baja",T180="Leve")),"Bajo",IF(OR(AND(P180="Muy baja",T180="Moderado"),AND(P180="Baja",T180="Menor"),AND(P180="Baja",T180="Moderado"),AND(P180="Media",T180="Leve"),AND(P180="Media",T180="Menor"),AND(P180="Media",T180="Moderado"),AND(P180="Alta",T180="Leve"),AND(P180="Alta",T180="Menor")),"Moderado",IF(OR(AND(P180="Muy Baja",T180="Mayor"),AND(P180="Baja",T180="Mayor"),AND(P180="Media",T180="Mayor"),AND(P180="Alta",T180="Moderado"),AND(P180="Alta",T180="Mayor"),AND(P180="Muy Alta",T180="Leve"),AND(P180="Muy Alta",T180="Menor"),AND(P180="Muy Alta",T180="Moderado"),AND(P180="Muy Alta",T180="Mayor")),"Alto",IF(OR(AND(P180="Muy Baja",T180="Catastrófico"),AND(P180="Baja",T180="Catastrófico"),AND(P180="Media",T180="Catastrófico"),AND(P180="Alta",T180="Catastrófico"),AND(P180="Muy Alta",T180="Catastrófico")),"Extremo",""))))</f>
        <v>Alto</v>
      </c>
      <c r="W180" s="252">
        <v>1</v>
      </c>
      <c r="X180" s="207" t="s">
        <v>811</v>
      </c>
      <c r="Y180" s="250" t="str">
        <f t="shared" si="499"/>
        <v>Probabilidad</v>
      </c>
      <c r="Z180" s="185" t="s">
        <v>208</v>
      </c>
      <c r="AA180" s="185" t="s">
        <v>216</v>
      </c>
      <c r="AB180" s="186" t="str">
        <f t="shared" si="475"/>
        <v>40%</v>
      </c>
      <c r="AC180" s="185" t="s">
        <v>219</v>
      </c>
      <c r="AD180" s="185" t="s">
        <v>224</v>
      </c>
      <c r="AE180" s="185" t="s">
        <v>228</v>
      </c>
      <c r="AF180" s="187">
        <f t="shared" ref="AF180" si="527">IFERROR(IF(Y180="Probabilidad",(Q180-(+Q180*AB180)),IF(Y180="Impacto",Q180,"")),"")</f>
        <v>0.36</v>
      </c>
      <c r="AG180" s="188" t="str">
        <f t="shared" si="501"/>
        <v>Baja</v>
      </c>
      <c r="AH180" s="186">
        <f t="shared" si="502"/>
        <v>0.36</v>
      </c>
      <c r="AI180" s="188" t="str">
        <f t="shared" ca="1" si="503"/>
        <v>Mayor</v>
      </c>
      <c r="AJ180" s="186">
        <f t="shared" ref="AJ180" ca="1" si="528">IFERROR(IF(Y180="Impacto",(U180-(+U180*AB180)),IF(Y180="Probabilidad",U180,"")),"")</f>
        <v>0.8</v>
      </c>
      <c r="AK180" s="189" t="str">
        <f t="shared" ca="1" si="505"/>
        <v>Alto</v>
      </c>
      <c r="AL180" s="185" t="s">
        <v>262</v>
      </c>
      <c r="AM180" s="338" t="s">
        <v>812</v>
      </c>
      <c r="AN180" s="339" t="s">
        <v>814</v>
      </c>
      <c r="AO180" s="340">
        <v>45689</v>
      </c>
      <c r="AP180" s="341" t="s">
        <v>535</v>
      </c>
      <c r="AQ180" s="315" t="s">
        <v>813</v>
      </c>
      <c r="AR180" s="342" t="s">
        <v>259</v>
      </c>
    </row>
    <row r="181" spans="1:44" s="191" customFormat="1" ht="210" customHeight="1" thickTop="1" thickBot="1" x14ac:dyDescent="0.3">
      <c r="A181" s="310"/>
      <c r="B181" s="311"/>
      <c r="C181" s="315"/>
      <c r="D181" s="317"/>
      <c r="E181" s="317"/>
      <c r="F181" s="318"/>
      <c r="G181" s="318"/>
      <c r="H181" s="319"/>
      <c r="I181" s="320"/>
      <c r="J181" s="320"/>
      <c r="K181" s="320"/>
      <c r="L181" s="320"/>
      <c r="M181" s="331"/>
      <c r="N181" s="315"/>
      <c r="O181" s="321"/>
      <c r="P181" s="322"/>
      <c r="Q181" s="323"/>
      <c r="R181" s="323"/>
      <c r="S181" s="323">
        <f ca="1">IF(NOT(ISERROR(MATCH(R181,_xlfn.ANCHORARRAY(H188),0))),#REF!&amp;"Por favor no seleccionar los criterios de impacto",R181)</f>
        <v>0</v>
      </c>
      <c r="T181" s="322"/>
      <c r="U181" s="323"/>
      <c r="V181" s="309"/>
      <c r="W181" s="252">
        <v>2</v>
      </c>
      <c r="X181" s="207" t="s">
        <v>1060</v>
      </c>
      <c r="Y181" s="250" t="str">
        <f t="shared" si="499"/>
        <v>Probabilidad</v>
      </c>
      <c r="Z181" s="185" t="s">
        <v>208</v>
      </c>
      <c r="AA181" s="185" t="s">
        <v>216</v>
      </c>
      <c r="AB181" s="186" t="str">
        <f t="shared" si="475"/>
        <v>40%</v>
      </c>
      <c r="AC181" s="185" t="s">
        <v>219</v>
      </c>
      <c r="AD181" s="185" t="s">
        <v>224</v>
      </c>
      <c r="AE181" s="185" t="s">
        <v>228</v>
      </c>
      <c r="AF181" s="187">
        <f t="shared" ref="AF181:AF183" si="529">IFERROR(IF(AND(Y180="Probabilidad",Y181="Probabilidad"),(AH180-(+AH180*AB181)),IF(Y181="Probabilidad",(Q180-(+Q180*AB181)),IF(Y181="Impacto",AH180,""))),"")</f>
        <v>0.216</v>
      </c>
      <c r="AG181" s="188" t="str">
        <f t="shared" si="501"/>
        <v>Baja</v>
      </c>
      <c r="AH181" s="186">
        <f t="shared" si="502"/>
        <v>0.216</v>
      </c>
      <c r="AI181" s="188" t="str">
        <f t="shared" ca="1" si="503"/>
        <v>Mayor</v>
      </c>
      <c r="AJ181" s="186">
        <f t="shared" ref="AJ181" ca="1" si="530">IFERROR(IF(AND(Y180="Impacto",Y181="Impacto"),(AJ180-(+AJ180*AB181)),IF(Y181="Impacto",(U180-(+U180*AB181)),IF(Y181="Probabilidad",AJ180,""))),"")</f>
        <v>0.8</v>
      </c>
      <c r="AK181" s="189" t="str">
        <f t="shared" ca="1" si="505"/>
        <v>Alto</v>
      </c>
      <c r="AL181" s="185" t="s">
        <v>262</v>
      </c>
      <c r="AM181" s="338"/>
      <c r="AN181" s="339"/>
      <c r="AO181" s="340"/>
      <c r="AP181" s="341"/>
      <c r="AQ181" s="315"/>
      <c r="AR181" s="342"/>
    </row>
    <row r="182" spans="1:44" s="191" customFormat="1" ht="154.5" customHeight="1" thickTop="1" thickBot="1" x14ac:dyDescent="0.3">
      <c r="A182" s="310"/>
      <c r="B182" s="311"/>
      <c r="C182" s="315"/>
      <c r="D182" s="317"/>
      <c r="E182" s="317"/>
      <c r="F182" s="318"/>
      <c r="G182" s="318"/>
      <c r="H182" s="319"/>
      <c r="I182" s="320"/>
      <c r="J182" s="320"/>
      <c r="K182" s="320"/>
      <c r="L182" s="320"/>
      <c r="M182" s="331"/>
      <c r="N182" s="315"/>
      <c r="O182" s="321"/>
      <c r="P182" s="322"/>
      <c r="Q182" s="323"/>
      <c r="R182" s="323"/>
      <c r="S182" s="323">
        <f ca="1">IF(NOT(ISERROR(MATCH(R182,_xlfn.ANCHORARRAY(H189),0))),#REF!&amp;"Por favor no seleccionar los criterios de impacto",R182)</f>
        <v>0</v>
      </c>
      <c r="T182" s="322"/>
      <c r="U182" s="323"/>
      <c r="V182" s="309"/>
      <c r="W182" s="252">
        <v>3</v>
      </c>
      <c r="X182" s="207" t="s">
        <v>1061</v>
      </c>
      <c r="Y182" s="250" t="str">
        <f t="shared" si="499"/>
        <v>Probabilidad</v>
      </c>
      <c r="Z182" s="185" t="s">
        <v>208</v>
      </c>
      <c r="AA182" s="185" t="s">
        <v>216</v>
      </c>
      <c r="AB182" s="186" t="str">
        <f t="shared" si="475"/>
        <v>40%</v>
      </c>
      <c r="AC182" s="185" t="s">
        <v>219</v>
      </c>
      <c r="AD182" s="185" t="s">
        <v>224</v>
      </c>
      <c r="AE182" s="185" t="s">
        <v>228</v>
      </c>
      <c r="AF182" s="187">
        <f t="shared" si="529"/>
        <v>0.12959999999999999</v>
      </c>
      <c r="AG182" s="188" t="str">
        <f t="shared" si="501"/>
        <v>Muy Baja</v>
      </c>
      <c r="AH182" s="186">
        <f t="shared" si="502"/>
        <v>0.12959999999999999</v>
      </c>
      <c r="AI182" s="188" t="str">
        <f t="shared" ca="1" si="503"/>
        <v>Mayor</v>
      </c>
      <c r="AJ182" s="186">
        <f t="shared" ref="AJ182:AJ183" ca="1" si="531">IFERROR(IF(AND(Y181="Impacto",Y182="Impacto"),(AJ181-(+AJ181*AB182)),IF(AND(Y181="Probabilidad",Y182="Impacto"),(AJ180-(+AJ180*AB182)),IF(Y182="Probabilidad",AJ181,""))),"")</f>
        <v>0.8</v>
      </c>
      <c r="AK182" s="189" t="str">
        <f t="shared" ca="1" si="505"/>
        <v>Alto</v>
      </c>
      <c r="AL182" s="185" t="s">
        <v>262</v>
      </c>
      <c r="AM182" s="338"/>
      <c r="AN182" s="339"/>
      <c r="AO182" s="340"/>
      <c r="AP182" s="341"/>
      <c r="AQ182" s="315"/>
      <c r="AR182" s="342"/>
    </row>
    <row r="183" spans="1:44" s="191" customFormat="1" ht="326.25" customHeight="1" thickTop="1" thickBot="1" x14ac:dyDescent="0.3">
      <c r="A183" s="310"/>
      <c r="B183" s="311"/>
      <c r="C183" s="315"/>
      <c r="D183" s="317"/>
      <c r="E183" s="317"/>
      <c r="F183" s="318"/>
      <c r="G183" s="318"/>
      <c r="H183" s="319"/>
      <c r="I183" s="320"/>
      <c r="J183" s="320"/>
      <c r="K183" s="320"/>
      <c r="L183" s="320"/>
      <c r="M183" s="331"/>
      <c r="N183" s="315"/>
      <c r="O183" s="321"/>
      <c r="P183" s="322"/>
      <c r="Q183" s="323"/>
      <c r="R183" s="323"/>
      <c r="S183" s="323">
        <f ca="1">IF(NOT(ISERROR(MATCH(R183,_xlfn.ANCHORARRAY(#REF!),0))),#REF!&amp;"Por favor no seleccionar los criterios de impacto",R183)</f>
        <v>0</v>
      </c>
      <c r="T183" s="322"/>
      <c r="U183" s="323"/>
      <c r="V183" s="309"/>
      <c r="W183" s="252">
        <v>4</v>
      </c>
      <c r="X183" s="207" t="s">
        <v>1082</v>
      </c>
      <c r="Y183" s="250" t="str">
        <f t="shared" si="499"/>
        <v>Probabilidad</v>
      </c>
      <c r="Z183" s="185" t="s">
        <v>210</v>
      </c>
      <c r="AA183" s="185" t="s">
        <v>216</v>
      </c>
      <c r="AB183" s="186" t="str">
        <f t="shared" si="475"/>
        <v>30%</v>
      </c>
      <c r="AC183" s="185" t="s">
        <v>219</v>
      </c>
      <c r="AD183" s="185" t="s">
        <v>224</v>
      </c>
      <c r="AE183" s="185" t="s">
        <v>228</v>
      </c>
      <c r="AF183" s="187">
        <f t="shared" si="529"/>
        <v>9.0719999999999995E-2</v>
      </c>
      <c r="AG183" s="188" t="str">
        <f t="shared" si="501"/>
        <v>Muy Baja</v>
      </c>
      <c r="AH183" s="186">
        <f t="shared" si="502"/>
        <v>9.0719999999999995E-2</v>
      </c>
      <c r="AI183" s="188" t="str">
        <f t="shared" ca="1" si="503"/>
        <v>Mayor</v>
      </c>
      <c r="AJ183" s="186">
        <f t="shared" ca="1" si="531"/>
        <v>0.8</v>
      </c>
      <c r="AK183" s="189" t="str">
        <f t="shared" ca="1" si="505"/>
        <v>Alto</v>
      </c>
      <c r="AL183" s="185" t="s">
        <v>262</v>
      </c>
      <c r="AM183" s="338"/>
      <c r="AN183" s="339"/>
      <c r="AO183" s="340"/>
      <c r="AP183" s="341"/>
      <c r="AQ183" s="315"/>
      <c r="AR183" s="342"/>
    </row>
    <row r="184" spans="1:44" s="191" customFormat="1" ht="141.75" customHeight="1" thickTop="1" thickBot="1" x14ac:dyDescent="0.3">
      <c r="A184" s="310">
        <v>76</v>
      </c>
      <c r="B184" s="311" t="s">
        <v>815</v>
      </c>
      <c r="C184" s="315" t="s">
        <v>277</v>
      </c>
      <c r="D184" s="317" t="s">
        <v>960</v>
      </c>
      <c r="E184" s="317" t="s">
        <v>236</v>
      </c>
      <c r="F184" s="318" t="s">
        <v>809</v>
      </c>
      <c r="G184" s="318" t="s">
        <v>816</v>
      </c>
      <c r="H184" s="319" t="s">
        <v>1164</v>
      </c>
      <c r="I184" s="320" t="s">
        <v>593</v>
      </c>
      <c r="J184" s="320" t="s">
        <v>593</v>
      </c>
      <c r="K184" s="320" t="s">
        <v>593</v>
      </c>
      <c r="L184" s="320" t="s">
        <v>593</v>
      </c>
      <c r="M184" s="331" t="s">
        <v>244</v>
      </c>
      <c r="N184" s="315"/>
      <c r="O184" s="321">
        <v>365</v>
      </c>
      <c r="P184" s="322" t="str">
        <f t="shared" si="516"/>
        <v>Media</v>
      </c>
      <c r="Q184" s="323">
        <f t="shared" si="517"/>
        <v>0.6</v>
      </c>
      <c r="R184" s="323" t="s">
        <v>192</v>
      </c>
      <c r="S184" s="323" t="str">
        <f ca="1">IF(NOT(ISERROR(MATCH(R184,'Tabla Impacto'!$B$221:$B$223,0))),'Tabla Impacto'!$F$223&amp;"Por favor no seleccionar los criterios de impacto(Afectación Económica o presupuestal y Pérdida Reputacional)",R184)</f>
        <v xml:space="preserve">Entre 100 y 500 SMLMV </v>
      </c>
      <c r="T184" s="322" t="str">
        <f ca="1">+IF(OR(S184='[1]Tabla Impacto'!$C$11,S184='[1]Tabla Impacto'!$D$11),"Leve",IF(OR(S184='[1]Tabla Impacto'!$C$12,S184='[1]Tabla Impacto'!$D$12),"Menor",IF(OR(S184='[1]Tabla Impacto'!$C$13,S184='[1]Tabla Impacto'!$D$13),"Moderado",IF(OR(S184='[1]Tabla Impacto'!$C$14,S184='[1]Tabla Impacto'!$D$14),"Mayor",IF(OR(S184='[1]Tabla Impacto'!$C$15,S184='[1]Tabla Impacto'!$D$15),"Catastrófico","")))))</f>
        <v>Mayor</v>
      </c>
      <c r="U184" s="323">
        <f t="shared" ref="U184" ca="1" si="532">IF(T184="","",IF(T184="Leve",0.2,IF(T184="Menor",0.4,IF(T184="Moderado",0.6,IF(T184="Mayor",0.8,IF(T184="Catastrófico",1,))))))</f>
        <v>0.8</v>
      </c>
      <c r="V184" s="309" t="str">
        <f t="shared" ref="V184" ca="1" si="533">IF(OR(AND(P184="Muy Baja",T184="Leve"),AND(P184="Muy Baja",T184="Menor"),AND(P184="Baja",T184="Leve")),"Bajo",IF(OR(AND(P184="Muy baja",T184="Moderado"),AND(P184="Baja",T184="Menor"),AND(P184="Baja",T184="Moderado"),AND(P184="Media",T184="Leve"),AND(P184="Media",T184="Menor"),AND(P184="Media",T184="Moderado"),AND(P184="Alta",T184="Leve"),AND(P184="Alta",T184="Menor")),"Moderado",IF(OR(AND(P184="Muy Baja",T184="Mayor"),AND(P184="Baja",T184="Mayor"),AND(P184="Media",T184="Mayor"),AND(P184="Alta",T184="Moderado"),AND(P184="Alta",T184="Mayor"),AND(P184="Muy Alta",T184="Leve"),AND(P184="Muy Alta",T184="Menor"),AND(P184="Muy Alta",T184="Moderado"),AND(P184="Muy Alta",T184="Mayor")),"Alto",IF(OR(AND(P184="Muy Baja",T184="Catastrófico"),AND(P184="Baja",T184="Catastrófico"),AND(P184="Media",T184="Catastrófico"),AND(P184="Alta",T184="Catastrófico"),AND(P184="Muy Alta",T184="Catastrófico")),"Extremo",""))))</f>
        <v>Alto</v>
      </c>
      <c r="W184" s="252">
        <v>1</v>
      </c>
      <c r="X184" s="208" t="s">
        <v>1062</v>
      </c>
      <c r="Y184" s="250" t="str">
        <f t="shared" si="499"/>
        <v>Probabilidad</v>
      </c>
      <c r="Z184" s="185" t="s">
        <v>208</v>
      </c>
      <c r="AA184" s="185" t="s">
        <v>216</v>
      </c>
      <c r="AB184" s="186" t="str">
        <f t="shared" si="475"/>
        <v>40%</v>
      </c>
      <c r="AC184" s="185" t="s">
        <v>219</v>
      </c>
      <c r="AD184" s="185" t="s">
        <v>224</v>
      </c>
      <c r="AE184" s="185" t="s">
        <v>228</v>
      </c>
      <c r="AF184" s="187">
        <f t="shared" ref="AF184" si="534">IFERROR(IF(Y184="Probabilidad",(Q184-(+Q184*AB184)),IF(Y184="Impacto",Q184,"")),"")</f>
        <v>0.36</v>
      </c>
      <c r="AG184" s="188" t="str">
        <f t="shared" si="501"/>
        <v>Baja</v>
      </c>
      <c r="AH184" s="186">
        <f t="shared" si="502"/>
        <v>0.36</v>
      </c>
      <c r="AI184" s="188" t="str">
        <f t="shared" ca="1" si="503"/>
        <v>Mayor</v>
      </c>
      <c r="AJ184" s="186">
        <f t="shared" ref="AJ184" ca="1" si="535">IFERROR(IF(Y184="Impacto",(U184-(+U184*AB184)),IF(Y184="Probabilidad",U184,"")),"")</f>
        <v>0.8</v>
      </c>
      <c r="AK184" s="189" t="str">
        <f t="shared" ca="1" si="505"/>
        <v>Alto</v>
      </c>
      <c r="AL184" s="185" t="s">
        <v>262</v>
      </c>
      <c r="AM184" s="338" t="s">
        <v>817</v>
      </c>
      <c r="AN184" s="341" t="s">
        <v>818</v>
      </c>
      <c r="AO184" s="340">
        <v>45689</v>
      </c>
      <c r="AP184" s="339" t="s">
        <v>535</v>
      </c>
      <c r="AQ184" s="341"/>
      <c r="AR184" s="342" t="s">
        <v>259</v>
      </c>
    </row>
    <row r="185" spans="1:44" s="191" customFormat="1" ht="126.75" customHeight="1" thickTop="1" thickBot="1" x14ac:dyDescent="0.3">
      <c r="A185" s="310"/>
      <c r="B185" s="311"/>
      <c r="C185" s="315"/>
      <c r="D185" s="317"/>
      <c r="E185" s="317"/>
      <c r="F185" s="318"/>
      <c r="G185" s="318"/>
      <c r="H185" s="319"/>
      <c r="I185" s="320"/>
      <c r="J185" s="320"/>
      <c r="K185" s="320"/>
      <c r="L185" s="320"/>
      <c r="M185" s="331"/>
      <c r="N185" s="315"/>
      <c r="O185" s="321"/>
      <c r="P185" s="322"/>
      <c r="Q185" s="323"/>
      <c r="R185" s="323"/>
      <c r="S185" s="323">
        <f ca="1">IF(NOT(ISERROR(MATCH(R185,_xlfn.ANCHORARRAY(H196),0))),Q198&amp;"Por favor no seleccionar los criterios de impacto",R185)</f>
        <v>0</v>
      </c>
      <c r="T185" s="322"/>
      <c r="U185" s="323"/>
      <c r="V185" s="309"/>
      <c r="W185" s="252">
        <v>2</v>
      </c>
      <c r="X185" s="208" t="s">
        <v>1063</v>
      </c>
      <c r="Y185" s="250" t="str">
        <f t="shared" si="499"/>
        <v>Probabilidad</v>
      </c>
      <c r="Z185" s="185" t="s">
        <v>208</v>
      </c>
      <c r="AA185" s="185" t="s">
        <v>216</v>
      </c>
      <c r="AB185" s="186" t="str">
        <f t="shared" ref="AB185:AB221" si="536">IF(AND(Z185="Preventivo",AA185="Automático"),"50%",IF(AND(Z185="Preventivo",AA185="Manual"),"40%",IF(AND(Z185="Detectivo",AA185="Automático"),"40%",IF(AND(Z185="Detectivo",AA185="Manual"),"30%",IF(AND(Z185="Correctivo",AA185="Automático"),"35%",IF(AND(Z185="Correctivo",AA185="Manual"),"25%",""))))))</f>
        <v>40%</v>
      </c>
      <c r="AC185" s="185" t="s">
        <v>219</v>
      </c>
      <c r="AD185" s="185" t="s">
        <v>224</v>
      </c>
      <c r="AE185" s="185" t="s">
        <v>228</v>
      </c>
      <c r="AF185" s="187">
        <f t="shared" ref="AF185:AF187" si="537">IFERROR(IF(AND(Y184="Probabilidad",Y185="Probabilidad"),(AH184-(+AH184*AB185)),IF(Y185="Probabilidad",(Q184-(+Q184*AB185)),IF(Y185="Impacto",AH184,""))),"")</f>
        <v>0.216</v>
      </c>
      <c r="AG185" s="188" t="str">
        <f t="shared" si="501"/>
        <v>Baja</v>
      </c>
      <c r="AH185" s="186">
        <f t="shared" si="502"/>
        <v>0.216</v>
      </c>
      <c r="AI185" s="188" t="str">
        <f t="shared" ca="1" si="503"/>
        <v>Mayor</v>
      </c>
      <c r="AJ185" s="186">
        <f t="shared" ref="AJ185" ca="1" si="538">IFERROR(IF(AND(Y184="Impacto",Y185="Impacto"),(AJ184-(+AJ184*AB185)),IF(Y185="Impacto",(U184-(+U184*AB185)),IF(Y185="Probabilidad",AJ184,""))),"")</f>
        <v>0.8</v>
      </c>
      <c r="AK185" s="189" t="str">
        <f t="shared" ca="1" si="505"/>
        <v>Alto</v>
      </c>
      <c r="AL185" s="185" t="s">
        <v>262</v>
      </c>
      <c r="AM185" s="338"/>
      <c r="AN185" s="341"/>
      <c r="AO185" s="340"/>
      <c r="AP185" s="339"/>
      <c r="AQ185" s="341"/>
      <c r="AR185" s="342"/>
    </row>
    <row r="186" spans="1:44" s="191" customFormat="1" ht="132" customHeight="1" thickTop="1" thickBot="1" x14ac:dyDescent="0.3">
      <c r="A186" s="310"/>
      <c r="B186" s="311"/>
      <c r="C186" s="315"/>
      <c r="D186" s="317"/>
      <c r="E186" s="317"/>
      <c r="F186" s="318"/>
      <c r="G186" s="318"/>
      <c r="H186" s="319"/>
      <c r="I186" s="320"/>
      <c r="J186" s="320"/>
      <c r="K186" s="320"/>
      <c r="L186" s="320"/>
      <c r="M186" s="331"/>
      <c r="N186" s="315"/>
      <c r="O186" s="321"/>
      <c r="P186" s="322"/>
      <c r="Q186" s="323"/>
      <c r="R186" s="323"/>
      <c r="S186" s="323">
        <f ca="1">IF(NOT(ISERROR(MATCH(R186,_xlfn.ANCHORARRAY(H197),0))),#REF!&amp;"Por favor no seleccionar los criterios de impacto",R186)</f>
        <v>0</v>
      </c>
      <c r="T186" s="322"/>
      <c r="U186" s="323"/>
      <c r="V186" s="309"/>
      <c r="W186" s="252">
        <v>3</v>
      </c>
      <c r="X186" s="208" t="s">
        <v>1064</v>
      </c>
      <c r="Y186" s="250" t="str">
        <f t="shared" si="499"/>
        <v>Probabilidad</v>
      </c>
      <c r="Z186" s="185" t="s">
        <v>208</v>
      </c>
      <c r="AA186" s="185" t="s">
        <v>216</v>
      </c>
      <c r="AB186" s="186" t="str">
        <f t="shared" si="536"/>
        <v>40%</v>
      </c>
      <c r="AC186" s="185" t="s">
        <v>219</v>
      </c>
      <c r="AD186" s="185" t="s">
        <v>224</v>
      </c>
      <c r="AE186" s="185" t="s">
        <v>228</v>
      </c>
      <c r="AF186" s="187">
        <f t="shared" si="537"/>
        <v>0.12959999999999999</v>
      </c>
      <c r="AG186" s="188" t="str">
        <f t="shared" si="501"/>
        <v>Muy Baja</v>
      </c>
      <c r="AH186" s="186">
        <f t="shared" si="502"/>
        <v>0.12959999999999999</v>
      </c>
      <c r="AI186" s="188" t="str">
        <f t="shared" ca="1" si="503"/>
        <v>Mayor</v>
      </c>
      <c r="AJ186" s="186">
        <f t="shared" ref="AJ186:AJ187" ca="1" si="539">IFERROR(IF(AND(Y185="Impacto",Y186="Impacto"),(AJ185-(+AJ185*AB186)),IF(AND(Y185="Probabilidad",Y186="Impacto"),(AJ184-(+AJ184*AB186)),IF(Y186="Probabilidad",AJ185,""))),"")</f>
        <v>0.8</v>
      </c>
      <c r="AK186" s="189" t="str">
        <f t="shared" ca="1" si="505"/>
        <v>Alto</v>
      </c>
      <c r="AL186" s="185" t="s">
        <v>262</v>
      </c>
      <c r="AM186" s="338"/>
      <c r="AN186" s="341"/>
      <c r="AO186" s="340"/>
      <c r="AP186" s="339"/>
      <c r="AQ186" s="341"/>
      <c r="AR186" s="342"/>
    </row>
    <row r="187" spans="1:44" s="191" customFormat="1" ht="321.75" customHeight="1" thickTop="1" thickBot="1" x14ac:dyDescent="0.3">
      <c r="A187" s="310"/>
      <c r="B187" s="311"/>
      <c r="C187" s="315"/>
      <c r="D187" s="317"/>
      <c r="E187" s="317"/>
      <c r="F187" s="318"/>
      <c r="G187" s="318"/>
      <c r="H187" s="319"/>
      <c r="I187" s="320"/>
      <c r="J187" s="320"/>
      <c r="K187" s="320"/>
      <c r="L187" s="320"/>
      <c r="M187" s="331"/>
      <c r="N187" s="315"/>
      <c r="O187" s="321"/>
      <c r="P187" s="322"/>
      <c r="Q187" s="323"/>
      <c r="R187" s="323"/>
      <c r="S187" s="323">
        <f ca="1">IF(NOT(ISERROR(MATCH(R187,_xlfn.ANCHORARRAY(H198),0))),#REF!&amp;"Por favor no seleccionar los criterios de impacto",R187)</f>
        <v>0</v>
      </c>
      <c r="T187" s="322"/>
      <c r="U187" s="323"/>
      <c r="V187" s="309"/>
      <c r="W187" s="252">
        <v>4</v>
      </c>
      <c r="X187" s="207" t="s">
        <v>1221</v>
      </c>
      <c r="Y187" s="250" t="str">
        <f t="shared" si="499"/>
        <v>Probabilidad</v>
      </c>
      <c r="Z187" s="185" t="s">
        <v>210</v>
      </c>
      <c r="AA187" s="185" t="s">
        <v>216</v>
      </c>
      <c r="AB187" s="186" t="str">
        <f t="shared" si="536"/>
        <v>30%</v>
      </c>
      <c r="AC187" s="185" t="s">
        <v>219</v>
      </c>
      <c r="AD187" s="185" t="s">
        <v>224</v>
      </c>
      <c r="AE187" s="185" t="s">
        <v>228</v>
      </c>
      <c r="AF187" s="187">
        <f t="shared" si="537"/>
        <v>9.0719999999999995E-2</v>
      </c>
      <c r="AG187" s="188" t="str">
        <f t="shared" si="501"/>
        <v>Muy Baja</v>
      </c>
      <c r="AH187" s="186">
        <f t="shared" si="502"/>
        <v>9.0719999999999995E-2</v>
      </c>
      <c r="AI187" s="188" t="str">
        <f t="shared" ca="1" si="503"/>
        <v>Mayor</v>
      </c>
      <c r="AJ187" s="186">
        <f t="shared" ca="1" si="539"/>
        <v>0.8</v>
      </c>
      <c r="AK187" s="189" t="str">
        <f t="shared" ca="1" si="505"/>
        <v>Alto</v>
      </c>
      <c r="AL187" s="185" t="s">
        <v>262</v>
      </c>
      <c r="AM187" s="338"/>
      <c r="AN187" s="341"/>
      <c r="AO187" s="340"/>
      <c r="AP187" s="339"/>
      <c r="AQ187" s="341"/>
      <c r="AR187" s="342"/>
    </row>
    <row r="188" spans="1:44" s="191" customFormat="1" ht="255" customHeight="1" thickTop="1" thickBot="1" x14ac:dyDescent="0.3">
      <c r="A188" s="310">
        <v>77</v>
      </c>
      <c r="B188" s="311" t="s">
        <v>819</v>
      </c>
      <c r="C188" s="315" t="s">
        <v>277</v>
      </c>
      <c r="D188" s="317" t="s">
        <v>960</v>
      </c>
      <c r="E188" s="315" t="s">
        <v>240</v>
      </c>
      <c r="F188" s="332" t="s">
        <v>659</v>
      </c>
      <c r="G188" s="332" t="s">
        <v>820</v>
      </c>
      <c r="H188" s="333" t="s">
        <v>1142</v>
      </c>
      <c r="I188" s="320" t="s">
        <v>474</v>
      </c>
      <c r="J188" s="320" t="s">
        <v>474</v>
      </c>
      <c r="K188" s="320" t="s">
        <v>474</v>
      </c>
      <c r="L188" s="320" t="s">
        <v>474</v>
      </c>
      <c r="M188" s="315" t="s">
        <v>239</v>
      </c>
      <c r="N188" s="315"/>
      <c r="O188" s="321">
        <v>1500</v>
      </c>
      <c r="P188" s="322" t="str">
        <f t="shared" si="516"/>
        <v>Alta</v>
      </c>
      <c r="Q188" s="323">
        <f t="shared" si="517"/>
        <v>0.8</v>
      </c>
      <c r="R188" s="323" t="s">
        <v>184</v>
      </c>
      <c r="S188" s="323" t="str">
        <f ca="1">IF(NOT(ISERROR(MATCH(R188,'Tabla Impacto'!$B$221:$B$223,0))),'Tabla Impacto'!$F$223&amp;"Por favor no seleccionar los criterios de impacto(Afectación Económica o presupuestal y Pérdida Reputacional)",R188)</f>
        <v>El riesgo afecta la imagen de alguna área de la organización</v>
      </c>
      <c r="T188" s="322" t="str">
        <f ca="1">+IF(OR(S188='[1]Tabla Impacto'!$C$11,S188='[1]Tabla Impacto'!$D$11),"Leve",IF(OR(S188='[1]Tabla Impacto'!$C$12,S188='[1]Tabla Impacto'!$D$12),"Menor",IF(OR(S188='[1]Tabla Impacto'!$C$13,S188='[1]Tabla Impacto'!$D$13),"Moderado",IF(OR(S188='[1]Tabla Impacto'!$C$14,S188='[1]Tabla Impacto'!$D$14),"Mayor",IF(OR(S188='[1]Tabla Impacto'!$C$15,S188='[1]Tabla Impacto'!$D$15),"Catastrófico","")))))</f>
        <v>Leve</v>
      </c>
      <c r="U188" s="323">
        <f t="shared" ref="U188" ca="1" si="540">IF(T188="","",IF(T188="Leve",0.2,IF(T188="Menor",0.4,IF(T188="Moderado",0.6,IF(T188="Mayor",0.8,IF(T188="Catastrófico",1,))))))</f>
        <v>0.2</v>
      </c>
      <c r="V188" s="309" t="str">
        <f t="shared" ref="V188" ca="1" si="541">IF(OR(AND(P188="Muy Baja",T188="Leve"),AND(P188="Muy Baja",T188="Menor"),AND(P188="Baja",T188="Leve")),"Bajo",IF(OR(AND(P188="Muy baja",T188="Moderado"),AND(P188="Baja",T188="Menor"),AND(P188="Baja",T188="Moderado"),AND(P188="Media",T188="Leve"),AND(P188="Media",T188="Menor"),AND(P188="Media",T188="Moderado"),AND(P188="Alta",T188="Leve"),AND(P188="Alta",T188="Menor")),"Moderado",IF(OR(AND(P188="Muy Baja",T188="Mayor"),AND(P188="Baja",T188="Mayor"),AND(P188="Media",T188="Mayor"),AND(P188="Alta",T188="Moderado"),AND(P188="Alta",T188="Mayor"),AND(P188="Muy Alta",T188="Leve"),AND(P188="Muy Alta",T188="Menor"),AND(P188="Muy Alta",T188="Moderado"),AND(P188="Muy Alta",T188="Mayor")),"Alto",IF(OR(AND(P188="Muy Baja",T188="Catastrófico"),AND(P188="Baja",T188="Catastrófico"),AND(P188="Media",T188="Catastrófico"),AND(P188="Alta",T188="Catastrófico"),AND(P188="Muy Alta",T188="Catastrófico")),"Extremo",""))))</f>
        <v>Moderado</v>
      </c>
      <c r="W188" s="252">
        <v>1</v>
      </c>
      <c r="X188" s="207" t="s">
        <v>1219</v>
      </c>
      <c r="Y188" s="250" t="str">
        <f t="shared" si="499"/>
        <v>Probabilidad</v>
      </c>
      <c r="Z188" s="185" t="s">
        <v>208</v>
      </c>
      <c r="AA188" s="185" t="s">
        <v>216</v>
      </c>
      <c r="AB188" s="186" t="str">
        <f t="shared" si="536"/>
        <v>40%</v>
      </c>
      <c r="AC188" s="185" t="s">
        <v>219</v>
      </c>
      <c r="AD188" s="185" t="s">
        <v>224</v>
      </c>
      <c r="AE188" s="185" t="s">
        <v>228</v>
      </c>
      <c r="AF188" s="187">
        <f t="shared" ref="AF188" si="542">IFERROR(IF(Y188="Probabilidad",(Q188-(+Q188*AB188)),IF(Y188="Impacto",Q188,"")),"")</f>
        <v>0.48</v>
      </c>
      <c r="AG188" s="188" t="str">
        <f t="shared" si="501"/>
        <v>Media</v>
      </c>
      <c r="AH188" s="186">
        <f t="shared" si="502"/>
        <v>0.48</v>
      </c>
      <c r="AI188" s="188" t="str">
        <f t="shared" ca="1" si="503"/>
        <v>Leve</v>
      </c>
      <c r="AJ188" s="186">
        <f t="shared" ref="AJ188" ca="1" si="543">IFERROR(IF(Y188="Impacto",(U188-(+U188*AB188)),IF(Y188="Probabilidad",U188,"")),"")</f>
        <v>0.2</v>
      </c>
      <c r="AK188" s="189" t="str">
        <f t="shared" ca="1" si="505"/>
        <v>Moderado</v>
      </c>
      <c r="AL188" s="185" t="s">
        <v>255</v>
      </c>
      <c r="AM188" s="246"/>
      <c r="AN188" s="250"/>
      <c r="AO188" s="245"/>
      <c r="AP188" s="245"/>
      <c r="AQ188" s="246"/>
      <c r="AR188" s="247"/>
    </row>
    <row r="189" spans="1:44" s="191" customFormat="1" ht="184.5" customHeight="1" thickTop="1" thickBot="1" x14ac:dyDescent="0.3">
      <c r="A189" s="310"/>
      <c r="B189" s="311"/>
      <c r="C189" s="315"/>
      <c r="D189" s="317"/>
      <c r="E189" s="315"/>
      <c r="F189" s="332"/>
      <c r="G189" s="332"/>
      <c r="H189" s="333"/>
      <c r="I189" s="320"/>
      <c r="J189" s="320"/>
      <c r="K189" s="320"/>
      <c r="L189" s="320"/>
      <c r="M189" s="315"/>
      <c r="N189" s="315"/>
      <c r="O189" s="321"/>
      <c r="P189" s="322"/>
      <c r="Q189" s="323"/>
      <c r="R189" s="323"/>
      <c r="S189" s="323">
        <f ca="1">IF(NOT(ISERROR(MATCH(R189,_xlfn.ANCHORARRAY(H199),0))),Q201&amp;"Por favor no seleccionar los criterios de impacto",R189)</f>
        <v>0</v>
      </c>
      <c r="T189" s="322"/>
      <c r="U189" s="323"/>
      <c r="V189" s="309"/>
      <c r="W189" s="252">
        <v>2</v>
      </c>
      <c r="X189" s="207" t="s">
        <v>1220</v>
      </c>
      <c r="Y189" s="250" t="str">
        <f t="shared" si="499"/>
        <v>Probabilidad</v>
      </c>
      <c r="Z189" s="185" t="s">
        <v>208</v>
      </c>
      <c r="AA189" s="185" t="s">
        <v>216</v>
      </c>
      <c r="AB189" s="186" t="str">
        <f t="shared" si="536"/>
        <v>40%</v>
      </c>
      <c r="AC189" s="185" t="s">
        <v>219</v>
      </c>
      <c r="AD189" s="185" t="s">
        <v>224</v>
      </c>
      <c r="AE189" s="185" t="s">
        <v>228</v>
      </c>
      <c r="AF189" s="187">
        <f t="shared" ref="AF189" si="544">IFERROR(IF(AND(Y188="Probabilidad",Y189="Probabilidad"),(AH188-(+AH188*AB189)),IF(Y189="Probabilidad",(Q188-(+Q188*AB189)),IF(Y189="Impacto",AH188,""))),"")</f>
        <v>0.28799999999999998</v>
      </c>
      <c r="AG189" s="188" t="str">
        <f t="shared" si="501"/>
        <v>Baja</v>
      </c>
      <c r="AH189" s="186">
        <f t="shared" si="502"/>
        <v>0.28799999999999998</v>
      </c>
      <c r="AI189" s="188" t="str">
        <f t="shared" ca="1" si="503"/>
        <v>Leve</v>
      </c>
      <c r="AJ189" s="186">
        <f t="shared" ref="AJ189" ca="1" si="545">IFERROR(IF(AND(Y188="Impacto",Y189="Impacto"),(AJ188-(+AJ188*AB189)),IF(Y189="Impacto",(U188-(+U188*AB189)),IF(Y189="Probabilidad",AJ188,""))),"")</f>
        <v>0.2</v>
      </c>
      <c r="AK189" s="189" t="str">
        <f t="shared" ca="1" si="505"/>
        <v>Bajo</v>
      </c>
      <c r="AL189" s="185" t="s">
        <v>255</v>
      </c>
      <c r="AM189" s="246"/>
      <c r="AN189" s="250"/>
      <c r="AO189" s="245"/>
      <c r="AP189" s="245"/>
      <c r="AQ189" s="246"/>
      <c r="AR189" s="247"/>
    </row>
    <row r="190" spans="1:44" s="191" customFormat="1" ht="197.25" customHeight="1" thickTop="1" thickBot="1" x14ac:dyDescent="0.3">
      <c r="A190" s="310">
        <v>78</v>
      </c>
      <c r="B190" s="311" t="s">
        <v>933</v>
      </c>
      <c r="C190" s="315" t="s">
        <v>277</v>
      </c>
      <c r="D190" s="315" t="s">
        <v>961</v>
      </c>
      <c r="E190" s="315" t="s">
        <v>240</v>
      </c>
      <c r="F190" s="332" t="s">
        <v>937</v>
      </c>
      <c r="G190" s="332" t="s">
        <v>935</v>
      </c>
      <c r="H190" s="333" t="s">
        <v>1192</v>
      </c>
      <c r="I190" s="320" t="s">
        <v>474</v>
      </c>
      <c r="J190" s="320" t="s">
        <v>474</v>
      </c>
      <c r="K190" s="320" t="s">
        <v>474</v>
      </c>
      <c r="L190" s="320" t="s">
        <v>474</v>
      </c>
      <c r="M190" s="315" t="s">
        <v>466</v>
      </c>
      <c r="N190" s="315"/>
      <c r="O190" s="321">
        <v>52</v>
      </c>
      <c r="P190" s="322" t="str">
        <f t="shared" ref="P190" si="546">IF(O190&lt;=0,"",IF(O190&lt;=2,"Muy Baja",IF(O190&lt;=24,"Baja",IF(O190&lt;=500,"Media",IF(O190&lt;=5000,"Alta","Muy Alta")))))</f>
        <v>Media</v>
      </c>
      <c r="Q190" s="323">
        <f t="shared" ref="Q190" si="547">IF(P190="","",IF(P190="Muy Baja",0.2,IF(P190="Baja",0.4,IF(P190="Media",0.6,IF(P190="Alta",0.8,IF(P190="Muy Alta",1,))))))</f>
        <v>0.6</v>
      </c>
      <c r="R190" s="323" t="s">
        <v>189</v>
      </c>
      <c r="S190" s="323" t="str">
        <f ca="1">IF(NOT(ISERROR(MATCH(R190,'Tabla Impacto'!$B$221:$B$223,0))),'Tabla Impacto'!$F$223&amp;"Por favor no seleccionar los criterios de impacto(Afectación Económica o presupuestal y Pérdida Reputacional)",R190)</f>
        <v xml:space="preserve">Entre 50 y 100 SMLMV </v>
      </c>
      <c r="T190" s="322" t="str">
        <f ca="1">+IF(OR(S190='[1]Tabla Impacto'!$C$11,S190='[1]Tabla Impacto'!$D$11),"Leve",IF(OR(S190='[1]Tabla Impacto'!$C$12,S190='[1]Tabla Impacto'!$D$12),"Menor",IF(OR(S190='[1]Tabla Impacto'!$C$13,S190='[1]Tabla Impacto'!$D$13),"Moderado",IF(OR(S190='[1]Tabla Impacto'!$C$14,S190='[1]Tabla Impacto'!$D$14),"Mayor",IF(OR(S190='[1]Tabla Impacto'!$C$15,S190='[1]Tabla Impacto'!$D$15),"Catastrófico","")))))</f>
        <v>Moderado</v>
      </c>
      <c r="U190" s="323">
        <f t="shared" ref="U190" ca="1" si="548">IF(T190="","",IF(T190="Leve",0.2,IF(T190="Menor",0.4,IF(T190="Moderado",0.6,IF(T190="Mayor",0.8,IF(T190="Catastrófico",1,))))))</f>
        <v>0.6</v>
      </c>
      <c r="V190" s="309" t="str">
        <f t="shared" ref="V190" ca="1" si="549">IF(OR(AND(P190="Muy Baja",T190="Leve"),AND(P190="Muy Baja",T190="Menor"),AND(P190="Baja",T190="Leve")),"Bajo",IF(OR(AND(P190="Muy baja",T190="Moderado"),AND(P190="Baja",T190="Menor"),AND(P190="Baja",T190="Moderado"),AND(P190="Media",T190="Leve"),AND(P190="Media",T190="Menor"),AND(P190="Media",T190="Moderado"),AND(P190="Alta",T190="Leve"),AND(P190="Alta",T190="Menor")),"Moderado",IF(OR(AND(P190="Muy Baja",T190="Mayor"),AND(P190="Baja",T190="Mayor"),AND(P190="Media",T190="Mayor"),AND(P190="Alta",T190="Moderado"),AND(P190="Alta",T190="Mayor"),AND(P190="Muy Alta",T190="Leve"),AND(P190="Muy Alta",T190="Menor"),AND(P190="Muy Alta",T190="Moderado"),AND(P190="Muy Alta",T190="Mayor")),"Alto",IF(OR(AND(P190="Muy Baja",T190="Catastrófico"),AND(P190="Baja",T190="Catastrófico"),AND(P190="Media",T190="Catastrófico"),AND(P190="Alta",T190="Catastrófico"),AND(P190="Muy Alta",T190="Catastrófico")),"Extremo",""))))</f>
        <v>Moderado</v>
      </c>
      <c r="W190" s="252">
        <v>1</v>
      </c>
      <c r="X190" s="207" t="s">
        <v>1031</v>
      </c>
      <c r="Y190" s="250" t="str">
        <f t="shared" si="499"/>
        <v>Probabilidad</v>
      </c>
      <c r="Z190" s="185" t="s">
        <v>208</v>
      </c>
      <c r="AA190" s="185" t="s">
        <v>216</v>
      </c>
      <c r="AB190" s="186" t="str">
        <f t="shared" si="536"/>
        <v>40%</v>
      </c>
      <c r="AC190" s="185" t="s">
        <v>219</v>
      </c>
      <c r="AD190" s="185" t="s">
        <v>224</v>
      </c>
      <c r="AE190" s="185" t="s">
        <v>228</v>
      </c>
      <c r="AF190" s="187">
        <f>IFERROR(IF(Y190="Probabilidad",(Q190-(+Q190*AB190)),IF(Y190="Impacto",Q190,"")),"")</f>
        <v>0.36</v>
      </c>
      <c r="AG190" s="188" t="str">
        <f t="shared" ref="AG190:AG192" si="550">IFERROR(IF(AF190="","",IF(AF190&lt;=0.2,"Muy Baja",IF(AF190&lt;=0.4,"Baja",IF(AF190&lt;=0.6,"Media",IF(AF190&lt;=0.8,"Alta","Muy Alta"))))),"")</f>
        <v>Baja</v>
      </c>
      <c r="AH190" s="186">
        <f t="shared" ref="AH190:AH192" si="551">+AF190</f>
        <v>0.36</v>
      </c>
      <c r="AI190" s="188" t="str">
        <f t="shared" ref="AI190:AI192" ca="1" si="552">IFERROR(IF(AJ190="","",IF(AJ190&lt;=0.2,"Leve",IF(AJ190&lt;=0.4,"Menor",IF(AJ190&lt;=0.6,"Moderado",IF(AJ190&lt;=0.8,"Mayor","Catastrófico"))))),"")</f>
        <v>Moderado</v>
      </c>
      <c r="AJ190" s="186">
        <f t="shared" ref="AJ190" ca="1" si="553">IFERROR(IF(Y190="Impacto",(U190-(+U190*AB190)),IF(Y190="Probabilidad",U190,"")),"")</f>
        <v>0.6</v>
      </c>
      <c r="AK190" s="189" t="str">
        <f t="shared" ref="AK190:AK192" ca="1" si="554">IFERROR(IF(OR(AND(AG190="Muy Baja",AI190="Leve"),AND(AG190="Muy Baja",AI190="Menor"),AND(AG190="Baja",AI190="Leve")),"Bajo",IF(OR(AND(AG190="Muy baja",AI190="Moderado"),AND(AG190="Baja",AI190="Menor"),AND(AG190="Baja",AI190="Moderado"),AND(AG190="Media",AI190="Leve"),AND(AG190="Media",AI190="Menor"),AND(AG190="Media",AI190="Moderado"),AND(AG190="Alta",AI190="Leve"),AND(AG190="Alta",AI190="Menor")),"Moderado",IF(OR(AND(AG190="Muy Baja",AI190="Mayor"),AND(AG190="Baja",AI190="Mayor"),AND(AG190="Media",AI190="Mayor"),AND(AG190="Alta",AI190="Moderado"),AND(AG190="Alta",AI190="Mayor"),AND(AG190="Muy Alta",AI190="Leve"),AND(AG190="Muy Alta",AI190="Menor"),AND(AG190="Muy Alta",AI190="Moderado"),AND(AG190="Muy Alta",AI190="Mayor")),"Alto",IF(OR(AND(AG190="Muy Baja",AI190="Catastrófico"),AND(AG190="Baja",AI190="Catastrófico"),AND(AG190="Media",AI190="Catastrófico"),AND(AG190="Alta",AI190="Catastrófico"),AND(AG190="Muy Alta",AI190="Catastrófico")),"Extremo","")))),"")</f>
        <v>Moderado</v>
      </c>
      <c r="AL190" s="185" t="s">
        <v>255</v>
      </c>
      <c r="AM190" s="246"/>
      <c r="AN190" s="250"/>
      <c r="AO190" s="245"/>
      <c r="AP190" s="245"/>
      <c r="AQ190" s="246"/>
      <c r="AR190" s="247"/>
    </row>
    <row r="191" spans="1:44" s="191" customFormat="1" ht="197.25" customHeight="1" thickTop="1" thickBot="1" x14ac:dyDescent="0.3">
      <c r="A191" s="310"/>
      <c r="B191" s="311"/>
      <c r="C191" s="315"/>
      <c r="D191" s="315"/>
      <c r="E191" s="315"/>
      <c r="F191" s="332"/>
      <c r="G191" s="332"/>
      <c r="H191" s="333"/>
      <c r="I191" s="320"/>
      <c r="J191" s="320"/>
      <c r="K191" s="320"/>
      <c r="L191" s="320"/>
      <c r="M191" s="315"/>
      <c r="N191" s="315"/>
      <c r="O191" s="321"/>
      <c r="P191" s="322"/>
      <c r="Q191" s="323"/>
      <c r="R191" s="323"/>
      <c r="S191" s="323">
        <f ca="1">IF(NOT(ISERROR(MATCH(R191,_xlfn.ANCHORARRAY(H203),0))),Q205&amp;"Por favor no seleccionar los criterios de impacto",R191)</f>
        <v>0</v>
      </c>
      <c r="T191" s="322"/>
      <c r="U191" s="323"/>
      <c r="V191" s="309"/>
      <c r="W191" s="252">
        <v>2</v>
      </c>
      <c r="X191" s="207" t="s">
        <v>1032</v>
      </c>
      <c r="Y191" s="250" t="str">
        <f t="shared" si="499"/>
        <v>Probabilidad</v>
      </c>
      <c r="Z191" s="185" t="s">
        <v>208</v>
      </c>
      <c r="AA191" s="185" t="s">
        <v>216</v>
      </c>
      <c r="AB191" s="186" t="str">
        <f t="shared" si="536"/>
        <v>40%</v>
      </c>
      <c r="AC191" s="185" t="s">
        <v>219</v>
      </c>
      <c r="AD191" s="185" t="s">
        <v>224</v>
      </c>
      <c r="AE191" s="185" t="s">
        <v>228</v>
      </c>
      <c r="AF191" s="187">
        <f t="shared" ref="AF191" si="555">IFERROR(IF(AND(Y190="Probabilidad",Y191="Probabilidad"),(AH190-(+AH190*AB191)),IF(Y191="Probabilidad",(Q190-(+Q190*AB191)),IF(Y191="Impacto",AH190,""))),"")</f>
        <v>0.216</v>
      </c>
      <c r="AG191" s="188" t="str">
        <f t="shared" si="550"/>
        <v>Baja</v>
      </c>
      <c r="AH191" s="186">
        <f t="shared" si="551"/>
        <v>0.216</v>
      </c>
      <c r="AI191" s="188" t="str">
        <f t="shared" ca="1" si="552"/>
        <v>Moderado</v>
      </c>
      <c r="AJ191" s="186">
        <f t="shared" ref="AJ191" ca="1" si="556">IFERROR(IF(AND(Y190="Impacto",Y191="Impacto"),(AJ190-(+AJ190*AB191)),IF(Y191="Impacto",(U190-(+U190*AB191)),IF(Y191="Probabilidad",AJ190,""))),"")</f>
        <v>0.6</v>
      </c>
      <c r="AK191" s="189" t="str">
        <f t="shared" ca="1" si="554"/>
        <v>Moderado</v>
      </c>
      <c r="AL191" s="185" t="s">
        <v>255</v>
      </c>
      <c r="AM191" s="246"/>
      <c r="AN191" s="250"/>
      <c r="AO191" s="245"/>
      <c r="AP191" s="245"/>
      <c r="AQ191" s="246"/>
      <c r="AR191" s="247"/>
    </row>
    <row r="192" spans="1:44" s="191" customFormat="1" ht="197.25" customHeight="1" thickTop="1" thickBot="1" x14ac:dyDescent="0.3">
      <c r="A192" s="310"/>
      <c r="B192" s="311"/>
      <c r="C192" s="315"/>
      <c r="D192" s="315"/>
      <c r="E192" s="315"/>
      <c r="F192" s="332"/>
      <c r="G192" s="332"/>
      <c r="H192" s="333"/>
      <c r="I192" s="320"/>
      <c r="J192" s="320"/>
      <c r="K192" s="320"/>
      <c r="L192" s="320"/>
      <c r="M192" s="315"/>
      <c r="N192" s="315"/>
      <c r="O192" s="321"/>
      <c r="P192" s="322"/>
      <c r="Q192" s="323"/>
      <c r="R192" s="323"/>
      <c r="S192" s="323">
        <f ca="1">IF(NOT(ISERROR(MATCH(R192,_xlfn.ANCHORARRAY(H204),0))),Q206&amp;"Por favor no seleccionar los criterios de impacto",R192)</f>
        <v>0</v>
      </c>
      <c r="T192" s="322"/>
      <c r="U192" s="323"/>
      <c r="V192" s="309"/>
      <c r="W192" s="252">
        <v>3</v>
      </c>
      <c r="X192" s="207" t="s">
        <v>1033</v>
      </c>
      <c r="Y192" s="250" t="str">
        <f t="shared" si="499"/>
        <v>Probabilidad</v>
      </c>
      <c r="Z192" s="185" t="s">
        <v>208</v>
      </c>
      <c r="AA192" s="185" t="s">
        <v>216</v>
      </c>
      <c r="AB192" s="186" t="str">
        <f t="shared" si="536"/>
        <v>40%</v>
      </c>
      <c r="AC192" s="185" t="s">
        <v>219</v>
      </c>
      <c r="AD192" s="185" t="s">
        <v>224</v>
      </c>
      <c r="AE192" s="185" t="s">
        <v>228</v>
      </c>
      <c r="AF192" s="187">
        <f>IFERROR(IF(AND(Y191="Probabilidad",Y192="Probabilidad"),(AH191-(+AH191*AB192)),IF(Y192="Probabilidad",(Q190-(+Q190*AB192)),IF(Y192="Impacto",AH191,""))),"")</f>
        <v>0.12959999999999999</v>
      </c>
      <c r="AG192" s="188" t="str">
        <f t="shared" si="550"/>
        <v>Muy Baja</v>
      </c>
      <c r="AH192" s="186">
        <f t="shared" si="551"/>
        <v>0.12959999999999999</v>
      </c>
      <c r="AI192" s="188" t="str">
        <f t="shared" ca="1" si="552"/>
        <v>Moderado</v>
      </c>
      <c r="AJ192" s="186">
        <f t="shared" ref="AJ192" ca="1" si="557">IFERROR(IF(AND(Y191="Impacto",Y192="Impacto"),(AJ191-(+AJ191*AB192)),IF(AND(Y191="Probabilidad",Y192="Impacto"),(AJ190-(+AJ190*AB192)),IF(Y192="Probabilidad",AJ191,""))),"")</f>
        <v>0.6</v>
      </c>
      <c r="AK192" s="189" t="str">
        <f t="shared" ca="1" si="554"/>
        <v>Moderado</v>
      </c>
      <c r="AL192" s="185" t="s">
        <v>255</v>
      </c>
      <c r="AM192" s="246"/>
      <c r="AN192" s="250"/>
      <c r="AO192" s="245"/>
      <c r="AP192" s="245"/>
      <c r="AQ192" s="246"/>
      <c r="AR192" s="247"/>
    </row>
    <row r="193" spans="1:44" s="191" customFormat="1" ht="178.5" customHeight="1" thickTop="1" thickBot="1" x14ac:dyDescent="0.3">
      <c r="A193" s="310">
        <v>79</v>
      </c>
      <c r="B193" s="311" t="s">
        <v>934</v>
      </c>
      <c r="C193" s="315" t="s">
        <v>277</v>
      </c>
      <c r="D193" s="315" t="s">
        <v>936</v>
      </c>
      <c r="E193" s="315" t="s">
        <v>240</v>
      </c>
      <c r="F193" s="332" t="s">
        <v>937</v>
      </c>
      <c r="G193" s="332" t="s">
        <v>1073</v>
      </c>
      <c r="H193" s="333" t="s">
        <v>968</v>
      </c>
      <c r="I193" s="320" t="s">
        <v>474</v>
      </c>
      <c r="J193" s="320" t="s">
        <v>474</v>
      </c>
      <c r="K193" s="320" t="s">
        <v>474</v>
      </c>
      <c r="L193" s="320" t="s">
        <v>474</v>
      </c>
      <c r="M193" s="315" t="s">
        <v>466</v>
      </c>
      <c r="N193" s="315"/>
      <c r="O193" s="321">
        <v>365</v>
      </c>
      <c r="P193" s="322" t="str">
        <f t="shared" ref="P193" si="558">IF(O193&lt;=0,"",IF(O193&lt;=2,"Muy Baja",IF(O193&lt;=24,"Baja",IF(O193&lt;=500,"Media",IF(O193&lt;=5000,"Alta","Muy Alta")))))</f>
        <v>Media</v>
      </c>
      <c r="Q193" s="323">
        <f t="shared" ref="Q193" si="559">IF(P193="","",IF(P193="Muy Baja",0.2,IF(P193="Baja",0.4,IF(P193="Media",0.6,IF(P193="Alta",0.8,IF(P193="Muy Alta",1,))))))</f>
        <v>0.6</v>
      </c>
      <c r="R193" s="323" t="s">
        <v>189</v>
      </c>
      <c r="S193" s="323" t="str">
        <f ca="1">IF(NOT(ISERROR(MATCH(R193,'Tabla Impacto'!$B$221:$B$223,0))),'Tabla Impacto'!$F$223&amp;"Por favor no seleccionar los criterios de impacto(Afectación Económica o presupuestal y Pérdida Reputacional)",R193)</f>
        <v xml:space="preserve">Entre 50 y 100 SMLMV </v>
      </c>
      <c r="T193" s="322" t="str">
        <f ca="1">+IF(OR(S193='[1]Tabla Impacto'!$C$11,S193='[1]Tabla Impacto'!$D$11),"Leve",IF(OR(S193='[1]Tabla Impacto'!$C$12,S193='[1]Tabla Impacto'!$D$12),"Menor",IF(OR(S193='[1]Tabla Impacto'!$C$13,S193='[1]Tabla Impacto'!$D$13),"Moderado",IF(OR(S193='[1]Tabla Impacto'!$C$14,S193='[1]Tabla Impacto'!$D$14),"Mayor",IF(OR(S193='[1]Tabla Impacto'!$C$15,S193='[1]Tabla Impacto'!$D$15),"Catastrófico","")))))</f>
        <v>Moderado</v>
      </c>
      <c r="U193" s="323">
        <f t="shared" ref="U193" ca="1" si="560">IF(T193="","",IF(T193="Leve",0.2,IF(T193="Menor",0.4,IF(T193="Moderado",0.6,IF(T193="Mayor",0.8,IF(T193="Catastrófico",1,))))))</f>
        <v>0.6</v>
      </c>
      <c r="V193" s="309" t="str">
        <f t="shared" ref="V193" ca="1" si="561">IF(OR(AND(P193="Muy Baja",T193="Leve"),AND(P193="Muy Baja",T193="Menor"),AND(P193="Baja",T193="Leve")),"Bajo",IF(OR(AND(P193="Muy baja",T193="Moderado"),AND(P193="Baja",T193="Menor"),AND(P193="Baja",T193="Moderado"),AND(P193="Media",T193="Leve"),AND(P193="Media",T193="Menor"),AND(P193="Media",T193="Moderado"),AND(P193="Alta",T193="Leve"),AND(P193="Alta",T193="Menor")),"Moderado",IF(OR(AND(P193="Muy Baja",T193="Mayor"),AND(P193="Baja",T193="Mayor"),AND(P193="Media",T193="Mayor"),AND(P193="Alta",T193="Moderado"),AND(P193="Alta",T193="Mayor"),AND(P193="Muy Alta",T193="Leve"),AND(P193="Muy Alta",T193="Menor"),AND(P193="Muy Alta",T193="Moderado"),AND(P193="Muy Alta",T193="Mayor")),"Alto",IF(OR(AND(P193="Muy Baja",T193="Catastrófico"),AND(P193="Baja",T193="Catastrófico"),AND(P193="Media",T193="Catastrófico"),AND(P193="Alta",T193="Catastrófico"),AND(P193="Muy Alta",T193="Catastrófico")),"Extremo",""))))</f>
        <v>Moderado</v>
      </c>
      <c r="W193" s="252">
        <v>1</v>
      </c>
      <c r="X193" s="207" t="s">
        <v>1034</v>
      </c>
      <c r="Y193" s="250" t="str">
        <f t="shared" si="499"/>
        <v>Probabilidad</v>
      </c>
      <c r="Z193" s="185" t="s">
        <v>208</v>
      </c>
      <c r="AA193" s="185" t="s">
        <v>216</v>
      </c>
      <c r="AB193" s="186" t="str">
        <f t="shared" si="536"/>
        <v>40%</v>
      </c>
      <c r="AC193" s="185" t="s">
        <v>219</v>
      </c>
      <c r="AD193" s="185" t="s">
        <v>224</v>
      </c>
      <c r="AE193" s="185" t="s">
        <v>228</v>
      </c>
      <c r="AF193" s="187">
        <f>IFERROR(IF(Y193="Probabilidad",(Q193-(+Q193*AB193)),IF(Y193="Impacto",Q193,"")),"")</f>
        <v>0.36</v>
      </c>
      <c r="AG193" s="188" t="str">
        <f t="shared" ref="AG193:AG195" si="562">IFERROR(IF(AF193="","",IF(AF193&lt;=0.2,"Muy Baja",IF(AF193&lt;=0.4,"Baja",IF(AF193&lt;=0.6,"Media",IF(AF193&lt;=0.8,"Alta","Muy Alta"))))),"")</f>
        <v>Baja</v>
      </c>
      <c r="AH193" s="186">
        <f t="shared" ref="AH193:AH195" si="563">+AF193</f>
        <v>0.36</v>
      </c>
      <c r="AI193" s="188" t="str">
        <f t="shared" ref="AI193:AI195" ca="1" si="564">IFERROR(IF(AJ193="","",IF(AJ193&lt;=0.2,"Leve",IF(AJ193&lt;=0.4,"Menor",IF(AJ193&lt;=0.6,"Moderado",IF(AJ193&lt;=0.8,"Mayor","Catastrófico"))))),"")</f>
        <v>Moderado</v>
      </c>
      <c r="AJ193" s="186">
        <f t="shared" ref="AJ193" ca="1" si="565">IFERROR(IF(Y193="Impacto",(U193-(+U193*AB193)),IF(Y193="Probabilidad",U193,"")),"")</f>
        <v>0.6</v>
      </c>
      <c r="AK193" s="189" t="str">
        <f t="shared" ref="AK193:AK195" ca="1" si="566">IFERROR(IF(OR(AND(AG193="Muy Baja",AI193="Leve"),AND(AG193="Muy Baja",AI193="Menor"),AND(AG193="Baja",AI193="Leve")),"Bajo",IF(OR(AND(AG193="Muy baja",AI193="Moderado"),AND(AG193="Baja",AI193="Menor"),AND(AG193="Baja",AI193="Moderado"),AND(AG193="Media",AI193="Leve"),AND(AG193="Media",AI193="Menor"),AND(AG193="Media",AI193="Moderado"),AND(AG193="Alta",AI193="Leve"),AND(AG193="Alta",AI193="Menor")),"Moderado",IF(OR(AND(AG193="Muy Baja",AI193="Mayor"),AND(AG193="Baja",AI193="Mayor"),AND(AG193="Media",AI193="Mayor"),AND(AG193="Alta",AI193="Moderado"),AND(AG193="Alta",AI193="Mayor"),AND(AG193="Muy Alta",AI193="Leve"),AND(AG193="Muy Alta",AI193="Menor"),AND(AG193="Muy Alta",AI193="Moderado"),AND(AG193="Muy Alta",AI193="Mayor")),"Alto",IF(OR(AND(AG193="Muy Baja",AI193="Catastrófico"),AND(AG193="Baja",AI193="Catastrófico"),AND(AG193="Media",AI193="Catastrófico"),AND(AG193="Alta",AI193="Catastrófico"),AND(AG193="Muy Alta",AI193="Catastrófico")),"Extremo","")))),"")</f>
        <v>Moderado</v>
      </c>
      <c r="AL193" s="185" t="s">
        <v>255</v>
      </c>
      <c r="AM193" s="246"/>
      <c r="AN193" s="250"/>
      <c r="AO193" s="245"/>
      <c r="AP193" s="245"/>
      <c r="AQ193" s="246"/>
      <c r="AR193" s="247"/>
    </row>
    <row r="194" spans="1:44" s="191" customFormat="1" ht="220.5" customHeight="1" thickTop="1" thickBot="1" x14ac:dyDescent="0.3">
      <c r="A194" s="310"/>
      <c r="B194" s="311"/>
      <c r="C194" s="315"/>
      <c r="D194" s="315"/>
      <c r="E194" s="315"/>
      <c r="F194" s="332"/>
      <c r="G194" s="332"/>
      <c r="H194" s="333"/>
      <c r="I194" s="320"/>
      <c r="J194" s="320"/>
      <c r="K194" s="320"/>
      <c r="L194" s="320"/>
      <c r="M194" s="315"/>
      <c r="N194" s="315"/>
      <c r="O194" s="321"/>
      <c r="P194" s="322"/>
      <c r="Q194" s="323"/>
      <c r="R194" s="323"/>
      <c r="S194" s="323">
        <f ca="1">IF(NOT(ISERROR(MATCH(R194,_xlfn.ANCHORARRAY(H207),0))),Q209&amp;"Por favor no seleccionar los criterios de impacto",R194)</f>
        <v>0</v>
      </c>
      <c r="T194" s="322"/>
      <c r="U194" s="323"/>
      <c r="V194" s="309"/>
      <c r="W194" s="252">
        <v>2</v>
      </c>
      <c r="X194" s="207" t="s">
        <v>1035</v>
      </c>
      <c r="Y194" s="250" t="str">
        <f t="shared" si="499"/>
        <v>Probabilidad</v>
      </c>
      <c r="Z194" s="185" t="s">
        <v>208</v>
      </c>
      <c r="AA194" s="185" t="s">
        <v>216</v>
      </c>
      <c r="AB194" s="186" t="str">
        <f t="shared" si="536"/>
        <v>40%</v>
      </c>
      <c r="AC194" s="185" t="s">
        <v>219</v>
      </c>
      <c r="AD194" s="185" t="s">
        <v>224</v>
      </c>
      <c r="AE194" s="185" t="s">
        <v>228</v>
      </c>
      <c r="AF194" s="187">
        <f>IFERROR(IF(AND(Y193="Probabilidad",Y194="Probabilidad"),(AH193-(+AH193*AB194)),IF(Y194="Probabilidad",(Q193-(+Q193*AB194)),IF(Y194="Impacto",AH193,""))),"")</f>
        <v>0.216</v>
      </c>
      <c r="AG194" s="188" t="str">
        <f t="shared" si="562"/>
        <v>Baja</v>
      </c>
      <c r="AH194" s="186">
        <f t="shared" si="563"/>
        <v>0.216</v>
      </c>
      <c r="AI194" s="188" t="str">
        <f t="shared" ca="1" si="564"/>
        <v>Moderado</v>
      </c>
      <c r="AJ194" s="186">
        <f t="shared" ref="AJ194" ca="1" si="567">IFERROR(IF(AND(Y193="Impacto",Y194="Impacto"),(AJ193-(+AJ193*AB194)),IF(Y194="Impacto",(U193-(+U193*AB194)),IF(Y194="Probabilidad",AJ193,""))),"")</f>
        <v>0.6</v>
      </c>
      <c r="AK194" s="189" t="str">
        <f t="shared" ca="1" si="566"/>
        <v>Moderado</v>
      </c>
      <c r="AL194" s="185" t="s">
        <v>255</v>
      </c>
      <c r="AM194" s="246"/>
      <c r="AN194" s="250"/>
      <c r="AO194" s="245"/>
      <c r="AP194" s="245"/>
      <c r="AQ194" s="246"/>
      <c r="AR194" s="247"/>
    </row>
    <row r="195" spans="1:44" s="191" customFormat="1" ht="148.5" customHeight="1" thickTop="1" thickBot="1" x14ac:dyDescent="0.3">
      <c r="A195" s="310"/>
      <c r="B195" s="311"/>
      <c r="C195" s="315"/>
      <c r="D195" s="315"/>
      <c r="E195" s="315"/>
      <c r="F195" s="332"/>
      <c r="G195" s="332"/>
      <c r="H195" s="333"/>
      <c r="I195" s="320"/>
      <c r="J195" s="320"/>
      <c r="K195" s="320"/>
      <c r="L195" s="320"/>
      <c r="M195" s="315"/>
      <c r="N195" s="315"/>
      <c r="O195" s="321"/>
      <c r="P195" s="322"/>
      <c r="Q195" s="323"/>
      <c r="R195" s="323"/>
      <c r="S195" s="323">
        <f ca="1">IF(NOT(ISERROR(MATCH(R195,_xlfn.ANCHORARRAY(H208),0))),Q210&amp;"Por favor no seleccionar los criterios de impacto",R195)</f>
        <v>0</v>
      </c>
      <c r="T195" s="322"/>
      <c r="U195" s="323"/>
      <c r="V195" s="309"/>
      <c r="W195" s="252">
        <v>3</v>
      </c>
      <c r="X195" s="207" t="s">
        <v>1036</v>
      </c>
      <c r="Y195" s="250" t="str">
        <f t="shared" si="499"/>
        <v>Probabilidad</v>
      </c>
      <c r="Z195" s="185" t="s">
        <v>208</v>
      </c>
      <c r="AA195" s="185" t="s">
        <v>216</v>
      </c>
      <c r="AB195" s="186" t="str">
        <f t="shared" si="536"/>
        <v>40%</v>
      </c>
      <c r="AC195" s="185" t="s">
        <v>219</v>
      </c>
      <c r="AD195" s="185" t="s">
        <v>224</v>
      </c>
      <c r="AE195" s="185" t="s">
        <v>228</v>
      </c>
      <c r="AF195" s="187">
        <f>IFERROR(IF(AND(Y194="Probabilidad",Y195="Probabilidad"),(AH194-(+AH194*AB195)),IF(Y195="Probabilidad",(Q193-(+Q193*AB195)),IF(Y195="Impacto",AH194,""))),"")</f>
        <v>0.12959999999999999</v>
      </c>
      <c r="AG195" s="188" t="str">
        <f t="shared" si="562"/>
        <v>Muy Baja</v>
      </c>
      <c r="AH195" s="186">
        <f t="shared" si="563"/>
        <v>0.12959999999999999</v>
      </c>
      <c r="AI195" s="188" t="str">
        <f t="shared" ca="1" si="564"/>
        <v>Moderado</v>
      </c>
      <c r="AJ195" s="186">
        <f t="shared" ref="AJ195" ca="1" si="568">IFERROR(IF(AND(Y194="Impacto",Y195="Impacto"),(AJ194-(+AJ194*AB195)),IF(AND(Y194="Probabilidad",Y195="Impacto"),(AJ193-(+AJ193*AB195)),IF(Y195="Probabilidad",AJ194,""))),"")</f>
        <v>0.6</v>
      </c>
      <c r="AK195" s="189" t="str">
        <f t="shared" ca="1" si="566"/>
        <v>Moderado</v>
      </c>
      <c r="AL195" s="185" t="s">
        <v>255</v>
      </c>
      <c r="AM195" s="246"/>
      <c r="AN195" s="250"/>
      <c r="AO195" s="245"/>
      <c r="AP195" s="245"/>
      <c r="AQ195" s="246"/>
      <c r="AR195" s="247"/>
    </row>
    <row r="196" spans="1:44" s="191" customFormat="1" ht="204" customHeight="1" thickTop="1" thickBot="1" x14ac:dyDescent="0.3">
      <c r="A196" s="310">
        <v>80</v>
      </c>
      <c r="B196" s="311" t="s">
        <v>821</v>
      </c>
      <c r="C196" s="315" t="s">
        <v>278</v>
      </c>
      <c r="D196" s="317" t="s">
        <v>822</v>
      </c>
      <c r="E196" s="315" t="s">
        <v>240</v>
      </c>
      <c r="F196" s="332" t="s">
        <v>823</v>
      </c>
      <c r="G196" s="332" t="s">
        <v>824</v>
      </c>
      <c r="H196" s="333" t="s">
        <v>1143</v>
      </c>
      <c r="I196" s="320" t="s">
        <v>474</v>
      </c>
      <c r="J196" s="320" t="s">
        <v>474</v>
      </c>
      <c r="K196" s="320" t="s">
        <v>474</v>
      </c>
      <c r="L196" s="320" t="s">
        <v>474</v>
      </c>
      <c r="M196" s="315" t="s">
        <v>469</v>
      </c>
      <c r="N196" s="315"/>
      <c r="O196" s="321">
        <v>1</v>
      </c>
      <c r="P196" s="322" t="str">
        <f t="shared" ref="P196:P227" si="569">IF(O196&lt;=0,"",IF(O196&lt;=2,"Muy Baja",IF(O196&lt;=24,"Baja",IF(O196&lt;=500,"Media",IF(O196&lt;=5000,"Alta","Muy Alta")))))</f>
        <v>Muy Baja</v>
      </c>
      <c r="Q196" s="323">
        <f t="shared" ref="Q196:Q227" si="570">IF(P196="","",IF(P196="Muy Baja",0.2,IF(P196="Baja",0.4,IF(P196="Media",0.6,IF(P196="Alta",0.8,IF(P196="Muy Alta",1,))))))</f>
        <v>0.2</v>
      </c>
      <c r="R196" s="323" t="s">
        <v>192</v>
      </c>
      <c r="S196" s="323" t="str">
        <f ca="1">IF(NOT(ISERROR(MATCH(R196,'Tabla Impacto'!$B$221:$B$223,0))),'Tabla Impacto'!$F$223&amp;"Por favor no seleccionar los criterios de impacto(Afectación Económica o presupuestal y Pérdida Reputacional)",R196)</f>
        <v xml:space="preserve">Entre 100 y 500 SMLMV </v>
      </c>
      <c r="T196" s="322" t="str">
        <f ca="1">+IF(OR(S196='[1]Tabla Impacto'!$C$11,S196='[1]Tabla Impacto'!$D$11),"Leve",IF(OR(S196='[1]Tabla Impacto'!$C$12,S196='[1]Tabla Impacto'!$D$12),"Menor",IF(OR(S196='[1]Tabla Impacto'!$C$13,S196='[1]Tabla Impacto'!$D$13),"Moderado",IF(OR(S196='[1]Tabla Impacto'!$C$14,S196='[1]Tabla Impacto'!$D$14),"Mayor",IF(OR(S196='[1]Tabla Impacto'!$C$15,S196='[1]Tabla Impacto'!$D$15),"Catastrófico","")))))</f>
        <v>Mayor</v>
      </c>
      <c r="U196" s="323">
        <f t="shared" ref="U196" ca="1" si="571">IF(T196="","",IF(T196="Leve",0.2,IF(T196="Menor",0.4,IF(T196="Moderado",0.6,IF(T196="Mayor",0.8,IF(T196="Catastrófico",1,))))))</f>
        <v>0.8</v>
      </c>
      <c r="V196" s="309" t="str">
        <f t="shared" ref="V196" ca="1" si="572">IF(OR(AND(P196="Muy Baja",T196="Leve"),AND(P196="Muy Baja",T196="Menor"),AND(P196="Baja",T196="Leve")),"Bajo",IF(OR(AND(P196="Muy baja",T196="Moderado"),AND(P196="Baja",T196="Menor"),AND(P196="Baja",T196="Moderado"),AND(P196="Media",T196="Leve"),AND(P196="Media",T196="Menor"),AND(P196="Media",T196="Moderado"),AND(P196="Alta",T196="Leve"),AND(P196="Alta",T196="Menor")),"Moderado",IF(OR(AND(P196="Muy Baja",T196="Mayor"),AND(P196="Baja",T196="Mayor"),AND(P196="Media",T196="Mayor"),AND(P196="Alta",T196="Moderado"),AND(P196="Alta",T196="Mayor"),AND(P196="Muy Alta",T196="Leve"),AND(P196="Muy Alta",T196="Menor"),AND(P196="Muy Alta",T196="Moderado"),AND(P196="Muy Alta",T196="Mayor")),"Alto",IF(OR(AND(P196="Muy Baja",T196="Catastrófico"),AND(P196="Baja",T196="Catastrófico"),AND(P196="Media",T196="Catastrófico"),AND(P196="Alta",T196="Catastrófico"),AND(P196="Muy Alta",T196="Catastrófico")),"Extremo",""))))</f>
        <v>Alto</v>
      </c>
      <c r="W196" s="252">
        <v>1</v>
      </c>
      <c r="X196" s="207" t="s">
        <v>1037</v>
      </c>
      <c r="Y196" s="250" t="str">
        <f t="shared" si="499"/>
        <v>Probabilidad</v>
      </c>
      <c r="Z196" s="185" t="s">
        <v>208</v>
      </c>
      <c r="AA196" s="185" t="s">
        <v>216</v>
      </c>
      <c r="AB196" s="186" t="str">
        <f t="shared" si="536"/>
        <v>40%</v>
      </c>
      <c r="AC196" s="185" t="s">
        <v>219</v>
      </c>
      <c r="AD196" s="185" t="s">
        <v>224</v>
      </c>
      <c r="AE196" s="185" t="s">
        <v>228</v>
      </c>
      <c r="AF196" s="187">
        <f t="shared" ref="AF196" si="573">IFERROR(IF(Y196="Probabilidad",(Q196-(+Q196*AB196)),IF(Y196="Impacto",Q196,"")),"")</f>
        <v>0.12</v>
      </c>
      <c r="AG196" s="188" t="str">
        <f t="shared" si="501"/>
        <v>Muy Baja</v>
      </c>
      <c r="AH196" s="186">
        <f t="shared" si="502"/>
        <v>0.12</v>
      </c>
      <c r="AI196" s="188" t="str">
        <f t="shared" ca="1" si="503"/>
        <v>Mayor</v>
      </c>
      <c r="AJ196" s="186">
        <f t="shared" ref="AJ196" ca="1" si="574">IFERROR(IF(Y196="Impacto",(U196-(+U196*AB196)),IF(Y196="Probabilidad",U196,"")),"")</f>
        <v>0.8</v>
      </c>
      <c r="AK196" s="189" t="str">
        <f t="shared" ca="1" si="505"/>
        <v>Alto</v>
      </c>
      <c r="AL196" s="185" t="s">
        <v>262</v>
      </c>
      <c r="AM196" s="315" t="s">
        <v>826</v>
      </c>
      <c r="AN196" s="321" t="s">
        <v>827</v>
      </c>
      <c r="AO196" s="335">
        <v>45777</v>
      </c>
      <c r="AP196" s="335" t="s">
        <v>535</v>
      </c>
      <c r="AQ196" s="315" t="s">
        <v>828</v>
      </c>
      <c r="AR196" s="336" t="s">
        <v>259</v>
      </c>
    </row>
    <row r="197" spans="1:44" s="191" customFormat="1" ht="165" customHeight="1" thickTop="1" thickBot="1" x14ac:dyDescent="0.3">
      <c r="A197" s="310"/>
      <c r="B197" s="311"/>
      <c r="C197" s="315"/>
      <c r="D197" s="317"/>
      <c r="E197" s="315"/>
      <c r="F197" s="332"/>
      <c r="G197" s="332"/>
      <c r="H197" s="333"/>
      <c r="I197" s="320"/>
      <c r="J197" s="320"/>
      <c r="K197" s="320"/>
      <c r="L197" s="320"/>
      <c r="M197" s="315"/>
      <c r="N197" s="315"/>
      <c r="O197" s="321"/>
      <c r="P197" s="322"/>
      <c r="Q197" s="323"/>
      <c r="R197" s="323"/>
      <c r="S197" s="323">
        <f ca="1">IF(NOT(ISERROR(MATCH(R197,_xlfn.ANCHORARRAY(H203),0))),Q205&amp;"Por favor no seleccionar los criterios de impacto",R197)</f>
        <v>0</v>
      </c>
      <c r="T197" s="322"/>
      <c r="U197" s="323"/>
      <c r="V197" s="309"/>
      <c r="W197" s="252">
        <v>2</v>
      </c>
      <c r="X197" s="207" t="s">
        <v>1038</v>
      </c>
      <c r="Y197" s="250" t="str">
        <f t="shared" si="499"/>
        <v>Probabilidad</v>
      </c>
      <c r="Z197" s="185" t="s">
        <v>208</v>
      </c>
      <c r="AA197" s="185" t="s">
        <v>216</v>
      </c>
      <c r="AB197" s="186" t="str">
        <f t="shared" si="536"/>
        <v>40%</v>
      </c>
      <c r="AC197" s="185" t="s">
        <v>219</v>
      </c>
      <c r="AD197" s="185" t="s">
        <v>224</v>
      </c>
      <c r="AE197" s="185" t="s">
        <v>228</v>
      </c>
      <c r="AF197" s="187">
        <f t="shared" ref="AF197:AF198" si="575">IFERROR(IF(AND(Y196="Probabilidad",Y197="Probabilidad"),(AH196-(+AH196*AB197)),IF(Y197="Probabilidad",(Q196-(+Q196*AB197)),IF(Y197="Impacto",AH196,""))),"")</f>
        <v>7.1999999999999995E-2</v>
      </c>
      <c r="AG197" s="188" t="str">
        <f t="shared" si="501"/>
        <v>Muy Baja</v>
      </c>
      <c r="AH197" s="186">
        <f t="shared" si="502"/>
        <v>7.1999999999999995E-2</v>
      </c>
      <c r="AI197" s="188" t="str">
        <f t="shared" ca="1" si="503"/>
        <v>Mayor</v>
      </c>
      <c r="AJ197" s="186">
        <f t="shared" ref="AJ197" ca="1" si="576">IFERROR(IF(AND(Y196="Impacto",Y197="Impacto"),(AJ196-(+AJ196*AB197)),IF(Y197="Impacto",(U196-(+U196*AB197)),IF(Y197="Probabilidad",AJ196,""))),"")</f>
        <v>0.8</v>
      </c>
      <c r="AK197" s="189" t="str">
        <f t="shared" ca="1" si="505"/>
        <v>Alto</v>
      </c>
      <c r="AL197" s="185" t="s">
        <v>262</v>
      </c>
      <c r="AM197" s="315"/>
      <c r="AN197" s="321"/>
      <c r="AO197" s="335"/>
      <c r="AP197" s="335"/>
      <c r="AQ197" s="315"/>
      <c r="AR197" s="336"/>
    </row>
    <row r="198" spans="1:44" s="191" customFormat="1" ht="159" customHeight="1" thickTop="1" thickBot="1" x14ac:dyDescent="0.3">
      <c r="A198" s="310"/>
      <c r="B198" s="311"/>
      <c r="C198" s="315"/>
      <c r="D198" s="317"/>
      <c r="E198" s="315"/>
      <c r="F198" s="332"/>
      <c r="G198" s="332"/>
      <c r="H198" s="333"/>
      <c r="I198" s="320"/>
      <c r="J198" s="320"/>
      <c r="K198" s="320"/>
      <c r="L198" s="320"/>
      <c r="M198" s="315"/>
      <c r="N198" s="315"/>
      <c r="O198" s="321"/>
      <c r="P198" s="322"/>
      <c r="Q198" s="323"/>
      <c r="R198" s="323"/>
      <c r="S198" s="323">
        <f ca="1">IF(NOT(ISERROR(MATCH(R198,_xlfn.ANCHORARRAY(H204),0))),Q206&amp;"Por favor no seleccionar los criterios de impacto",R198)</f>
        <v>0</v>
      </c>
      <c r="T198" s="322"/>
      <c r="U198" s="323"/>
      <c r="V198" s="309"/>
      <c r="W198" s="252">
        <v>3</v>
      </c>
      <c r="X198" s="207" t="s">
        <v>825</v>
      </c>
      <c r="Y198" s="250" t="str">
        <f t="shared" si="499"/>
        <v>Probabilidad</v>
      </c>
      <c r="Z198" s="185" t="s">
        <v>208</v>
      </c>
      <c r="AA198" s="185" t="s">
        <v>216</v>
      </c>
      <c r="AB198" s="186" t="str">
        <f t="shared" si="536"/>
        <v>40%</v>
      </c>
      <c r="AC198" s="185" t="s">
        <v>219</v>
      </c>
      <c r="AD198" s="185" t="s">
        <v>224</v>
      </c>
      <c r="AE198" s="185" t="s">
        <v>228</v>
      </c>
      <c r="AF198" s="187">
        <f t="shared" si="575"/>
        <v>4.3199999999999995E-2</v>
      </c>
      <c r="AG198" s="188" t="str">
        <f t="shared" si="501"/>
        <v>Muy Baja</v>
      </c>
      <c r="AH198" s="186">
        <f t="shared" si="502"/>
        <v>4.3199999999999995E-2</v>
      </c>
      <c r="AI198" s="188" t="str">
        <f t="shared" ca="1" si="503"/>
        <v>Mayor</v>
      </c>
      <c r="AJ198" s="186">
        <f t="shared" ref="AJ198" ca="1" si="577">IFERROR(IF(AND(Y197="Impacto",Y198="Impacto"),(AJ197-(+AJ197*AB198)),IF(AND(Y197="Probabilidad",Y198="Impacto"),(AJ196-(+AJ196*AB198)),IF(Y198="Probabilidad",AJ197,""))),"")</f>
        <v>0.8</v>
      </c>
      <c r="AK198" s="189" t="str">
        <f t="shared" ca="1" si="505"/>
        <v>Alto</v>
      </c>
      <c r="AL198" s="185" t="s">
        <v>262</v>
      </c>
      <c r="AM198" s="315"/>
      <c r="AN198" s="321"/>
      <c r="AO198" s="335"/>
      <c r="AP198" s="335"/>
      <c r="AQ198" s="315"/>
      <c r="AR198" s="336"/>
    </row>
    <row r="199" spans="1:44" s="191" customFormat="1" ht="111.75" customHeight="1" thickTop="1" thickBot="1" x14ac:dyDescent="0.3">
      <c r="A199" s="310">
        <v>81</v>
      </c>
      <c r="B199" s="311" t="s">
        <v>829</v>
      </c>
      <c r="C199" s="315" t="s">
        <v>278</v>
      </c>
      <c r="D199" s="317" t="s">
        <v>830</v>
      </c>
      <c r="E199" s="315" t="s">
        <v>240</v>
      </c>
      <c r="F199" s="332" t="s">
        <v>831</v>
      </c>
      <c r="G199" s="332" t="s">
        <v>832</v>
      </c>
      <c r="H199" s="333" t="s">
        <v>1144</v>
      </c>
      <c r="I199" s="320" t="s">
        <v>474</v>
      </c>
      <c r="J199" s="320" t="s">
        <v>474</v>
      </c>
      <c r="K199" s="320" t="s">
        <v>474</v>
      </c>
      <c r="L199" s="320" t="s">
        <v>474</v>
      </c>
      <c r="M199" s="315" t="s">
        <v>239</v>
      </c>
      <c r="N199" s="315"/>
      <c r="O199" s="321">
        <v>365</v>
      </c>
      <c r="P199" s="322" t="str">
        <f t="shared" si="569"/>
        <v>Media</v>
      </c>
      <c r="Q199" s="323">
        <f t="shared" si="570"/>
        <v>0.6</v>
      </c>
      <c r="R199" s="323" t="s">
        <v>189</v>
      </c>
      <c r="S199" s="323" t="str">
        <f ca="1">IF(NOT(ISERROR(MATCH(R199,'Tabla Impacto'!$B$221:$B$223,0))),'Tabla Impacto'!$F$223&amp;"Por favor no seleccionar los criterios de impacto(Afectación Económica o presupuestal y Pérdida Reputacional)",R199)</f>
        <v xml:space="preserve">Entre 50 y 100 SMLMV </v>
      </c>
      <c r="T199" s="322" t="str">
        <f ca="1">+IF(OR(S199='[1]Tabla Impacto'!$C$11,S199='[1]Tabla Impacto'!$D$11),"Leve",IF(OR(S199='[1]Tabla Impacto'!$C$12,S199='[1]Tabla Impacto'!$D$12),"Menor",IF(OR(S199='[1]Tabla Impacto'!$C$13,S199='[1]Tabla Impacto'!$D$13),"Moderado",IF(OR(S199='[1]Tabla Impacto'!$C$14,S199='[1]Tabla Impacto'!$D$14),"Mayor",IF(OR(S199='[1]Tabla Impacto'!$C$15,S199='[1]Tabla Impacto'!$D$15),"Catastrófico","")))))</f>
        <v>Moderado</v>
      </c>
      <c r="U199" s="323">
        <f t="shared" ref="U199" ca="1" si="578">IF(T199="","",IF(T199="Leve",0.2,IF(T199="Menor",0.4,IF(T199="Moderado",0.6,IF(T199="Mayor",0.8,IF(T199="Catastrófico",1,))))))</f>
        <v>0.6</v>
      </c>
      <c r="V199" s="309" t="str">
        <f t="shared" ref="V199" ca="1" si="579">IF(OR(AND(P199="Muy Baja",T199="Leve"),AND(P199="Muy Baja",T199="Menor"),AND(P199="Baja",T199="Leve")),"Bajo",IF(OR(AND(P199="Muy baja",T199="Moderado"),AND(P199="Baja",T199="Menor"),AND(P199="Baja",T199="Moderado"),AND(P199="Media",T199="Leve"),AND(P199="Media",T199="Menor"),AND(P199="Media",T199="Moderado"),AND(P199="Alta",T199="Leve"),AND(P199="Alta",T199="Menor")),"Moderado",IF(OR(AND(P199="Muy Baja",T199="Mayor"),AND(P199="Baja",T199="Mayor"),AND(P199="Media",T199="Mayor"),AND(P199="Alta",T199="Moderado"),AND(P199="Alta",T199="Mayor"),AND(P199="Muy Alta",T199="Leve"),AND(P199="Muy Alta",T199="Menor"),AND(P199="Muy Alta",T199="Moderado"),AND(P199="Muy Alta",T199="Mayor")),"Alto",IF(OR(AND(P199="Muy Baja",T199="Catastrófico"),AND(P199="Baja",T199="Catastrófico"),AND(P199="Media",T199="Catastrófico"),AND(P199="Alta",T199="Catastrófico"),AND(P199="Muy Alta",T199="Catastrófico")),"Extremo",""))))</f>
        <v>Moderado</v>
      </c>
      <c r="W199" s="252">
        <v>1</v>
      </c>
      <c r="X199" s="207" t="s">
        <v>833</v>
      </c>
      <c r="Y199" s="250" t="str">
        <f t="shared" si="499"/>
        <v>Probabilidad</v>
      </c>
      <c r="Z199" s="185" t="s">
        <v>208</v>
      </c>
      <c r="AA199" s="185" t="s">
        <v>216</v>
      </c>
      <c r="AB199" s="186" t="str">
        <f t="shared" si="536"/>
        <v>40%</v>
      </c>
      <c r="AC199" s="185" t="s">
        <v>219</v>
      </c>
      <c r="AD199" s="185" t="s">
        <v>224</v>
      </c>
      <c r="AE199" s="185" t="s">
        <v>228</v>
      </c>
      <c r="AF199" s="187">
        <f t="shared" ref="AF199" si="580">IFERROR(IF(Y199="Probabilidad",(Q199-(+Q199*AB199)),IF(Y199="Impacto",Q199,"")),"")</f>
        <v>0.36</v>
      </c>
      <c r="AG199" s="188" t="str">
        <f t="shared" si="501"/>
        <v>Baja</v>
      </c>
      <c r="AH199" s="186">
        <f t="shared" si="502"/>
        <v>0.36</v>
      </c>
      <c r="AI199" s="188" t="str">
        <f t="shared" ca="1" si="503"/>
        <v>Moderado</v>
      </c>
      <c r="AJ199" s="186">
        <f t="shared" ref="AJ199" ca="1" si="581">IFERROR(IF(Y199="Impacto",(U199-(+U199*AB199)),IF(Y199="Probabilidad",U199,"")),"")</f>
        <v>0.6</v>
      </c>
      <c r="AK199" s="189" t="str">
        <f t="shared" ca="1" si="505"/>
        <v>Moderado</v>
      </c>
      <c r="AL199" s="185" t="s">
        <v>255</v>
      </c>
      <c r="AM199" s="246"/>
      <c r="AN199" s="250"/>
      <c r="AO199" s="245"/>
      <c r="AP199" s="245"/>
      <c r="AQ199" s="246"/>
      <c r="AR199" s="247"/>
    </row>
    <row r="200" spans="1:44" s="191" customFormat="1" ht="104.25" customHeight="1" thickTop="1" thickBot="1" x14ac:dyDescent="0.3">
      <c r="A200" s="310"/>
      <c r="B200" s="311"/>
      <c r="C200" s="315"/>
      <c r="D200" s="317"/>
      <c r="E200" s="315"/>
      <c r="F200" s="332"/>
      <c r="G200" s="332"/>
      <c r="H200" s="333"/>
      <c r="I200" s="320"/>
      <c r="J200" s="320"/>
      <c r="K200" s="320"/>
      <c r="L200" s="320"/>
      <c r="M200" s="315"/>
      <c r="N200" s="315"/>
      <c r="O200" s="321"/>
      <c r="P200" s="322"/>
      <c r="Q200" s="323"/>
      <c r="R200" s="323"/>
      <c r="S200" s="323">
        <f ca="1">IF(NOT(ISERROR(MATCH(R200,_xlfn.ANCHORARRAY(H207),0))),Q209&amp;"Por favor no seleccionar los criterios de impacto",R200)</f>
        <v>0</v>
      </c>
      <c r="T200" s="322"/>
      <c r="U200" s="323"/>
      <c r="V200" s="309"/>
      <c r="W200" s="252">
        <v>2</v>
      </c>
      <c r="X200" s="207" t="s">
        <v>834</v>
      </c>
      <c r="Y200" s="250" t="str">
        <f t="shared" si="499"/>
        <v>Probabilidad</v>
      </c>
      <c r="Z200" s="185" t="s">
        <v>208</v>
      </c>
      <c r="AA200" s="185" t="s">
        <v>216</v>
      </c>
      <c r="AB200" s="186" t="str">
        <f t="shared" si="536"/>
        <v>40%</v>
      </c>
      <c r="AC200" s="185" t="s">
        <v>219</v>
      </c>
      <c r="AD200" s="185" t="s">
        <v>224</v>
      </c>
      <c r="AE200" s="185" t="s">
        <v>228</v>
      </c>
      <c r="AF200" s="187">
        <f t="shared" ref="AF200:AF202" si="582">IFERROR(IF(AND(Y199="Probabilidad",Y200="Probabilidad"),(AH199-(+AH199*AB200)),IF(Y200="Probabilidad",(Q199-(+Q199*AB200)),IF(Y200="Impacto",AH199,""))),"")</f>
        <v>0.216</v>
      </c>
      <c r="AG200" s="188" t="str">
        <f t="shared" si="501"/>
        <v>Baja</v>
      </c>
      <c r="AH200" s="186">
        <f t="shared" si="502"/>
        <v>0.216</v>
      </c>
      <c r="AI200" s="188" t="str">
        <f t="shared" ca="1" si="503"/>
        <v>Moderado</v>
      </c>
      <c r="AJ200" s="186">
        <f t="shared" ref="AJ200" ca="1" si="583">IFERROR(IF(AND(Y199="Impacto",Y200="Impacto"),(AJ199-(+AJ199*AB200)),IF(Y200="Impacto",(U199-(+U199*AB200)),IF(Y200="Probabilidad",AJ199,""))),"")</f>
        <v>0.6</v>
      </c>
      <c r="AK200" s="189" t="str">
        <f t="shared" ca="1" si="505"/>
        <v>Moderado</v>
      </c>
      <c r="AL200" s="185" t="s">
        <v>255</v>
      </c>
      <c r="AM200" s="246"/>
      <c r="AN200" s="250"/>
      <c r="AO200" s="245"/>
      <c r="AP200" s="245"/>
      <c r="AQ200" s="246"/>
      <c r="AR200" s="247"/>
    </row>
    <row r="201" spans="1:44" s="191" customFormat="1" ht="110.25" thickTop="1" thickBot="1" x14ac:dyDescent="0.3">
      <c r="A201" s="310"/>
      <c r="B201" s="311"/>
      <c r="C201" s="315"/>
      <c r="D201" s="317"/>
      <c r="E201" s="315"/>
      <c r="F201" s="332"/>
      <c r="G201" s="332"/>
      <c r="H201" s="333"/>
      <c r="I201" s="320"/>
      <c r="J201" s="320"/>
      <c r="K201" s="320"/>
      <c r="L201" s="320"/>
      <c r="M201" s="315"/>
      <c r="N201" s="315"/>
      <c r="O201" s="321"/>
      <c r="P201" s="322"/>
      <c r="Q201" s="323"/>
      <c r="R201" s="323"/>
      <c r="S201" s="323">
        <f ca="1">IF(NOT(ISERROR(MATCH(R201,_xlfn.ANCHORARRAY(H208),0))),Q210&amp;"Por favor no seleccionar los criterios de impacto",R201)</f>
        <v>0</v>
      </c>
      <c r="T201" s="322"/>
      <c r="U201" s="323"/>
      <c r="V201" s="309"/>
      <c r="W201" s="252">
        <v>3</v>
      </c>
      <c r="X201" s="207" t="s">
        <v>835</v>
      </c>
      <c r="Y201" s="250" t="str">
        <f t="shared" si="499"/>
        <v>Probabilidad</v>
      </c>
      <c r="Z201" s="185" t="s">
        <v>208</v>
      </c>
      <c r="AA201" s="185" t="s">
        <v>216</v>
      </c>
      <c r="AB201" s="186" t="str">
        <f t="shared" si="536"/>
        <v>40%</v>
      </c>
      <c r="AC201" s="185" t="s">
        <v>219</v>
      </c>
      <c r="AD201" s="185" t="s">
        <v>224</v>
      </c>
      <c r="AE201" s="185" t="s">
        <v>228</v>
      </c>
      <c r="AF201" s="187">
        <f t="shared" si="582"/>
        <v>0.12959999999999999</v>
      </c>
      <c r="AG201" s="188" t="str">
        <f t="shared" si="501"/>
        <v>Muy Baja</v>
      </c>
      <c r="AH201" s="186">
        <f t="shared" si="502"/>
        <v>0.12959999999999999</v>
      </c>
      <c r="AI201" s="188" t="str">
        <f t="shared" ca="1" si="503"/>
        <v>Moderado</v>
      </c>
      <c r="AJ201" s="186">
        <f t="shared" ref="AJ201:AJ202" ca="1" si="584">IFERROR(IF(AND(Y200="Impacto",Y201="Impacto"),(AJ200-(+AJ200*AB201)),IF(AND(Y200="Probabilidad",Y201="Impacto"),(AJ199-(+AJ199*AB201)),IF(Y201="Probabilidad",AJ200,""))),"")</f>
        <v>0.6</v>
      </c>
      <c r="AK201" s="189" t="str">
        <f t="shared" ca="1" si="505"/>
        <v>Moderado</v>
      </c>
      <c r="AL201" s="185" t="s">
        <v>255</v>
      </c>
      <c r="AM201" s="246"/>
      <c r="AN201" s="250"/>
      <c r="AO201" s="245"/>
      <c r="AP201" s="245"/>
      <c r="AQ201" s="246"/>
      <c r="AR201" s="247"/>
    </row>
    <row r="202" spans="1:44" s="191" customFormat="1" ht="110.25" thickTop="1" thickBot="1" x14ac:dyDescent="0.3">
      <c r="A202" s="310"/>
      <c r="B202" s="311"/>
      <c r="C202" s="315"/>
      <c r="D202" s="317"/>
      <c r="E202" s="315"/>
      <c r="F202" s="332"/>
      <c r="G202" s="332"/>
      <c r="H202" s="333"/>
      <c r="I202" s="320"/>
      <c r="J202" s="320"/>
      <c r="K202" s="320"/>
      <c r="L202" s="320"/>
      <c r="M202" s="315"/>
      <c r="N202" s="315"/>
      <c r="O202" s="321"/>
      <c r="P202" s="322"/>
      <c r="Q202" s="323"/>
      <c r="R202" s="323"/>
      <c r="S202" s="323">
        <f ca="1">IF(NOT(ISERROR(MATCH(R202,_xlfn.ANCHORARRAY(H209),0))),Q211&amp;"Por favor no seleccionar los criterios de impacto",R202)</f>
        <v>0</v>
      </c>
      <c r="T202" s="322"/>
      <c r="U202" s="323"/>
      <c r="V202" s="309"/>
      <c r="W202" s="252">
        <v>4</v>
      </c>
      <c r="X202" s="207" t="s">
        <v>836</v>
      </c>
      <c r="Y202" s="250" t="str">
        <f t="shared" si="499"/>
        <v>Probabilidad</v>
      </c>
      <c r="Z202" s="185" t="s">
        <v>208</v>
      </c>
      <c r="AA202" s="185" t="s">
        <v>216</v>
      </c>
      <c r="AB202" s="186" t="str">
        <f t="shared" si="536"/>
        <v>40%</v>
      </c>
      <c r="AC202" s="185" t="s">
        <v>219</v>
      </c>
      <c r="AD202" s="185" t="s">
        <v>224</v>
      </c>
      <c r="AE202" s="185" t="s">
        <v>228</v>
      </c>
      <c r="AF202" s="187">
        <f t="shared" si="582"/>
        <v>7.7759999999999996E-2</v>
      </c>
      <c r="AG202" s="188" t="str">
        <f t="shared" si="501"/>
        <v>Muy Baja</v>
      </c>
      <c r="AH202" s="186">
        <f t="shared" si="502"/>
        <v>7.7759999999999996E-2</v>
      </c>
      <c r="AI202" s="188" t="str">
        <f t="shared" ca="1" si="503"/>
        <v>Moderado</v>
      </c>
      <c r="AJ202" s="186">
        <f t="shared" ca="1" si="584"/>
        <v>0.6</v>
      </c>
      <c r="AK202" s="189" t="str">
        <f t="shared" ca="1" si="505"/>
        <v>Moderado</v>
      </c>
      <c r="AL202" s="185" t="s">
        <v>255</v>
      </c>
      <c r="AM202" s="246"/>
      <c r="AN202" s="250"/>
      <c r="AO202" s="245"/>
      <c r="AP202" s="245"/>
      <c r="AQ202" s="246"/>
      <c r="AR202" s="247"/>
    </row>
    <row r="203" spans="1:44" s="191" customFormat="1" ht="129.75" thickTop="1" thickBot="1" x14ac:dyDescent="0.3">
      <c r="A203" s="310">
        <v>82</v>
      </c>
      <c r="B203" s="311" t="s">
        <v>837</v>
      </c>
      <c r="C203" s="315" t="s">
        <v>278</v>
      </c>
      <c r="D203" s="317" t="s">
        <v>838</v>
      </c>
      <c r="E203" s="315" t="s">
        <v>240</v>
      </c>
      <c r="F203" s="332" t="s">
        <v>831</v>
      </c>
      <c r="G203" s="332" t="s">
        <v>839</v>
      </c>
      <c r="H203" s="333" t="s">
        <v>1145</v>
      </c>
      <c r="I203" s="320" t="s">
        <v>474</v>
      </c>
      <c r="J203" s="320" t="s">
        <v>474</v>
      </c>
      <c r="K203" s="320" t="s">
        <v>474</v>
      </c>
      <c r="L203" s="320" t="s">
        <v>474</v>
      </c>
      <c r="M203" s="315" t="s">
        <v>239</v>
      </c>
      <c r="N203" s="315"/>
      <c r="O203" s="321">
        <v>365</v>
      </c>
      <c r="P203" s="322" t="str">
        <f t="shared" si="569"/>
        <v>Media</v>
      </c>
      <c r="Q203" s="323">
        <f t="shared" si="570"/>
        <v>0.6</v>
      </c>
      <c r="R203" s="323" t="s">
        <v>192</v>
      </c>
      <c r="S203" s="323" t="str">
        <f ca="1">IF(NOT(ISERROR(MATCH(R203,'Tabla Impacto'!$B$221:$B$223,0))),'Tabla Impacto'!$F$223&amp;"Por favor no seleccionar los criterios de impacto(Afectación Económica o presupuestal y Pérdida Reputacional)",R203)</f>
        <v xml:space="preserve">Entre 100 y 500 SMLMV </v>
      </c>
      <c r="T203" s="322" t="str">
        <f ca="1">+IF(OR(S203='[1]Tabla Impacto'!$C$11,S203='[1]Tabla Impacto'!$D$11),"Leve",IF(OR(S203='[1]Tabla Impacto'!$C$12,S203='[1]Tabla Impacto'!$D$12),"Menor",IF(OR(S203='[1]Tabla Impacto'!$C$13,S203='[1]Tabla Impacto'!$D$13),"Moderado",IF(OR(S203='[1]Tabla Impacto'!$C$14,S203='[1]Tabla Impacto'!$D$14),"Mayor",IF(OR(S203='[1]Tabla Impacto'!$C$15,S203='[1]Tabla Impacto'!$D$15),"Catastrófico","")))))</f>
        <v>Mayor</v>
      </c>
      <c r="U203" s="323">
        <f t="shared" ref="U203" ca="1" si="585">IF(T203="","",IF(T203="Leve",0.2,IF(T203="Menor",0.4,IF(T203="Moderado",0.6,IF(T203="Mayor",0.8,IF(T203="Catastrófico",1,))))))</f>
        <v>0.8</v>
      </c>
      <c r="V203" s="309" t="str">
        <f t="shared" ref="V203" ca="1" si="586">IF(OR(AND(P203="Muy Baja",T203="Leve"),AND(P203="Muy Baja",T203="Menor"),AND(P203="Baja",T203="Leve")),"Bajo",IF(OR(AND(P203="Muy baja",T203="Moderado"),AND(P203="Baja",T203="Menor"),AND(P203="Baja",T203="Moderado"),AND(P203="Media",T203="Leve"),AND(P203="Media",T203="Menor"),AND(P203="Media",T203="Moderado"),AND(P203="Alta",T203="Leve"),AND(P203="Alta",T203="Menor")),"Moderado",IF(OR(AND(P203="Muy Baja",T203="Mayor"),AND(P203="Baja",T203="Mayor"),AND(P203="Media",T203="Mayor"),AND(P203="Alta",T203="Moderado"),AND(P203="Alta",T203="Mayor"),AND(P203="Muy Alta",T203="Leve"),AND(P203="Muy Alta",T203="Menor"),AND(P203="Muy Alta",T203="Moderado"),AND(P203="Muy Alta",T203="Mayor")),"Alto",IF(OR(AND(P203="Muy Baja",T203="Catastrófico"),AND(P203="Baja",T203="Catastrófico"),AND(P203="Media",T203="Catastrófico"),AND(P203="Alta",T203="Catastrófico"),AND(P203="Muy Alta",T203="Catastrófico")),"Extremo",""))))</f>
        <v>Alto</v>
      </c>
      <c r="W203" s="252">
        <v>1</v>
      </c>
      <c r="X203" s="207" t="s">
        <v>840</v>
      </c>
      <c r="Y203" s="250" t="str">
        <f t="shared" si="499"/>
        <v>Probabilidad</v>
      </c>
      <c r="Z203" s="185" t="s">
        <v>210</v>
      </c>
      <c r="AA203" s="185" t="s">
        <v>216</v>
      </c>
      <c r="AB203" s="186" t="str">
        <f t="shared" si="536"/>
        <v>30%</v>
      </c>
      <c r="AC203" s="185" t="s">
        <v>219</v>
      </c>
      <c r="AD203" s="185" t="s">
        <v>224</v>
      </c>
      <c r="AE203" s="185" t="s">
        <v>228</v>
      </c>
      <c r="AF203" s="187">
        <f t="shared" ref="AF203" si="587">IFERROR(IF(Y203="Probabilidad",(Q203-(+Q203*AB203)),IF(Y203="Impacto",Q203,"")),"")</f>
        <v>0.42</v>
      </c>
      <c r="AG203" s="188" t="str">
        <f t="shared" si="501"/>
        <v>Media</v>
      </c>
      <c r="AH203" s="186">
        <f t="shared" si="502"/>
        <v>0.42</v>
      </c>
      <c r="AI203" s="188" t="str">
        <f t="shared" ca="1" si="503"/>
        <v>Mayor</v>
      </c>
      <c r="AJ203" s="186">
        <f t="shared" ref="AJ203" ca="1" si="588">IFERROR(IF(Y203="Impacto",(U203-(+U203*AB203)),IF(Y203="Probabilidad",U203,"")),"")</f>
        <v>0.8</v>
      </c>
      <c r="AK203" s="189" t="str">
        <f t="shared" ca="1" si="505"/>
        <v>Alto</v>
      </c>
      <c r="AL203" s="185" t="s">
        <v>262</v>
      </c>
      <c r="AM203" s="246"/>
      <c r="AN203" s="250"/>
      <c r="AO203" s="245"/>
      <c r="AP203" s="245"/>
      <c r="AQ203" s="246"/>
      <c r="AR203" s="247"/>
    </row>
    <row r="204" spans="1:44" s="191" customFormat="1" ht="129.75" thickTop="1" thickBot="1" x14ac:dyDescent="0.3">
      <c r="A204" s="310"/>
      <c r="B204" s="311"/>
      <c r="C204" s="315"/>
      <c r="D204" s="317"/>
      <c r="E204" s="315"/>
      <c r="F204" s="332"/>
      <c r="G204" s="332"/>
      <c r="H204" s="333"/>
      <c r="I204" s="320"/>
      <c r="J204" s="320"/>
      <c r="K204" s="320"/>
      <c r="L204" s="320"/>
      <c r="M204" s="315"/>
      <c r="N204" s="315"/>
      <c r="O204" s="321"/>
      <c r="P204" s="322"/>
      <c r="Q204" s="323"/>
      <c r="R204" s="323"/>
      <c r="S204" s="323">
        <f ca="1">IF(NOT(ISERROR(MATCH(R204,_xlfn.ANCHORARRAY(H212),0))),#REF!&amp;"Por favor no seleccionar los criterios de impacto",R204)</f>
        <v>0</v>
      </c>
      <c r="T204" s="322"/>
      <c r="U204" s="323"/>
      <c r="V204" s="309"/>
      <c r="W204" s="252">
        <v>2</v>
      </c>
      <c r="X204" s="207" t="s">
        <v>841</v>
      </c>
      <c r="Y204" s="250" t="str">
        <f t="shared" si="499"/>
        <v>Probabilidad</v>
      </c>
      <c r="Z204" s="185" t="s">
        <v>210</v>
      </c>
      <c r="AA204" s="185" t="s">
        <v>216</v>
      </c>
      <c r="AB204" s="186" t="str">
        <f t="shared" si="536"/>
        <v>30%</v>
      </c>
      <c r="AC204" s="185" t="s">
        <v>219</v>
      </c>
      <c r="AD204" s="185" t="s">
        <v>224</v>
      </c>
      <c r="AE204" s="185" t="s">
        <v>228</v>
      </c>
      <c r="AF204" s="187">
        <f t="shared" ref="AF204:AF206" si="589">IFERROR(IF(AND(Y203="Probabilidad",Y204="Probabilidad"),(AH203-(+AH203*AB204)),IF(Y204="Probabilidad",(Q203-(+Q203*AB204)),IF(Y204="Impacto",AH203,""))),"")</f>
        <v>0.29399999999999998</v>
      </c>
      <c r="AG204" s="188" t="str">
        <f t="shared" si="501"/>
        <v>Baja</v>
      </c>
      <c r="AH204" s="186">
        <f t="shared" si="502"/>
        <v>0.29399999999999998</v>
      </c>
      <c r="AI204" s="188" t="str">
        <f t="shared" ca="1" si="503"/>
        <v>Mayor</v>
      </c>
      <c r="AJ204" s="186">
        <f t="shared" ref="AJ204" ca="1" si="590">IFERROR(IF(AND(Y203="Impacto",Y204="Impacto"),(AJ203-(+AJ203*AB204)),IF(Y204="Impacto",(U203-(+U203*AB204)),IF(Y204="Probabilidad",AJ203,""))),"")</f>
        <v>0.8</v>
      </c>
      <c r="AK204" s="189" t="str">
        <f t="shared" ca="1" si="505"/>
        <v>Alto</v>
      </c>
      <c r="AL204" s="185" t="s">
        <v>262</v>
      </c>
      <c r="AM204" s="246"/>
      <c r="AN204" s="250"/>
      <c r="AO204" s="245"/>
      <c r="AP204" s="245"/>
      <c r="AQ204" s="246"/>
      <c r="AR204" s="247"/>
    </row>
    <row r="205" spans="1:44" s="191" customFormat="1" ht="129.75" thickTop="1" thickBot="1" x14ac:dyDescent="0.3">
      <c r="A205" s="310"/>
      <c r="B205" s="311"/>
      <c r="C205" s="315"/>
      <c r="D205" s="317"/>
      <c r="E205" s="315"/>
      <c r="F205" s="332"/>
      <c r="G205" s="332"/>
      <c r="H205" s="333"/>
      <c r="I205" s="320"/>
      <c r="J205" s="320"/>
      <c r="K205" s="320"/>
      <c r="L205" s="320"/>
      <c r="M205" s="315"/>
      <c r="N205" s="315"/>
      <c r="O205" s="321"/>
      <c r="P205" s="322"/>
      <c r="Q205" s="323"/>
      <c r="R205" s="323"/>
      <c r="S205" s="323">
        <f ca="1">IF(NOT(ISERROR(MATCH(R205,_xlfn.ANCHORARRAY(H213),0))),#REF!&amp;"Por favor no seleccionar los criterios de impacto",R205)</f>
        <v>0</v>
      </c>
      <c r="T205" s="322"/>
      <c r="U205" s="323"/>
      <c r="V205" s="309"/>
      <c r="W205" s="252">
        <v>3</v>
      </c>
      <c r="X205" s="207" t="s">
        <v>842</v>
      </c>
      <c r="Y205" s="250" t="str">
        <f t="shared" si="499"/>
        <v>Probabilidad</v>
      </c>
      <c r="Z205" s="185" t="s">
        <v>208</v>
      </c>
      <c r="AA205" s="185" t="s">
        <v>216</v>
      </c>
      <c r="AB205" s="186" t="str">
        <f t="shared" si="536"/>
        <v>40%</v>
      </c>
      <c r="AC205" s="185" t="s">
        <v>219</v>
      </c>
      <c r="AD205" s="185" t="s">
        <v>224</v>
      </c>
      <c r="AE205" s="185" t="s">
        <v>228</v>
      </c>
      <c r="AF205" s="187">
        <f t="shared" si="589"/>
        <v>0.1764</v>
      </c>
      <c r="AG205" s="188" t="str">
        <f t="shared" si="501"/>
        <v>Muy Baja</v>
      </c>
      <c r="AH205" s="186">
        <f t="shared" si="502"/>
        <v>0.1764</v>
      </c>
      <c r="AI205" s="188" t="str">
        <f t="shared" ca="1" si="503"/>
        <v>Mayor</v>
      </c>
      <c r="AJ205" s="186">
        <f t="shared" ref="AJ205:AJ206" ca="1" si="591">IFERROR(IF(AND(Y204="Impacto",Y205="Impacto"),(AJ204-(+AJ204*AB205)),IF(AND(Y204="Probabilidad",Y205="Impacto"),(AJ203-(+AJ203*AB205)),IF(Y205="Probabilidad",AJ204,""))),"")</f>
        <v>0.8</v>
      </c>
      <c r="AK205" s="189" t="str">
        <f t="shared" ca="1" si="505"/>
        <v>Alto</v>
      </c>
      <c r="AL205" s="185" t="s">
        <v>262</v>
      </c>
      <c r="AM205" s="246"/>
      <c r="AN205" s="250"/>
      <c r="AO205" s="245"/>
      <c r="AP205" s="245"/>
      <c r="AQ205" s="246"/>
      <c r="AR205" s="247"/>
    </row>
    <row r="206" spans="1:44" s="191" customFormat="1" ht="117" customHeight="1" thickTop="1" thickBot="1" x14ac:dyDescent="0.3">
      <c r="A206" s="310"/>
      <c r="B206" s="311"/>
      <c r="C206" s="315"/>
      <c r="D206" s="317"/>
      <c r="E206" s="315"/>
      <c r="F206" s="332"/>
      <c r="G206" s="332"/>
      <c r="H206" s="333"/>
      <c r="I206" s="320"/>
      <c r="J206" s="320"/>
      <c r="K206" s="320"/>
      <c r="L206" s="320"/>
      <c r="M206" s="315"/>
      <c r="N206" s="315"/>
      <c r="O206" s="321"/>
      <c r="P206" s="322"/>
      <c r="Q206" s="323"/>
      <c r="R206" s="323"/>
      <c r="S206" s="323">
        <f ca="1">IF(NOT(ISERROR(MATCH(R206,_xlfn.ANCHORARRAY(#REF!),0))),#REF!&amp;"Por favor no seleccionar los criterios de impacto",R206)</f>
        <v>0</v>
      </c>
      <c r="T206" s="322"/>
      <c r="U206" s="323"/>
      <c r="V206" s="309"/>
      <c r="W206" s="252">
        <v>4</v>
      </c>
      <c r="X206" s="207" t="s">
        <v>843</v>
      </c>
      <c r="Y206" s="250" t="str">
        <f t="shared" si="499"/>
        <v>Impacto</v>
      </c>
      <c r="Z206" s="185" t="s">
        <v>212</v>
      </c>
      <c r="AA206" s="185" t="s">
        <v>216</v>
      </c>
      <c r="AB206" s="186" t="str">
        <f t="shared" si="536"/>
        <v>25%</v>
      </c>
      <c r="AC206" s="185" t="s">
        <v>219</v>
      </c>
      <c r="AD206" s="185" t="s">
        <v>224</v>
      </c>
      <c r="AE206" s="185" t="s">
        <v>228</v>
      </c>
      <c r="AF206" s="187">
        <f t="shared" si="589"/>
        <v>0.1764</v>
      </c>
      <c r="AG206" s="188" t="str">
        <f t="shared" si="501"/>
        <v>Muy Baja</v>
      </c>
      <c r="AH206" s="186">
        <f t="shared" si="502"/>
        <v>0.1764</v>
      </c>
      <c r="AI206" s="188" t="str">
        <f t="shared" ca="1" si="503"/>
        <v>Moderado</v>
      </c>
      <c r="AJ206" s="186">
        <f t="shared" ca="1" si="591"/>
        <v>0.60000000000000009</v>
      </c>
      <c r="AK206" s="189" t="str">
        <f t="shared" ca="1" si="505"/>
        <v>Moderado</v>
      </c>
      <c r="AL206" s="185" t="s">
        <v>255</v>
      </c>
      <c r="AM206" s="246"/>
      <c r="AN206" s="250"/>
      <c r="AO206" s="245"/>
      <c r="AP206" s="245"/>
      <c r="AQ206" s="246"/>
      <c r="AR206" s="247"/>
    </row>
    <row r="207" spans="1:44" s="191" customFormat="1" ht="95.25" customHeight="1" thickTop="1" thickBot="1" x14ac:dyDescent="0.3">
      <c r="A207" s="310">
        <v>83</v>
      </c>
      <c r="B207" s="311" t="s">
        <v>844</v>
      </c>
      <c r="C207" s="315" t="s">
        <v>278</v>
      </c>
      <c r="D207" s="317" t="s">
        <v>845</v>
      </c>
      <c r="E207" s="315" t="s">
        <v>236</v>
      </c>
      <c r="F207" s="332" t="s">
        <v>846</v>
      </c>
      <c r="G207" s="332" t="s">
        <v>847</v>
      </c>
      <c r="H207" s="333" t="s">
        <v>1146</v>
      </c>
      <c r="I207" s="320" t="s">
        <v>474</v>
      </c>
      <c r="J207" s="320" t="s">
        <v>474</v>
      </c>
      <c r="K207" s="320" t="s">
        <v>474</v>
      </c>
      <c r="L207" s="320" t="s">
        <v>474</v>
      </c>
      <c r="M207" s="315" t="s">
        <v>469</v>
      </c>
      <c r="N207" s="315"/>
      <c r="O207" s="321">
        <v>365</v>
      </c>
      <c r="P207" s="322" t="str">
        <f t="shared" si="569"/>
        <v>Media</v>
      </c>
      <c r="Q207" s="323">
        <f t="shared" si="570"/>
        <v>0.6</v>
      </c>
      <c r="R207" s="323" t="s">
        <v>189</v>
      </c>
      <c r="S207" s="323" t="str">
        <f ca="1">IF(NOT(ISERROR(MATCH(R207,'Tabla Impacto'!$B$221:$B$223,0))),'Tabla Impacto'!$F$223&amp;"Por favor no seleccionar los criterios de impacto(Afectación Económica o presupuestal y Pérdida Reputacional)",R207)</f>
        <v xml:space="preserve">Entre 50 y 100 SMLMV </v>
      </c>
      <c r="T207" s="322" t="str">
        <f ca="1">+IF(OR(S207='[1]Tabla Impacto'!$C$11,S207='[1]Tabla Impacto'!$D$11),"Leve",IF(OR(S207='[1]Tabla Impacto'!$C$12,S207='[1]Tabla Impacto'!$D$12),"Menor",IF(OR(S207='[1]Tabla Impacto'!$C$13,S207='[1]Tabla Impacto'!$D$13),"Moderado",IF(OR(S207='[1]Tabla Impacto'!$C$14,S207='[1]Tabla Impacto'!$D$14),"Mayor",IF(OR(S207='[1]Tabla Impacto'!$C$15,S207='[1]Tabla Impacto'!$D$15),"Catastrófico","")))))</f>
        <v>Moderado</v>
      </c>
      <c r="U207" s="323">
        <f t="shared" ref="U207" ca="1" si="592">IF(T207="","",IF(T207="Leve",0.2,IF(T207="Menor",0.4,IF(T207="Moderado",0.6,IF(T207="Mayor",0.8,IF(T207="Catastrófico",1,))))))</f>
        <v>0.6</v>
      </c>
      <c r="V207" s="309" t="str">
        <f t="shared" ref="V207" ca="1" si="593">IF(OR(AND(P207="Muy Baja",T207="Leve"),AND(P207="Muy Baja",T207="Menor"),AND(P207="Baja",T207="Leve")),"Bajo",IF(OR(AND(P207="Muy baja",T207="Moderado"),AND(P207="Baja",T207="Menor"),AND(P207="Baja",T207="Moderado"),AND(P207="Media",T207="Leve"),AND(P207="Media",T207="Menor"),AND(P207="Media",T207="Moderado"),AND(P207="Alta",T207="Leve"),AND(P207="Alta",T207="Menor")),"Moderado",IF(OR(AND(P207="Muy Baja",T207="Mayor"),AND(P207="Baja",T207="Mayor"),AND(P207="Media",T207="Mayor"),AND(P207="Alta",T207="Moderado"),AND(P207="Alta",T207="Mayor"),AND(P207="Muy Alta",T207="Leve"),AND(P207="Muy Alta",T207="Menor"),AND(P207="Muy Alta",T207="Moderado"),AND(P207="Muy Alta",T207="Mayor")),"Alto",IF(OR(AND(P207="Muy Baja",T207="Catastrófico"),AND(P207="Baja",T207="Catastrófico"),AND(P207="Media",T207="Catastrófico"),AND(P207="Alta",T207="Catastrófico"),AND(P207="Muy Alta",T207="Catastrófico")),"Extremo",""))))</f>
        <v>Moderado</v>
      </c>
      <c r="W207" s="252">
        <v>1</v>
      </c>
      <c r="X207" s="207" t="s">
        <v>848</v>
      </c>
      <c r="Y207" s="250" t="str">
        <f t="shared" si="499"/>
        <v>Probabilidad</v>
      </c>
      <c r="Z207" s="185" t="s">
        <v>208</v>
      </c>
      <c r="AA207" s="185" t="s">
        <v>216</v>
      </c>
      <c r="AB207" s="186" t="str">
        <f t="shared" si="536"/>
        <v>40%</v>
      </c>
      <c r="AC207" s="185" t="s">
        <v>219</v>
      </c>
      <c r="AD207" s="185" t="s">
        <v>224</v>
      </c>
      <c r="AE207" s="185" t="s">
        <v>228</v>
      </c>
      <c r="AF207" s="187">
        <f t="shared" ref="AF207" si="594">IFERROR(IF(Y207="Probabilidad",(Q207-(+Q207*AB207)),IF(Y207="Impacto",Q207,"")),"")</f>
        <v>0.36</v>
      </c>
      <c r="AG207" s="188" t="str">
        <f t="shared" si="501"/>
        <v>Baja</v>
      </c>
      <c r="AH207" s="186">
        <f t="shared" si="502"/>
        <v>0.36</v>
      </c>
      <c r="AI207" s="188" t="str">
        <f t="shared" ca="1" si="503"/>
        <v>Moderado</v>
      </c>
      <c r="AJ207" s="186">
        <f t="shared" ref="AJ207" ca="1" si="595">IFERROR(IF(Y207="Impacto",(U207-(+U207*AB207)),IF(Y207="Probabilidad",U207,"")),"")</f>
        <v>0.6</v>
      </c>
      <c r="AK207" s="189" t="str">
        <f t="shared" ca="1" si="505"/>
        <v>Moderado</v>
      </c>
      <c r="AL207" s="185" t="s">
        <v>255</v>
      </c>
      <c r="AM207" s="246"/>
      <c r="AN207" s="250"/>
      <c r="AO207" s="245"/>
      <c r="AP207" s="245"/>
      <c r="AQ207" s="246"/>
      <c r="AR207" s="247"/>
    </row>
    <row r="208" spans="1:44" s="191" customFormat="1" ht="126.75" thickTop="1" thickBot="1" x14ac:dyDescent="0.3">
      <c r="A208" s="310"/>
      <c r="B208" s="311"/>
      <c r="C208" s="315"/>
      <c r="D208" s="317"/>
      <c r="E208" s="315"/>
      <c r="F208" s="332"/>
      <c r="G208" s="332"/>
      <c r="H208" s="333"/>
      <c r="I208" s="320"/>
      <c r="J208" s="320"/>
      <c r="K208" s="320"/>
      <c r="L208" s="320"/>
      <c r="M208" s="315"/>
      <c r="N208" s="315"/>
      <c r="O208" s="321"/>
      <c r="P208" s="322"/>
      <c r="Q208" s="323"/>
      <c r="R208" s="323"/>
      <c r="S208" s="323">
        <f ca="1">IF(NOT(ISERROR(MATCH(R208,_xlfn.ANCHORARRAY(H214),0))),Q216&amp;"Por favor no seleccionar los criterios de impacto",R208)</f>
        <v>0</v>
      </c>
      <c r="T208" s="322"/>
      <c r="U208" s="323"/>
      <c r="V208" s="309"/>
      <c r="W208" s="252">
        <v>2</v>
      </c>
      <c r="X208" s="207" t="s">
        <v>849</v>
      </c>
      <c r="Y208" s="250" t="str">
        <f t="shared" si="499"/>
        <v>Probabilidad</v>
      </c>
      <c r="Z208" s="185" t="s">
        <v>210</v>
      </c>
      <c r="AA208" s="185" t="s">
        <v>216</v>
      </c>
      <c r="AB208" s="186" t="str">
        <f t="shared" si="536"/>
        <v>30%</v>
      </c>
      <c r="AC208" s="185" t="s">
        <v>222</v>
      </c>
      <c r="AD208" s="185" t="s">
        <v>224</v>
      </c>
      <c r="AE208" s="185" t="s">
        <v>228</v>
      </c>
      <c r="AF208" s="187">
        <f t="shared" ref="AF208:AF211" si="596">IFERROR(IF(AND(Y207="Probabilidad",Y208="Probabilidad"),(AH207-(+AH207*AB208)),IF(Y208="Probabilidad",(Q207-(+Q207*AB208)),IF(Y208="Impacto",AH207,""))),"")</f>
        <v>0.252</v>
      </c>
      <c r="AG208" s="188" t="str">
        <f t="shared" si="501"/>
        <v>Baja</v>
      </c>
      <c r="AH208" s="186">
        <f t="shared" si="502"/>
        <v>0.252</v>
      </c>
      <c r="AI208" s="188" t="str">
        <f t="shared" ca="1" si="503"/>
        <v>Moderado</v>
      </c>
      <c r="AJ208" s="186">
        <f t="shared" ref="AJ208" ca="1" si="597">IFERROR(IF(AND(Y207="Impacto",Y208="Impacto"),(AJ207-(+AJ207*AB208)),IF(Y208="Impacto",(U207-(+U207*AB208)),IF(Y208="Probabilidad",AJ207,""))),"")</f>
        <v>0.6</v>
      </c>
      <c r="AK208" s="189" t="str">
        <f t="shared" ca="1" si="505"/>
        <v>Moderado</v>
      </c>
      <c r="AL208" s="185" t="s">
        <v>255</v>
      </c>
      <c r="AM208" s="246"/>
      <c r="AN208" s="250"/>
      <c r="AO208" s="245"/>
      <c r="AP208" s="245"/>
      <c r="AQ208" s="246"/>
      <c r="AR208" s="247"/>
    </row>
    <row r="209" spans="1:44" s="191" customFormat="1" ht="110.25" thickTop="1" thickBot="1" x14ac:dyDescent="0.3">
      <c r="A209" s="310"/>
      <c r="B209" s="311"/>
      <c r="C209" s="315"/>
      <c r="D209" s="317"/>
      <c r="E209" s="315"/>
      <c r="F209" s="332"/>
      <c r="G209" s="332"/>
      <c r="H209" s="333"/>
      <c r="I209" s="320"/>
      <c r="J209" s="320"/>
      <c r="K209" s="320"/>
      <c r="L209" s="320"/>
      <c r="M209" s="315"/>
      <c r="N209" s="315"/>
      <c r="O209" s="321"/>
      <c r="P209" s="322"/>
      <c r="Q209" s="323"/>
      <c r="R209" s="323"/>
      <c r="S209" s="323">
        <f ca="1">IF(NOT(ISERROR(MATCH(R209,_xlfn.ANCHORARRAY(H215),0))),#REF!&amp;"Por favor no seleccionar los criterios de impacto",R209)</f>
        <v>0</v>
      </c>
      <c r="T209" s="322"/>
      <c r="U209" s="323"/>
      <c r="V209" s="309"/>
      <c r="W209" s="252">
        <v>3</v>
      </c>
      <c r="X209" s="207" t="s">
        <v>850</v>
      </c>
      <c r="Y209" s="250" t="str">
        <f t="shared" si="499"/>
        <v>Probabilidad</v>
      </c>
      <c r="Z209" s="185" t="s">
        <v>208</v>
      </c>
      <c r="AA209" s="185" t="s">
        <v>216</v>
      </c>
      <c r="AB209" s="186" t="str">
        <f t="shared" si="536"/>
        <v>40%</v>
      </c>
      <c r="AC209" s="185" t="s">
        <v>219</v>
      </c>
      <c r="AD209" s="185" t="s">
        <v>224</v>
      </c>
      <c r="AE209" s="185" t="s">
        <v>228</v>
      </c>
      <c r="AF209" s="187">
        <f t="shared" si="596"/>
        <v>0.1512</v>
      </c>
      <c r="AG209" s="188" t="str">
        <f t="shared" si="501"/>
        <v>Muy Baja</v>
      </c>
      <c r="AH209" s="186">
        <f t="shared" si="502"/>
        <v>0.1512</v>
      </c>
      <c r="AI209" s="188" t="str">
        <f t="shared" ca="1" si="503"/>
        <v>Moderado</v>
      </c>
      <c r="AJ209" s="186">
        <f t="shared" ref="AJ209:AJ211" ca="1" si="598">IFERROR(IF(AND(Y208="Impacto",Y209="Impacto"),(AJ208-(+AJ208*AB209)),IF(AND(Y208="Probabilidad",Y209="Impacto"),(AJ207-(+AJ207*AB209)),IF(Y209="Probabilidad",AJ208,""))),"")</f>
        <v>0.6</v>
      </c>
      <c r="AK209" s="189" t="str">
        <f t="shared" ca="1" si="505"/>
        <v>Moderado</v>
      </c>
      <c r="AL209" s="185" t="s">
        <v>255</v>
      </c>
      <c r="AM209" s="246"/>
      <c r="AN209" s="250"/>
      <c r="AO209" s="245"/>
      <c r="AP209" s="245"/>
      <c r="AQ209" s="246"/>
      <c r="AR209" s="247"/>
    </row>
    <row r="210" spans="1:44" s="191" customFormat="1" ht="110.25" thickTop="1" thickBot="1" x14ac:dyDescent="0.3">
      <c r="A210" s="310"/>
      <c r="B210" s="311"/>
      <c r="C210" s="315"/>
      <c r="D210" s="317"/>
      <c r="E210" s="315"/>
      <c r="F210" s="332"/>
      <c r="G210" s="332"/>
      <c r="H210" s="333"/>
      <c r="I210" s="320"/>
      <c r="J210" s="320"/>
      <c r="K210" s="320"/>
      <c r="L210" s="320"/>
      <c r="M210" s="315"/>
      <c r="N210" s="315"/>
      <c r="O210" s="321"/>
      <c r="P210" s="322"/>
      <c r="Q210" s="323"/>
      <c r="R210" s="323"/>
      <c r="S210" s="323">
        <f ca="1">IF(NOT(ISERROR(MATCH(R210,_xlfn.ANCHORARRAY(H216),0))),#REF!&amp;"Por favor no seleccionar los criterios de impacto",R210)</f>
        <v>0</v>
      </c>
      <c r="T210" s="322"/>
      <c r="U210" s="323"/>
      <c r="V210" s="309"/>
      <c r="W210" s="252">
        <v>4</v>
      </c>
      <c r="X210" s="207" t="s">
        <v>851</v>
      </c>
      <c r="Y210" s="250" t="str">
        <f t="shared" si="499"/>
        <v>Probabilidad</v>
      </c>
      <c r="Z210" s="185" t="s">
        <v>208</v>
      </c>
      <c r="AA210" s="185" t="s">
        <v>216</v>
      </c>
      <c r="AB210" s="186" t="str">
        <f t="shared" si="536"/>
        <v>40%</v>
      </c>
      <c r="AC210" s="185" t="s">
        <v>219</v>
      </c>
      <c r="AD210" s="185" t="s">
        <v>224</v>
      </c>
      <c r="AE210" s="185" t="s">
        <v>228</v>
      </c>
      <c r="AF210" s="187">
        <f t="shared" si="596"/>
        <v>9.0719999999999995E-2</v>
      </c>
      <c r="AG210" s="188" t="str">
        <f t="shared" si="501"/>
        <v>Muy Baja</v>
      </c>
      <c r="AH210" s="186">
        <f t="shared" si="502"/>
        <v>9.0719999999999995E-2</v>
      </c>
      <c r="AI210" s="188" t="str">
        <f t="shared" ca="1" si="503"/>
        <v>Moderado</v>
      </c>
      <c r="AJ210" s="186">
        <f t="shared" ca="1" si="598"/>
        <v>0.6</v>
      </c>
      <c r="AK210" s="189" t="str">
        <f t="shared" ca="1" si="505"/>
        <v>Moderado</v>
      </c>
      <c r="AL210" s="185" t="s">
        <v>255</v>
      </c>
      <c r="AM210" s="246"/>
      <c r="AN210" s="250"/>
      <c r="AO210" s="245"/>
      <c r="AP210" s="245"/>
      <c r="AQ210" s="246"/>
      <c r="AR210" s="247"/>
    </row>
    <row r="211" spans="1:44" s="191" customFormat="1" ht="110.25" thickTop="1" thickBot="1" x14ac:dyDescent="0.3">
      <c r="A211" s="310"/>
      <c r="B211" s="311"/>
      <c r="C211" s="315"/>
      <c r="D211" s="317"/>
      <c r="E211" s="315"/>
      <c r="F211" s="332"/>
      <c r="G211" s="332"/>
      <c r="H211" s="333"/>
      <c r="I211" s="320"/>
      <c r="J211" s="320"/>
      <c r="K211" s="320"/>
      <c r="L211" s="320"/>
      <c r="M211" s="315"/>
      <c r="N211" s="315"/>
      <c r="O211" s="321"/>
      <c r="P211" s="322"/>
      <c r="Q211" s="323"/>
      <c r="R211" s="323"/>
      <c r="S211" s="323">
        <f ca="1">IF(NOT(ISERROR(MATCH(R211,_xlfn.ANCHORARRAY(#REF!),0))),#REF!&amp;"Por favor no seleccionar los criterios de impacto",R211)</f>
        <v>0</v>
      </c>
      <c r="T211" s="322"/>
      <c r="U211" s="323"/>
      <c r="V211" s="309"/>
      <c r="W211" s="252">
        <v>5</v>
      </c>
      <c r="X211" s="207" t="s">
        <v>852</v>
      </c>
      <c r="Y211" s="250" t="str">
        <f t="shared" si="499"/>
        <v>Probabilidad</v>
      </c>
      <c r="Z211" s="185" t="s">
        <v>208</v>
      </c>
      <c r="AA211" s="185" t="s">
        <v>216</v>
      </c>
      <c r="AB211" s="186" t="str">
        <f t="shared" si="536"/>
        <v>40%</v>
      </c>
      <c r="AC211" s="185" t="s">
        <v>219</v>
      </c>
      <c r="AD211" s="185" t="s">
        <v>224</v>
      </c>
      <c r="AE211" s="185" t="s">
        <v>228</v>
      </c>
      <c r="AF211" s="187">
        <f t="shared" si="596"/>
        <v>5.4431999999999994E-2</v>
      </c>
      <c r="AG211" s="188" t="str">
        <f t="shared" si="501"/>
        <v>Muy Baja</v>
      </c>
      <c r="AH211" s="186">
        <f t="shared" si="502"/>
        <v>5.4431999999999994E-2</v>
      </c>
      <c r="AI211" s="188" t="str">
        <f t="shared" ca="1" si="503"/>
        <v>Moderado</v>
      </c>
      <c r="AJ211" s="186">
        <f t="shared" ca="1" si="598"/>
        <v>0.6</v>
      </c>
      <c r="AK211" s="189" t="str">
        <f t="shared" ca="1" si="505"/>
        <v>Moderado</v>
      </c>
      <c r="AL211" s="185" t="s">
        <v>255</v>
      </c>
      <c r="AM211" s="246"/>
      <c r="AN211" s="250"/>
      <c r="AO211" s="245"/>
      <c r="AP211" s="245"/>
      <c r="AQ211" s="246"/>
      <c r="AR211" s="247"/>
    </row>
    <row r="212" spans="1:44" s="191" customFormat="1" ht="133.5" customHeight="1" thickTop="1" thickBot="1" x14ac:dyDescent="0.3">
      <c r="A212" s="310">
        <v>84</v>
      </c>
      <c r="B212" s="311" t="s">
        <v>853</v>
      </c>
      <c r="C212" s="315" t="s">
        <v>278</v>
      </c>
      <c r="D212" s="317" t="s">
        <v>854</v>
      </c>
      <c r="E212" s="315" t="s">
        <v>236</v>
      </c>
      <c r="F212" s="332" t="s">
        <v>855</v>
      </c>
      <c r="G212" s="332" t="s">
        <v>839</v>
      </c>
      <c r="H212" s="333" t="s">
        <v>1147</v>
      </c>
      <c r="I212" s="320" t="s">
        <v>474</v>
      </c>
      <c r="J212" s="320" t="s">
        <v>474</v>
      </c>
      <c r="K212" s="320" t="s">
        <v>474</v>
      </c>
      <c r="L212" s="320" t="s">
        <v>474</v>
      </c>
      <c r="M212" s="315" t="s">
        <v>239</v>
      </c>
      <c r="N212" s="315"/>
      <c r="O212" s="321">
        <v>365</v>
      </c>
      <c r="P212" s="322" t="str">
        <f t="shared" si="569"/>
        <v>Media</v>
      </c>
      <c r="Q212" s="323">
        <f t="shared" si="570"/>
        <v>0.6</v>
      </c>
      <c r="R212" s="323" t="s">
        <v>189</v>
      </c>
      <c r="S212" s="323" t="str">
        <f ca="1">IF(NOT(ISERROR(MATCH(R212,'Tabla Impacto'!$B$221:$B$223,0))),'Tabla Impacto'!$F$223&amp;"Por favor no seleccionar los criterios de impacto(Afectación Económica o presupuestal y Pérdida Reputacional)",R212)</f>
        <v xml:space="preserve">Entre 50 y 100 SMLMV </v>
      </c>
      <c r="T212" s="322" t="str">
        <f ca="1">+IF(OR(S212='[1]Tabla Impacto'!$C$11,S212='[1]Tabla Impacto'!$D$11),"Leve",IF(OR(S212='[1]Tabla Impacto'!$C$12,S212='[1]Tabla Impacto'!$D$12),"Menor",IF(OR(S212='[1]Tabla Impacto'!$C$13,S212='[1]Tabla Impacto'!$D$13),"Moderado",IF(OR(S212='[1]Tabla Impacto'!$C$14,S212='[1]Tabla Impacto'!$D$14),"Mayor",IF(OR(S212='[1]Tabla Impacto'!$C$15,S212='[1]Tabla Impacto'!$D$15),"Catastrófico","")))))</f>
        <v>Moderado</v>
      </c>
      <c r="U212" s="323">
        <f t="shared" ref="U212" ca="1" si="599">IF(T212="","",IF(T212="Leve",0.2,IF(T212="Menor",0.4,IF(T212="Moderado",0.6,IF(T212="Mayor",0.8,IF(T212="Catastrófico",1,))))))</f>
        <v>0.6</v>
      </c>
      <c r="V212" s="309" t="str">
        <f t="shared" ref="V212" ca="1" si="600">IF(OR(AND(P212="Muy Baja",T212="Leve"),AND(P212="Muy Baja",T212="Menor"),AND(P212="Baja",T212="Leve")),"Bajo",IF(OR(AND(P212="Muy baja",T212="Moderado"),AND(P212="Baja",T212="Menor"),AND(P212="Baja",T212="Moderado"),AND(P212="Media",T212="Leve"),AND(P212="Media",T212="Menor"),AND(P212="Media",T212="Moderado"),AND(P212="Alta",T212="Leve"),AND(P212="Alta",T212="Menor")),"Moderado",IF(OR(AND(P212="Muy Baja",T212="Mayor"),AND(P212="Baja",T212="Mayor"),AND(P212="Media",T212="Mayor"),AND(P212="Alta",T212="Moderado"),AND(P212="Alta",T212="Mayor"),AND(P212="Muy Alta",T212="Leve"),AND(P212="Muy Alta",T212="Menor"),AND(P212="Muy Alta",T212="Moderado"),AND(P212="Muy Alta",T212="Mayor")),"Alto",IF(OR(AND(P212="Muy Baja",T212="Catastrófico"),AND(P212="Baja",T212="Catastrófico"),AND(P212="Media",T212="Catastrófico"),AND(P212="Alta",T212="Catastrófico"),AND(P212="Muy Alta",T212="Catastrófico")),"Extremo",""))))</f>
        <v>Moderado</v>
      </c>
      <c r="W212" s="252">
        <v>1</v>
      </c>
      <c r="X212" s="207" t="s">
        <v>856</v>
      </c>
      <c r="Y212" s="250" t="str">
        <f t="shared" si="499"/>
        <v>Probabilidad</v>
      </c>
      <c r="Z212" s="185" t="s">
        <v>208</v>
      </c>
      <c r="AA212" s="185" t="s">
        <v>216</v>
      </c>
      <c r="AB212" s="186" t="str">
        <f t="shared" si="536"/>
        <v>40%</v>
      </c>
      <c r="AC212" s="185" t="s">
        <v>219</v>
      </c>
      <c r="AD212" s="185" t="s">
        <v>224</v>
      </c>
      <c r="AE212" s="185" t="s">
        <v>228</v>
      </c>
      <c r="AF212" s="187">
        <f t="shared" ref="AF212" si="601">IFERROR(IF(Y212="Probabilidad",(Q212-(+Q212*AB212)),IF(Y212="Impacto",Q212,"")),"")</f>
        <v>0.36</v>
      </c>
      <c r="AG212" s="188" t="str">
        <f t="shared" si="501"/>
        <v>Baja</v>
      </c>
      <c r="AH212" s="186">
        <f t="shared" si="502"/>
        <v>0.36</v>
      </c>
      <c r="AI212" s="188" t="str">
        <f t="shared" ca="1" si="503"/>
        <v>Moderado</v>
      </c>
      <c r="AJ212" s="186">
        <f t="shared" ref="AJ212" ca="1" si="602">IFERROR(IF(Y212="Impacto",(U212-(+U212*AB212)),IF(Y212="Probabilidad",U212,"")),"")</f>
        <v>0.6</v>
      </c>
      <c r="AK212" s="189" t="str">
        <f t="shared" ca="1" si="505"/>
        <v>Moderado</v>
      </c>
      <c r="AL212" s="185" t="s">
        <v>255</v>
      </c>
      <c r="AM212" s="246"/>
      <c r="AN212" s="250"/>
      <c r="AO212" s="245"/>
      <c r="AP212" s="245"/>
      <c r="AQ212" s="246"/>
      <c r="AR212" s="247"/>
    </row>
    <row r="213" spans="1:44" s="191" customFormat="1" ht="133.5" customHeight="1" thickTop="1" thickBot="1" x14ac:dyDescent="0.3">
      <c r="A213" s="310"/>
      <c r="B213" s="311"/>
      <c r="C213" s="315"/>
      <c r="D213" s="317"/>
      <c r="E213" s="315"/>
      <c r="F213" s="332"/>
      <c r="G213" s="332"/>
      <c r="H213" s="333"/>
      <c r="I213" s="320"/>
      <c r="J213" s="320"/>
      <c r="K213" s="320"/>
      <c r="L213" s="320"/>
      <c r="M213" s="315"/>
      <c r="N213" s="315"/>
      <c r="O213" s="321"/>
      <c r="P213" s="322"/>
      <c r="Q213" s="323"/>
      <c r="R213" s="323"/>
      <c r="S213" s="323">
        <f ca="1">IF(NOT(ISERROR(MATCH(R213,_xlfn.ANCHORARRAY(H217),0))),Q219&amp;"Por favor no seleccionar los criterios de impacto",R213)</f>
        <v>0</v>
      </c>
      <c r="T213" s="322"/>
      <c r="U213" s="323"/>
      <c r="V213" s="309"/>
      <c r="W213" s="252">
        <v>2</v>
      </c>
      <c r="X213" s="207" t="s">
        <v>857</v>
      </c>
      <c r="Y213" s="250" t="str">
        <f t="shared" ref="Y213:Y242" si="603">IF(OR(Z213="Preventivo",Z213="Detectivo"),"Probabilidad",IF(Z213="Correctivo","Impacto",""))</f>
        <v>Probabilidad</v>
      </c>
      <c r="Z213" s="185" t="s">
        <v>208</v>
      </c>
      <c r="AA213" s="185" t="s">
        <v>216</v>
      </c>
      <c r="AB213" s="186" t="str">
        <f t="shared" si="536"/>
        <v>40%</v>
      </c>
      <c r="AC213" s="185" t="s">
        <v>219</v>
      </c>
      <c r="AD213" s="185" t="s">
        <v>224</v>
      </c>
      <c r="AE213" s="185" t="s">
        <v>228</v>
      </c>
      <c r="AF213" s="187">
        <f t="shared" ref="AF213" si="604">IFERROR(IF(AND(Y212="Probabilidad",Y213="Probabilidad"),(AH212-(+AH212*AB213)),IF(Y213="Probabilidad",(Q212-(+Q212*AB213)),IF(Y213="Impacto",AH212,""))),"")</f>
        <v>0.216</v>
      </c>
      <c r="AG213" s="188" t="str">
        <f t="shared" ref="AG213:AG242" si="605">IFERROR(IF(AF213="","",IF(AF213&lt;=0.2,"Muy Baja",IF(AF213&lt;=0.4,"Baja",IF(AF213&lt;=0.6,"Media",IF(AF213&lt;=0.8,"Alta","Muy Alta"))))),"")</f>
        <v>Baja</v>
      </c>
      <c r="AH213" s="186">
        <f t="shared" ref="AH213:AH242" si="606">+AF213</f>
        <v>0.216</v>
      </c>
      <c r="AI213" s="188" t="str">
        <f t="shared" ref="AI213:AI242" ca="1" si="607">IFERROR(IF(AJ213="","",IF(AJ213&lt;=0.2,"Leve",IF(AJ213&lt;=0.4,"Menor",IF(AJ213&lt;=0.6,"Moderado",IF(AJ213&lt;=0.8,"Mayor","Catastrófico"))))),"")</f>
        <v>Moderado</v>
      </c>
      <c r="AJ213" s="186">
        <f t="shared" ref="AJ213" ca="1" si="608">IFERROR(IF(AND(Y212="Impacto",Y213="Impacto"),(AJ212-(+AJ212*AB213)),IF(Y213="Impacto",(U212-(+U212*AB213)),IF(Y213="Probabilidad",AJ212,""))),"")</f>
        <v>0.6</v>
      </c>
      <c r="AK213" s="189" t="str">
        <f t="shared" ref="AK213:AK242" ca="1" si="609">IFERROR(IF(OR(AND(AG213="Muy Baja",AI213="Leve"),AND(AG213="Muy Baja",AI213="Menor"),AND(AG213="Baja",AI213="Leve")),"Bajo",IF(OR(AND(AG213="Muy baja",AI213="Moderado"),AND(AG213="Baja",AI213="Menor"),AND(AG213="Baja",AI213="Moderado"),AND(AG213="Media",AI213="Leve"),AND(AG213="Media",AI213="Menor"),AND(AG213="Media",AI213="Moderado"),AND(AG213="Alta",AI213="Leve"),AND(AG213="Alta",AI213="Menor")),"Moderado",IF(OR(AND(AG213="Muy Baja",AI213="Mayor"),AND(AG213="Baja",AI213="Mayor"),AND(AG213="Media",AI213="Mayor"),AND(AG213="Alta",AI213="Moderado"),AND(AG213="Alta",AI213="Mayor"),AND(AG213="Muy Alta",AI213="Leve"),AND(AG213="Muy Alta",AI213="Menor"),AND(AG213="Muy Alta",AI213="Moderado"),AND(AG213="Muy Alta",AI213="Mayor")),"Alto",IF(OR(AND(AG213="Muy Baja",AI213="Catastrófico"),AND(AG213="Baja",AI213="Catastrófico"),AND(AG213="Media",AI213="Catastrófico"),AND(AG213="Alta",AI213="Catastrófico"),AND(AG213="Muy Alta",AI213="Catastrófico")),"Extremo","")))),"")</f>
        <v>Moderado</v>
      </c>
      <c r="AL213" s="185" t="s">
        <v>255</v>
      </c>
      <c r="AM213" s="246"/>
      <c r="AN213" s="250"/>
      <c r="AO213" s="245"/>
      <c r="AP213" s="245"/>
      <c r="AQ213" s="246"/>
      <c r="AR213" s="247"/>
    </row>
    <row r="214" spans="1:44" s="191" customFormat="1" ht="100.5" customHeight="1" thickTop="1" thickBot="1" x14ac:dyDescent="0.3">
      <c r="A214" s="310">
        <v>85</v>
      </c>
      <c r="B214" s="311" t="s">
        <v>858</v>
      </c>
      <c r="C214" s="315" t="s">
        <v>278</v>
      </c>
      <c r="D214" s="317" t="s">
        <v>859</v>
      </c>
      <c r="E214" s="315" t="s">
        <v>236</v>
      </c>
      <c r="F214" s="332" t="s">
        <v>860</v>
      </c>
      <c r="G214" s="332" t="s">
        <v>1074</v>
      </c>
      <c r="H214" s="333" t="s">
        <v>1148</v>
      </c>
      <c r="I214" s="320" t="s">
        <v>474</v>
      </c>
      <c r="J214" s="320" t="s">
        <v>474</v>
      </c>
      <c r="K214" s="320" t="s">
        <v>474</v>
      </c>
      <c r="L214" s="320" t="s">
        <v>474</v>
      </c>
      <c r="M214" s="315" t="s">
        <v>468</v>
      </c>
      <c r="N214" s="315"/>
      <c r="O214" s="321">
        <v>500</v>
      </c>
      <c r="P214" s="322" t="str">
        <f t="shared" si="569"/>
        <v>Media</v>
      </c>
      <c r="Q214" s="323">
        <f t="shared" si="570"/>
        <v>0.6</v>
      </c>
      <c r="R214" s="323" t="s">
        <v>189</v>
      </c>
      <c r="S214" s="323" t="str">
        <f ca="1">IF(NOT(ISERROR(MATCH(R214,'Tabla Impacto'!$B$221:$B$223,0))),'Tabla Impacto'!$F$223&amp;"Por favor no seleccionar los criterios de impacto(Afectación Económica o presupuestal y Pérdida Reputacional)",R214)</f>
        <v xml:space="preserve">Entre 50 y 100 SMLMV </v>
      </c>
      <c r="T214" s="322" t="str">
        <f ca="1">+IF(OR(S214='[1]Tabla Impacto'!$C$11,S214='[1]Tabla Impacto'!$D$11),"Leve",IF(OR(S214='[1]Tabla Impacto'!$C$12,S214='[1]Tabla Impacto'!$D$12),"Menor",IF(OR(S214='[1]Tabla Impacto'!$C$13,S214='[1]Tabla Impacto'!$D$13),"Moderado",IF(OR(S214='[1]Tabla Impacto'!$C$14,S214='[1]Tabla Impacto'!$D$14),"Mayor",IF(OR(S214='[1]Tabla Impacto'!$C$15,S214='[1]Tabla Impacto'!$D$15),"Catastrófico","")))))</f>
        <v>Moderado</v>
      </c>
      <c r="U214" s="323">
        <f t="shared" ref="U214" ca="1" si="610">IF(T214="","",IF(T214="Leve",0.2,IF(T214="Menor",0.4,IF(T214="Moderado",0.6,IF(T214="Mayor",0.8,IF(T214="Catastrófico",1,))))))</f>
        <v>0.6</v>
      </c>
      <c r="V214" s="309" t="str">
        <f t="shared" ref="V214" ca="1" si="611">IF(OR(AND(P214="Muy Baja",T214="Leve"),AND(P214="Muy Baja",T214="Menor"),AND(P214="Baja",T214="Leve")),"Bajo",IF(OR(AND(P214="Muy baja",T214="Moderado"),AND(P214="Baja",T214="Menor"),AND(P214="Baja",T214="Moderado"),AND(P214="Media",T214="Leve"),AND(P214="Media",T214="Menor"),AND(P214="Media",T214="Moderado"),AND(P214="Alta",T214="Leve"),AND(P214="Alta",T214="Menor")),"Moderado",IF(OR(AND(P214="Muy Baja",T214="Mayor"),AND(P214="Baja",T214="Mayor"),AND(P214="Media",T214="Mayor"),AND(P214="Alta",T214="Moderado"),AND(P214="Alta",T214="Mayor"),AND(P214="Muy Alta",T214="Leve"),AND(P214="Muy Alta",T214="Menor"),AND(P214="Muy Alta",T214="Moderado"),AND(P214="Muy Alta",T214="Mayor")),"Alto",IF(OR(AND(P214="Muy Baja",T214="Catastrófico"),AND(P214="Baja",T214="Catastrófico"),AND(P214="Media",T214="Catastrófico"),AND(P214="Alta",T214="Catastrófico"),AND(P214="Muy Alta",T214="Catastrófico")),"Extremo",""))))</f>
        <v>Moderado</v>
      </c>
      <c r="W214" s="252">
        <v>1</v>
      </c>
      <c r="X214" s="207" t="s">
        <v>861</v>
      </c>
      <c r="Y214" s="250" t="str">
        <f t="shared" si="603"/>
        <v>Probabilidad</v>
      </c>
      <c r="Z214" s="185" t="s">
        <v>208</v>
      </c>
      <c r="AA214" s="185" t="s">
        <v>216</v>
      </c>
      <c r="AB214" s="186" t="str">
        <f t="shared" si="536"/>
        <v>40%</v>
      </c>
      <c r="AC214" s="185" t="s">
        <v>219</v>
      </c>
      <c r="AD214" s="185" t="s">
        <v>224</v>
      </c>
      <c r="AE214" s="185" t="s">
        <v>228</v>
      </c>
      <c r="AF214" s="187">
        <f t="shared" ref="AF214" si="612">IFERROR(IF(Y214="Probabilidad",(Q214-(+Q214*AB214)),IF(Y214="Impacto",Q214,"")),"")</f>
        <v>0.36</v>
      </c>
      <c r="AG214" s="188" t="str">
        <f t="shared" si="605"/>
        <v>Baja</v>
      </c>
      <c r="AH214" s="186">
        <f t="shared" si="606"/>
        <v>0.36</v>
      </c>
      <c r="AI214" s="188" t="str">
        <f t="shared" ca="1" si="607"/>
        <v>Moderado</v>
      </c>
      <c r="AJ214" s="186">
        <f t="shared" ref="AJ214" ca="1" si="613">IFERROR(IF(Y214="Impacto",(U214-(+U214*AB214)),IF(Y214="Probabilidad",U214,"")),"")</f>
        <v>0.6</v>
      </c>
      <c r="AK214" s="189" t="str">
        <f t="shared" ca="1" si="609"/>
        <v>Moderado</v>
      </c>
      <c r="AL214" s="185" t="s">
        <v>255</v>
      </c>
      <c r="AM214" s="246"/>
      <c r="AN214" s="250"/>
      <c r="AO214" s="245"/>
      <c r="AP214" s="245"/>
      <c r="AQ214" s="246"/>
      <c r="AR214" s="247"/>
    </row>
    <row r="215" spans="1:44" s="191" customFormat="1" ht="98.25" customHeight="1" thickTop="1" thickBot="1" x14ac:dyDescent="0.3">
      <c r="A215" s="310"/>
      <c r="B215" s="311"/>
      <c r="C215" s="315"/>
      <c r="D215" s="317"/>
      <c r="E215" s="315"/>
      <c r="F215" s="332"/>
      <c r="G215" s="332"/>
      <c r="H215" s="333"/>
      <c r="I215" s="320"/>
      <c r="J215" s="320"/>
      <c r="K215" s="320"/>
      <c r="L215" s="320"/>
      <c r="M215" s="315"/>
      <c r="N215" s="315"/>
      <c r="O215" s="321"/>
      <c r="P215" s="322"/>
      <c r="Q215" s="323"/>
      <c r="R215" s="323"/>
      <c r="S215" s="323">
        <f ca="1">IF(NOT(ISERROR(MATCH(R215,_xlfn.ANCHORARRAY(H222),0))),Q224&amp;"Por favor no seleccionar los criterios de impacto",R215)</f>
        <v>0</v>
      </c>
      <c r="T215" s="322"/>
      <c r="U215" s="323"/>
      <c r="V215" s="309"/>
      <c r="W215" s="252">
        <v>2</v>
      </c>
      <c r="X215" s="207" t="s">
        <v>862</v>
      </c>
      <c r="Y215" s="250" t="str">
        <f t="shared" si="603"/>
        <v>Probabilidad</v>
      </c>
      <c r="Z215" s="185" t="s">
        <v>208</v>
      </c>
      <c r="AA215" s="185" t="s">
        <v>216</v>
      </c>
      <c r="AB215" s="186" t="str">
        <f t="shared" si="536"/>
        <v>40%</v>
      </c>
      <c r="AC215" s="185" t="s">
        <v>219</v>
      </c>
      <c r="AD215" s="185" t="s">
        <v>224</v>
      </c>
      <c r="AE215" s="185" t="s">
        <v>228</v>
      </c>
      <c r="AF215" s="187">
        <f t="shared" ref="AF215:AF216" si="614">IFERROR(IF(AND(Y214="Probabilidad",Y215="Probabilidad"),(AH214-(+AH214*AB215)),IF(Y215="Probabilidad",(Q214-(+Q214*AB215)),IF(Y215="Impacto",AH214,""))),"")</f>
        <v>0.216</v>
      </c>
      <c r="AG215" s="188" t="str">
        <f t="shared" si="605"/>
        <v>Baja</v>
      </c>
      <c r="AH215" s="186">
        <f t="shared" si="606"/>
        <v>0.216</v>
      </c>
      <c r="AI215" s="188" t="str">
        <f t="shared" ca="1" si="607"/>
        <v>Moderado</v>
      </c>
      <c r="AJ215" s="186">
        <f t="shared" ref="AJ215" ca="1" si="615">IFERROR(IF(AND(Y214="Impacto",Y215="Impacto"),(AJ214-(+AJ214*AB215)),IF(Y215="Impacto",(U214-(+U214*AB215)),IF(Y215="Probabilidad",AJ214,""))),"")</f>
        <v>0.6</v>
      </c>
      <c r="AK215" s="189" t="str">
        <f t="shared" ca="1" si="609"/>
        <v>Moderado</v>
      </c>
      <c r="AL215" s="185" t="s">
        <v>255</v>
      </c>
      <c r="AM215" s="246"/>
      <c r="AN215" s="250"/>
      <c r="AO215" s="245"/>
      <c r="AP215" s="245"/>
      <c r="AQ215" s="246"/>
      <c r="AR215" s="247"/>
    </row>
    <row r="216" spans="1:44" s="191" customFormat="1" ht="110.25" thickTop="1" thickBot="1" x14ac:dyDescent="0.3">
      <c r="A216" s="310"/>
      <c r="B216" s="311"/>
      <c r="C216" s="315"/>
      <c r="D216" s="317"/>
      <c r="E216" s="315"/>
      <c r="F216" s="332"/>
      <c r="G216" s="332"/>
      <c r="H216" s="333"/>
      <c r="I216" s="320"/>
      <c r="J216" s="320"/>
      <c r="K216" s="320"/>
      <c r="L216" s="320"/>
      <c r="M216" s="315"/>
      <c r="N216" s="315"/>
      <c r="O216" s="321"/>
      <c r="P216" s="322"/>
      <c r="Q216" s="323"/>
      <c r="R216" s="323"/>
      <c r="S216" s="323">
        <f ca="1">IF(NOT(ISERROR(MATCH(R216,_xlfn.ANCHORARRAY(H223),0))),Q225&amp;"Por favor no seleccionar los criterios de impacto",R216)</f>
        <v>0</v>
      </c>
      <c r="T216" s="322"/>
      <c r="U216" s="323"/>
      <c r="V216" s="309"/>
      <c r="W216" s="252">
        <v>3</v>
      </c>
      <c r="X216" s="207" t="s">
        <v>863</v>
      </c>
      <c r="Y216" s="250" t="str">
        <f t="shared" si="603"/>
        <v>Probabilidad</v>
      </c>
      <c r="Z216" s="185" t="s">
        <v>208</v>
      </c>
      <c r="AA216" s="185" t="s">
        <v>216</v>
      </c>
      <c r="AB216" s="186" t="str">
        <f t="shared" si="536"/>
        <v>40%</v>
      </c>
      <c r="AC216" s="185" t="s">
        <v>219</v>
      </c>
      <c r="AD216" s="185" t="s">
        <v>224</v>
      </c>
      <c r="AE216" s="185" t="s">
        <v>228</v>
      </c>
      <c r="AF216" s="187">
        <f t="shared" si="614"/>
        <v>0.12959999999999999</v>
      </c>
      <c r="AG216" s="188" t="str">
        <f t="shared" si="605"/>
        <v>Muy Baja</v>
      </c>
      <c r="AH216" s="186">
        <f t="shared" si="606"/>
        <v>0.12959999999999999</v>
      </c>
      <c r="AI216" s="188" t="str">
        <f t="shared" ca="1" si="607"/>
        <v>Moderado</v>
      </c>
      <c r="AJ216" s="186">
        <f t="shared" ref="AJ216" ca="1" si="616">IFERROR(IF(AND(Y215="Impacto",Y216="Impacto"),(AJ215-(+AJ215*AB216)),IF(AND(Y215="Probabilidad",Y216="Impacto"),(AJ214-(+AJ214*AB216)),IF(Y216="Probabilidad",AJ215,""))),"")</f>
        <v>0.6</v>
      </c>
      <c r="AK216" s="189" t="str">
        <f t="shared" ca="1" si="609"/>
        <v>Moderado</v>
      </c>
      <c r="AL216" s="185" t="s">
        <v>255</v>
      </c>
      <c r="AM216" s="246"/>
      <c r="AN216" s="250"/>
      <c r="AO216" s="245"/>
      <c r="AP216" s="245"/>
      <c r="AQ216" s="246"/>
      <c r="AR216" s="247"/>
    </row>
    <row r="217" spans="1:44" s="191" customFormat="1" ht="110.25" thickTop="1" thickBot="1" x14ac:dyDescent="0.3">
      <c r="A217" s="310">
        <v>86</v>
      </c>
      <c r="B217" s="311" t="s">
        <v>864</v>
      </c>
      <c r="C217" s="315" t="s">
        <v>278</v>
      </c>
      <c r="D217" s="317" t="s">
        <v>865</v>
      </c>
      <c r="E217" s="315" t="s">
        <v>236</v>
      </c>
      <c r="F217" s="332" t="s">
        <v>866</v>
      </c>
      <c r="G217" s="332" t="s">
        <v>867</v>
      </c>
      <c r="H217" s="333" t="s">
        <v>1149</v>
      </c>
      <c r="I217" s="320" t="s">
        <v>474</v>
      </c>
      <c r="J217" s="320" t="s">
        <v>474</v>
      </c>
      <c r="K217" s="320" t="s">
        <v>474</v>
      </c>
      <c r="L217" s="320" t="s">
        <v>474</v>
      </c>
      <c r="M217" s="315" t="s">
        <v>468</v>
      </c>
      <c r="N217" s="315"/>
      <c r="O217" s="321">
        <v>12</v>
      </c>
      <c r="P217" s="322" t="str">
        <f t="shared" si="569"/>
        <v>Baja</v>
      </c>
      <c r="Q217" s="323">
        <f t="shared" si="570"/>
        <v>0.4</v>
      </c>
      <c r="R217" s="323" t="s">
        <v>189</v>
      </c>
      <c r="S217" s="323" t="str">
        <f ca="1">IF(NOT(ISERROR(MATCH(R217,'Tabla Impacto'!$B$221:$B$223,0))),'Tabla Impacto'!$F$223&amp;"Por favor no seleccionar los criterios de impacto(Afectación Económica o presupuestal y Pérdida Reputacional)",R217)</f>
        <v xml:space="preserve">Entre 50 y 100 SMLMV </v>
      </c>
      <c r="T217" s="322" t="str">
        <f ca="1">+IF(OR(S217='[1]Tabla Impacto'!$C$11,S217='[1]Tabla Impacto'!$D$11),"Leve",IF(OR(S217='[1]Tabla Impacto'!$C$12,S217='[1]Tabla Impacto'!$D$12),"Menor",IF(OR(S217='[1]Tabla Impacto'!$C$13,S217='[1]Tabla Impacto'!$D$13),"Moderado",IF(OR(S217='[1]Tabla Impacto'!$C$14,S217='[1]Tabla Impacto'!$D$14),"Mayor",IF(OR(S217='[1]Tabla Impacto'!$C$15,S217='[1]Tabla Impacto'!$D$15),"Catastrófico","")))))</f>
        <v>Moderado</v>
      </c>
      <c r="U217" s="323">
        <f t="shared" ref="U217" ca="1" si="617">IF(T217="","",IF(T217="Leve",0.2,IF(T217="Menor",0.4,IF(T217="Moderado",0.6,IF(T217="Mayor",0.8,IF(T217="Catastrófico",1,))))))</f>
        <v>0.6</v>
      </c>
      <c r="V217" s="309" t="str">
        <f t="shared" ref="V217" ca="1" si="618">IF(OR(AND(P217="Muy Baja",T217="Leve"),AND(P217="Muy Baja",T217="Menor"),AND(P217="Baja",T217="Leve")),"Bajo",IF(OR(AND(P217="Muy baja",T217="Moderado"),AND(P217="Baja",T217="Menor"),AND(P217="Baja",T217="Moderado"),AND(P217="Media",T217="Leve"),AND(P217="Media",T217="Menor"),AND(P217="Media",T217="Moderado"),AND(P217="Alta",T217="Leve"),AND(P217="Alta",T217="Menor")),"Moderado",IF(OR(AND(P217="Muy Baja",T217="Mayor"),AND(P217="Baja",T217="Mayor"),AND(P217="Media",T217="Mayor"),AND(P217="Alta",T217="Moderado"),AND(P217="Alta",T217="Mayor"),AND(P217="Muy Alta",T217="Leve"),AND(P217="Muy Alta",T217="Menor"),AND(P217="Muy Alta",T217="Moderado"),AND(P217="Muy Alta",T217="Mayor")),"Alto",IF(OR(AND(P217="Muy Baja",T217="Catastrófico"),AND(P217="Baja",T217="Catastrófico"),AND(P217="Media",T217="Catastrófico"),AND(P217="Alta",T217="Catastrófico"),AND(P217="Muy Alta",T217="Catastrófico")),"Extremo",""))))</f>
        <v>Moderado</v>
      </c>
      <c r="W217" s="252">
        <v>1</v>
      </c>
      <c r="X217" s="207" t="s">
        <v>868</v>
      </c>
      <c r="Y217" s="250" t="str">
        <f t="shared" si="603"/>
        <v>Probabilidad</v>
      </c>
      <c r="Z217" s="185" t="s">
        <v>208</v>
      </c>
      <c r="AA217" s="185" t="s">
        <v>216</v>
      </c>
      <c r="AB217" s="186" t="str">
        <f t="shared" si="536"/>
        <v>40%</v>
      </c>
      <c r="AC217" s="185" t="s">
        <v>219</v>
      </c>
      <c r="AD217" s="185" t="s">
        <v>224</v>
      </c>
      <c r="AE217" s="185" t="s">
        <v>228</v>
      </c>
      <c r="AF217" s="187">
        <f t="shared" ref="AF217" si="619">IFERROR(IF(Y217="Probabilidad",(Q217-(+Q217*AB217)),IF(Y217="Impacto",Q217,"")),"")</f>
        <v>0.24</v>
      </c>
      <c r="AG217" s="188" t="str">
        <f t="shared" si="605"/>
        <v>Baja</v>
      </c>
      <c r="AH217" s="186">
        <f t="shared" si="606"/>
        <v>0.24</v>
      </c>
      <c r="AI217" s="188" t="str">
        <f t="shared" ca="1" si="607"/>
        <v>Moderado</v>
      </c>
      <c r="AJ217" s="186">
        <f t="shared" ref="AJ217" ca="1" si="620">IFERROR(IF(Y217="Impacto",(U217-(+U217*AB217)),IF(Y217="Probabilidad",U217,"")),"")</f>
        <v>0.6</v>
      </c>
      <c r="AK217" s="189" t="str">
        <f t="shared" ca="1" si="609"/>
        <v>Moderado</v>
      </c>
      <c r="AL217" s="185" t="s">
        <v>255</v>
      </c>
      <c r="AM217" s="246"/>
      <c r="AN217" s="250"/>
      <c r="AO217" s="245"/>
      <c r="AP217" s="245"/>
      <c r="AQ217" s="246"/>
      <c r="AR217" s="247"/>
    </row>
    <row r="218" spans="1:44" s="191" customFormat="1" ht="136.5" customHeight="1" thickTop="1" thickBot="1" x14ac:dyDescent="0.3">
      <c r="A218" s="310"/>
      <c r="B218" s="311"/>
      <c r="C218" s="315"/>
      <c r="D218" s="317"/>
      <c r="E218" s="315"/>
      <c r="F218" s="332"/>
      <c r="G218" s="332"/>
      <c r="H218" s="333"/>
      <c r="I218" s="320"/>
      <c r="J218" s="320"/>
      <c r="K218" s="320"/>
      <c r="L218" s="320"/>
      <c r="M218" s="315"/>
      <c r="N218" s="315"/>
      <c r="O218" s="321"/>
      <c r="P218" s="322"/>
      <c r="Q218" s="323"/>
      <c r="R218" s="323"/>
      <c r="S218" s="323">
        <f ca="1">IF(NOT(ISERROR(MATCH(R218,_xlfn.ANCHORARRAY(H226),0))),#REF!&amp;"Por favor no seleccionar los criterios de impacto",R218)</f>
        <v>0</v>
      </c>
      <c r="T218" s="322"/>
      <c r="U218" s="323"/>
      <c r="V218" s="309"/>
      <c r="W218" s="252">
        <v>2</v>
      </c>
      <c r="X218" s="207" t="s">
        <v>869</v>
      </c>
      <c r="Y218" s="250" t="str">
        <f t="shared" si="603"/>
        <v>Probabilidad</v>
      </c>
      <c r="Z218" s="185" t="s">
        <v>208</v>
      </c>
      <c r="AA218" s="185" t="s">
        <v>216</v>
      </c>
      <c r="AB218" s="186" t="str">
        <f t="shared" si="536"/>
        <v>40%</v>
      </c>
      <c r="AC218" s="185" t="s">
        <v>219</v>
      </c>
      <c r="AD218" s="185" t="s">
        <v>224</v>
      </c>
      <c r="AE218" s="185" t="s">
        <v>228</v>
      </c>
      <c r="AF218" s="187">
        <f t="shared" ref="AF218:AF221" si="621">IFERROR(IF(AND(Y217="Probabilidad",Y218="Probabilidad"),(AH217-(+AH217*AB218)),IF(Y218="Probabilidad",(Q217-(+Q217*AB218)),IF(Y218="Impacto",AH217,""))),"")</f>
        <v>0.14399999999999999</v>
      </c>
      <c r="AG218" s="188" t="str">
        <f t="shared" si="605"/>
        <v>Muy Baja</v>
      </c>
      <c r="AH218" s="186">
        <f t="shared" si="606"/>
        <v>0.14399999999999999</v>
      </c>
      <c r="AI218" s="188" t="str">
        <f t="shared" ca="1" si="607"/>
        <v>Moderado</v>
      </c>
      <c r="AJ218" s="186">
        <f t="shared" ref="AJ218" ca="1" si="622">IFERROR(IF(AND(Y217="Impacto",Y218="Impacto"),(AJ217-(+AJ217*AB218)),IF(Y218="Impacto",(U217-(+U217*AB218)),IF(Y218="Probabilidad",AJ217,""))),"")</f>
        <v>0.6</v>
      </c>
      <c r="AK218" s="189" t="str">
        <f t="shared" ca="1" si="609"/>
        <v>Moderado</v>
      </c>
      <c r="AL218" s="185" t="s">
        <v>255</v>
      </c>
      <c r="AM218" s="246"/>
      <c r="AN218" s="250"/>
      <c r="AO218" s="245"/>
      <c r="AP218" s="245"/>
      <c r="AQ218" s="246"/>
      <c r="AR218" s="247"/>
    </row>
    <row r="219" spans="1:44" s="191" customFormat="1" ht="123.75" customHeight="1" thickTop="1" thickBot="1" x14ac:dyDescent="0.3">
      <c r="A219" s="310"/>
      <c r="B219" s="311"/>
      <c r="C219" s="315"/>
      <c r="D219" s="317"/>
      <c r="E219" s="315"/>
      <c r="F219" s="332"/>
      <c r="G219" s="332"/>
      <c r="H219" s="333"/>
      <c r="I219" s="320"/>
      <c r="J219" s="320"/>
      <c r="K219" s="320"/>
      <c r="L219" s="320"/>
      <c r="M219" s="315"/>
      <c r="N219" s="315"/>
      <c r="O219" s="321"/>
      <c r="P219" s="322"/>
      <c r="Q219" s="323"/>
      <c r="R219" s="323"/>
      <c r="S219" s="323">
        <f ca="1">IF(NOT(ISERROR(MATCH(R219,_xlfn.ANCHORARRAY(#REF!),0))),#REF!&amp;"Por favor no seleccionar los criterios de impacto",R219)</f>
        <v>0</v>
      </c>
      <c r="T219" s="322"/>
      <c r="U219" s="323"/>
      <c r="V219" s="309"/>
      <c r="W219" s="252">
        <v>3</v>
      </c>
      <c r="X219" s="207" t="s">
        <v>870</v>
      </c>
      <c r="Y219" s="250" t="str">
        <f t="shared" si="603"/>
        <v>Probabilidad</v>
      </c>
      <c r="Z219" s="185" t="s">
        <v>208</v>
      </c>
      <c r="AA219" s="185" t="s">
        <v>216</v>
      </c>
      <c r="AB219" s="186" t="str">
        <f t="shared" si="536"/>
        <v>40%</v>
      </c>
      <c r="AC219" s="185" t="s">
        <v>219</v>
      </c>
      <c r="AD219" s="185" t="s">
        <v>224</v>
      </c>
      <c r="AE219" s="185" t="s">
        <v>228</v>
      </c>
      <c r="AF219" s="187">
        <f t="shared" si="621"/>
        <v>8.6399999999999991E-2</v>
      </c>
      <c r="AG219" s="188" t="str">
        <f t="shared" si="605"/>
        <v>Muy Baja</v>
      </c>
      <c r="AH219" s="186">
        <f t="shared" si="606"/>
        <v>8.6399999999999991E-2</v>
      </c>
      <c r="AI219" s="188" t="str">
        <f t="shared" ca="1" si="607"/>
        <v>Moderado</v>
      </c>
      <c r="AJ219" s="186">
        <f t="shared" ref="AJ219:AJ221" ca="1" si="623">IFERROR(IF(AND(Y218="Impacto",Y219="Impacto"),(AJ218-(+AJ218*AB219)),IF(AND(Y218="Probabilidad",Y219="Impacto"),(AJ217-(+AJ217*AB219)),IF(Y219="Probabilidad",AJ218,""))),"")</f>
        <v>0.6</v>
      </c>
      <c r="AK219" s="189" t="str">
        <f t="shared" ca="1" si="609"/>
        <v>Moderado</v>
      </c>
      <c r="AL219" s="185" t="s">
        <v>255</v>
      </c>
      <c r="AM219" s="246"/>
      <c r="AN219" s="250"/>
      <c r="AO219" s="245"/>
      <c r="AP219" s="245"/>
      <c r="AQ219" s="246"/>
      <c r="AR219" s="247"/>
    </row>
    <row r="220" spans="1:44" s="191" customFormat="1" ht="110.25" thickTop="1" thickBot="1" x14ac:dyDescent="0.3">
      <c r="A220" s="310"/>
      <c r="B220" s="311"/>
      <c r="C220" s="315"/>
      <c r="D220" s="317"/>
      <c r="E220" s="315"/>
      <c r="F220" s="332"/>
      <c r="G220" s="332"/>
      <c r="H220" s="333"/>
      <c r="I220" s="320"/>
      <c r="J220" s="320"/>
      <c r="K220" s="320"/>
      <c r="L220" s="320"/>
      <c r="M220" s="315"/>
      <c r="N220" s="315"/>
      <c r="O220" s="321"/>
      <c r="P220" s="322"/>
      <c r="Q220" s="323"/>
      <c r="R220" s="323"/>
      <c r="S220" s="323">
        <f ca="1">IF(NOT(ISERROR(MATCH(R220,_xlfn.ANCHORARRAY(#REF!),0))),#REF!&amp;"Por favor no seleccionar los criterios de impacto",R220)</f>
        <v>0</v>
      </c>
      <c r="T220" s="322"/>
      <c r="U220" s="323"/>
      <c r="V220" s="309"/>
      <c r="W220" s="252">
        <v>4</v>
      </c>
      <c r="X220" s="207" t="s">
        <v>871</v>
      </c>
      <c r="Y220" s="250" t="str">
        <f t="shared" si="603"/>
        <v>Probabilidad</v>
      </c>
      <c r="Z220" s="185" t="s">
        <v>208</v>
      </c>
      <c r="AA220" s="185" t="s">
        <v>216</v>
      </c>
      <c r="AB220" s="186" t="str">
        <f t="shared" si="536"/>
        <v>40%</v>
      </c>
      <c r="AC220" s="185" t="s">
        <v>219</v>
      </c>
      <c r="AD220" s="185" t="s">
        <v>224</v>
      </c>
      <c r="AE220" s="185" t="s">
        <v>228</v>
      </c>
      <c r="AF220" s="187">
        <f t="shared" si="621"/>
        <v>5.183999999999999E-2</v>
      </c>
      <c r="AG220" s="188" t="str">
        <f t="shared" si="605"/>
        <v>Muy Baja</v>
      </c>
      <c r="AH220" s="186">
        <f t="shared" si="606"/>
        <v>5.183999999999999E-2</v>
      </c>
      <c r="AI220" s="188" t="str">
        <f t="shared" ca="1" si="607"/>
        <v>Moderado</v>
      </c>
      <c r="AJ220" s="186">
        <f t="shared" ca="1" si="623"/>
        <v>0.6</v>
      </c>
      <c r="AK220" s="189" t="str">
        <f t="shared" ca="1" si="609"/>
        <v>Moderado</v>
      </c>
      <c r="AL220" s="185" t="s">
        <v>255</v>
      </c>
      <c r="AM220" s="246"/>
      <c r="AN220" s="250"/>
      <c r="AO220" s="245"/>
      <c r="AP220" s="245"/>
      <c r="AQ220" s="246"/>
      <c r="AR220" s="247"/>
    </row>
    <row r="221" spans="1:44" s="191" customFormat="1" ht="81.75" customHeight="1" thickTop="1" thickBot="1" x14ac:dyDescent="0.3">
      <c r="A221" s="310"/>
      <c r="B221" s="311"/>
      <c r="C221" s="315"/>
      <c r="D221" s="317"/>
      <c r="E221" s="315"/>
      <c r="F221" s="332"/>
      <c r="G221" s="332"/>
      <c r="H221" s="333"/>
      <c r="I221" s="320"/>
      <c r="J221" s="320"/>
      <c r="K221" s="320"/>
      <c r="L221" s="320"/>
      <c r="M221" s="315"/>
      <c r="N221" s="315"/>
      <c r="O221" s="321"/>
      <c r="P221" s="322"/>
      <c r="Q221" s="323"/>
      <c r="R221" s="323"/>
      <c r="S221" s="323">
        <f ca="1">IF(NOT(ISERROR(MATCH(R221,_xlfn.ANCHORARRAY(#REF!),0))),#REF!&amp;"Por favor no seleccionar los criterios de impacto",R221)</f>
        <v>0</v>
      </c>
      <c r="T221" s="322"/>
      <c r="U221" s="323"/>
      <c r="V221" s="309"/>
      <c r="W221" s="252">
        <v>5</v>
      </c>
      <c r="X221" s="207" t="s">
        <v>872</v>
      </c>
      <c r="Y221" s="250" t="str">
        <f t="shared" si="603"/>
        <v>Impacto</v>
      </c>
      <c r="Z221" s="185" t="s">
        <v>212</v>
      </c>
      <c r="AA221" s="185" t="s">
        <v>216</v>
      </c>
      <c r="AB221" s="186" t="str">
        <f t="shared" si="536"/>
        <v>25%</v>
      </c>
      <c r="AC221" s="185" t="s">
        <v>219</v>
      </c>
      <c r="AD221" s="185" t="s">
        <v>224</v>
      </c>
      <c r="AE221" s="185" t="s">
        <v>228</v>
      </c>
      <c r="AF221" s="187">
        <f t="shared" si="621"/>
        <v>5.183999999999999E-2</v>
      </c>
      <c r="AG221" s="188" t="str">
        <f t="shared" si="605"/>
        <v>Muy Baja</v>
      </c>
      <c r="AH221" s="186">
        <f t="shared" si="606"/>
        <v>5.183999999999999E-2</v>
      </c>
      <c r="AI221" s="188" t="str">
        <f t="shared" ca="1" si="607"/>
        <v>Moderado</v>
      </c>
      <c r="AJ221" s="186">
        <f t="shared" ca="1" si="623"/>
        <v>0.44999999999999996</v>
      </c>
      <c r="AK221" s="189" t="str">
        <f t="shared" ca="1" si="609"/>
        <v>Moderado</v>
      </c>
      <c r="AL221" s="185" t="s">
        <v>255</v>
      </c>
      <c r="AM221" s="246"/>
      <c r="AN221" s="250"/>
      <c r="AO221" s="245"/>
      <c r="AP221" s="245"/>
      <c r="AQ221" s="246"/>
      <c r="AR221" s="247"/>
    </row>
    <row r="222" spans="1:44" s="191" customFormat="1" ht="129.75" thickTop="1" thickBot="1" x14ac:dyDescent="0.3">
      <c r="A222" s="310">
        <v>87</v>
      </c>
      <c r="B222" s="311" t="s">
        <v>873</v>
      </c>
      <c r="C222" s="315" t="s">
        <v>278</v>
      </c>
      <c r="D222" s="317" t="s">
        <v>874</v>
      </c>
      <c r="E222" s="315" t="s">
        <v>236</v>
      </c>
      <c r="F222" s="332" t="s">
        <v>875</v>
      </c>
      <c r="G222" s="332" t="s">
        <v>876</v>
      </c>
      <c r="H222" s="333" t="s">
        <v>1165</v>
      </c>
      <c r="I222" s="320" t="s">
        <v>593</v>
      </c>
      <c r="J222" s="320" t="s">
        <v>593</v>
      </c>
      <c r="K222" s="320" t="s">
        <v>593</v>
      </c>
      <c r="L222" s="320" t="s">
        <v>593</v>
      </c>
      <c r="M222" s="331" t="s">
        <v>244</v>
      </c>
      <c r="N222" s="315"/>
      <c r="O222" s="321">
        <v>365</v>
      </c>
      <c r="P222" s="322" t="str">
        <f t="shared" si="569"/>
        <v>Media</v>
      </c>
      <c r="Q222" s="323">
        <f t="shared" si="570"/>
        <v>0.6</v>
      </c>
      <c r="R222" s="323" t="s">
        <v>192</v>
      </c>
      <c r="S222" s="323" t="str">
        <f ca="1">IF(NOT(ISERROR(MATCH(R222,'Tabla Impacto'!$B$221:$B$223,0))),'Tabla Impacto'!$F$223&amp;"Por favor no seleccionar los criterios de impacto(Afectación Económica o presupuestal y Pérdida Reputacional)",R222)</f>
        <v xml:space="preserve">Entre 100 y 500 SMLMV </v>
      </c>
      <c r="T222" s="322" t="str">
        <f ca="1">+IF(OR(S222='[1]Tabla Impacto'!$C$11,S222='[1]Tabla Impacto'!$D$11),"Leve",IF(OR(S222='[1]Tabla Impacto'!$C$12,S222='[1]Tabla Impacto'!$D$12),"Menor",IF(OR(S222='[1]Tabla Impacto'!$C$13,S222='[1]Tabla Impacto'!$D$13),"Moderado",IF(OR(S222='[1]Tabla Impacto'!$C$14,S222='[1]Tabla Impacto'!$D$14),"Mayor",IF(OR(S222='[1]Tabla Impacto'!$C$15,S222='[1]Tabla Impacto'!$D$15),"Catastrófico","")))))</f>
        <v>Mayor</v>
      </c>
      <c r="U222" s="323">
        <f t="shared" ref="U222" ca="1" si="624">IF(T222="","",IF(T222="Leve",0.2,IF(T222="Menor",0.4,IF(T222="Moderado",0.6,IF(T222="Mayor",0.8,IF(T222="Catastrófico",1,))))))</f>
        <v>0.8</v>
      </c>
      <c r="V222" s="309" t="str">
        <f t="shared" ref="V222" ca="1" si="625">IF(OR(AND(P222="Muy Baja",T222="Leve"),AND(P222="Muy Baja",T222="Menor"),AND(P222="Baja",T222="Leve")),"Bajo",IF(OR(AND(P222="Muy baja",T222="Moderado"),AND(P222="Baja",T222="Menor"),AND(P222="Baja",T222="Moderado"),AND(P222="Media",T222="Leve"),AND(P222="Media",T222="Menor"),AND(P222="Media",T222="Moderado"),AND(P222="Alta",T222="Leve"),AND(P222="Alta",T222="Menor")),"Moderado",IF(OR(AND(P222="Muy Baja",T222="Mayor"),AND(P222="Baja",T222="Mayor"),AND(P222="Media",T222="Mayor"),AND(P222="Alta",T222="Moderado"),AND(P222="Alta",T222="Mayor"),AND(P222="Muy Alta",T222="Leve"),AND(P222="Muy Alta",T222="Menor"),AND(P222="Muy Alta",T222="Moderado"),AND(P222="Muy Alta",T222="Mayor")),"Alto",IF(OR(AND(P222="Muy Baja",T222="Catastrófico"),AND(P222="Baja",T222="Catastrófico"),AND(P222="Media",T222="Catastrófico"),AND(P222="Alta",T222="Catastrófico"),AND(P222="Muy Alta",T222="Catastrófico")),"Extremo",""))))</f>
        <v>Alto</v>
      </c>
      <c r="W222" s="252">
        <v>1</v>
      </c>
      <c r="X222" s="207" t="s">
        <v>877</v>
      </c>
      <c r="Y222" s="250" t="str">
        <f t="shared" si="603"/>
        <v>Probabilidad</v>
      </c>
      <c r="Z222" s="185" t="s">
        <v>208</v>
      </c>
      <c r="AA222" s="185" t="s">
        <v>216</v>
      </c>
      <c r="AB222" s="186" t="str">
        <f t="shared" ref="AB222:AB247" si="626">IF(AND(Z222="Preventivo",AA222="Automático"),"50%",IF(AND(Z222="Preventivo",AA222="Manual"),"40%",IF(AND(Z222="Detectivo",AA222="Automático"),"40%",IF(AND(Z222="Detectivo",AA222="Manual"),"30%",IF(AND(Z222="Correctivo",AA222="Automático"),"35%",IF(AND(Z222="Correctivo",AA222="Manual"),"25%",""))))))</f>
        <v>40%</v>
      </c>
      <c r="AC222" s="185" t="s">
        <v>219</v>
      </c>
      <c r="AD222" s="185" t="s">
        <v>224</v>
      </c>
      <c r="AE222" s="185" t="s">
        <v>228</v>
      </c>
      <c r="AF222" s="187">
        <f t="shared" ref="AF222" si="627">IFERROR(IF(Y222="Probabilidad",(Q222-(+Q222*AB222)),IF(Y222="Impacto",Q222,"")),"")</f>
        <v>0.36</v>
      </c>
      <c r="AG222" s="188" t="str">
        <f t="shared" si="605"/>
        <v>Baja</v>
      </c>
      <c r="AH222" s="186">
        <f t="shared" si="606"/>
        <v>0.36</v>
      </c>
      <c r="AI222" s="188" t="str">
        <f t="shared" ca="1" si="607"/>
        <v>Mayor</v>
      </c>
      <c r="AJ222" s="186">
        <f t="shared" ref="AJ222" ca="1" si="628">IFERROR(IF(Y222="Impacto",(U222-(+U222*AB222)),IF(Y222="Probabilidad",U222,"")),"")</f>
        <v>0.8</v>
      </c>
      <c r="AK222" s="189" t="str">
        <f t="shared" ca="1" si="609"/>
        <v>Alto</v>
      </c>
      <c r="AL222" s="185" t="s">
        <v>262</v>
      </c>
      <c r="AM222" s="246"/>
      <c r="AN222" s="250"/>
      <c r="AO222" s="245"/>
      <c r="AP222" s="245"/>
      <c r="AQ222" s="246"/>
      <c r="AR222" s="247"/>
    </row>
    <row r="223" spans="1:44" s="191" customFormat="1" ht="129.75" thickTop="1" thickBot="1" x14ac:dyDescent="0.3">
      <c r="A223" s="310"/>
      <c r="B223" s="311"/>
      <c r="C223" s="315"/>
      <c r="D223" s="317"/>
      <c r="E223" s="315"/>
      <c r="F223" s="332"/>
      <c r="G223" s="332"/>
      <c r="H223" s="333"/>
      <c r="I223" s="320"/>
      <c r="J223" s="320"/>
      <c r="K223" s="320"/>
      <c r="L223" s="320"/>
      <c r="M223" s="331"/>
      <c r="N223" s="315"/>
      <c r="O223" s="321"/>
      <c r="P223" s="322"/>
      <c r="Q223" s="323"/>
      <c r="R223" s="323"/>
      <c r="S223" s="323">
        <f ca="1">IF(NOT(ISERROR(MATCH(R223,_xlfn.ANCHORARRAY(H227),0))),#REF!&amp;"Por favor no seleccionar los criterios de impacto",R223)</f>
        <v>0</v>
      </c>
      <c r="T223" s="322"/>
      <c r="U223" s="323"/>
      <c r="V223" s="309"/>
      <c r="W223" s="252">
        <v>2</v>
      </c>
      <c r="X223" s="207" t="s">
        <v>878</v>
      </c>
      <c r="Y223" s="250" t="str">
        <f t="shared" si="603"/>
        <v>Probabilidad</v>
      </c>
      <c r="Z223" s="185" t="s">
        <v>208</v>
      </c>
      <c r="AA223" s="185" t="s">
        <v>216</v>
      </c>
      <c r="AB223" s="186" t="str">
        <f t="shared" si="626"/>
        <v>40%</v>
      </c>
      <c r="AC223" s="185" t="s">
        <v>219</v>
      </c>
      <c r="AD223" s="185" t="s">
        <v>224</v>
      </c>
      <c r="AE223" s="185" t="s">
        <v>228</v>
      </c>
      <c r="AF223" s="187">
        <f t="shared" ref="AF223:AF225" si="629">IFERROR(IF(AND(Y222="Probabilidad",Y223="Probabilidad"),(AH222-(+AH222*AB223)),IF(Y223="Probabilidad",(Q222-(+Q222*AB223)),IF(Y223="Impacto",AH222,""))),"")</f>
        <v>0.216</v>
      </c>
      <c r="AG223" s="188" t="str">
        <f t="shared" si="605"/>
        <v>Baja</v>
      </c>
      <c r="AH223" s="186">
        <f t="shared" si="606"/>
        <v>0.216</v>
      </c>
      <c r="AI223" s="188" t="str">
        <f t="shared" ca="1" si="607"/>
        <v>Mayor</v>
      </c>
      <c r="AJ223" s="186">
        <f t="shared" ref="AJ223" ca="1" si="630">IFERROR(IF(AND(Y222="Impacto",Y223="Impacto"),(AJ222-(+AJ222*AB223)),IF(Y223="Impacto",(U222-(+U222*AB223)),IF(Y223="Probabilidad",AJ222,""))),"")</f>
        <v>0.8</v>
      </c>
      <c r="AK223" s="189" t="str">
        <f t="shared" ca="1" si="609"/>
        <v>Alto</v>
      </c>
      <c r="AL223" s="185" t="s">
        <v>262</v>
      </c>
      <c r="AM223" s="246"/>
      <c r="AN223" s="250"/>
      <c r="AO223" s="245"/>
      <c r="AP223" s="245"/>
      <c r="AQ223" s="246"/>
      <c r="AR223" s="247"/>
    </row>
    <row r="224" spans="1:44" s="191" customFormat="1" ht="129.75" thickTop="1" thickBot="1" x14ac:dyDescent="0.3">
      <c r="A224" s="310"/>
      <c r="B224" s="311"/>
      <c r="C224" s="315"/>
      <c r="D224" s="317"/>
      <c r="E224" s="315"/>
      <c r="F224" s="332"/>
      <c r="G224" s="332"/>
      <c r="H224" s="333"/>
      <c r="I224" s="320"/>
      <c r="J224" s="320"/>
      <c r="K224" s="320"/>
      <c r="L224" s="320"/>
      <c r="M224" s="331"/>
      <c r="N224" s="315"/>
      <c r="O224" s="321"/>
      <c r="P224" s="322"/>
      <c r="Q224" s="323"/>
      <c r="R224" s="323"/>
      <c r="S224" s="323">
        <f ca="1">IF(NOT(ISERROR(MATCH(R224,_xlfn.ANCHORARRAY(H228),0))),#REF!&amp;"Por favor no seleccionar los criterios de impacto",R224)</f>
        <v>0</v>
      </c>
      <c r="T224" s="322"/>
      <c r="U224" s="323"/>
      <c r="V224" s="309"/>
      <c r="W224" s="252">
        <v>3</v>
      </c>
      <c r="X224" s="207" t="s">
        <v>879</v>
      </c>
      <c r="Y224" s="250" t="str">
        <f t="shared" si="603"/>
        <v>Probabilidad</v>
      </c>
      <c r="Z224" s="185" t="s">
        <v>208</v>
      </c>
      <c r="AA224" s="185" t="s">
        <v>216</v>
      </c>
      <c r="AB224" s="186" t="str">
        <f t="shared" si="626"/>
        <v>40%</v>
      </c>
      <c r="AC224" s="185" t="s">
        <v>219</v>
      </c>
      <c r="AD224" s="185" t="s">
        <v>224</v>
      </c>
      <c r="AE224" s="185" t="s">
        <v>228</v>
      </c>
      <c r="AF224" s="187">
        <f t="shared" si="629"/>
        <v>0.12959999999999999</v>
      </c>
      <c r="AG224" s="188" t="str">
        <f t="shared" si="605"/>
        <v>Muy Baja</v>
      </c>
      <c r="AH224" s="186">
        <f t="shared" si="606"/>
        <v>0.12959999999999999</v>
      </c>
      <c r="AI224" s="188" t="str">
        <f t="shared" ca="1" si="607"/>
        <v>Mayor</v>
      </c>
      <c r="AJ224" s="186">
        <f t="shared" ref="AJ224:AJ225" ca="1" si="631">IFERROR(IF(AND(Y223="Impacto",Y224="Impacto"),(AJ223-(+AJ223*AB224)),IF(AND(Y223="Probabilidad",Y224="Impacto"),(AJ222-(+AJ222*AB224)),IF(Y224="Probabilidad",AJ223,""))),"")</f>
        <v>0.8</v>
      </c>
      <c r="AK224" s="189" t="str">
        <f t="shared" ca="1" si="609"/>
        <v>Alto</v>
      </c>
      <c r="AL224" s="185" t="s">
        <v>262</v>
      </c>
      <c r="AM224" s="246"/>
      <c r="AN224" s="250"/>
      <c r="AO224" s="245"/>
      <c r="AP224" s="245"/>
      <c r="AQ224" s="246"/>
      <c r="AR224" s="247"/>
    </row>
    <row r="225" spans="1:44" s="191" customFormat="1" ht="129.75" thickTop="1" thickBot="1" x14ac:dyDescent="0.3">
      <c r="A225" s="310"/>
      <c r="B225" s="311"/>
      <c r="C225" s="315"/>
      <c r="D225" s="317"/>
      <c r="E225" s="315"/>
      <c r="F225" s="332"/>
      <c r="G225" s="332"/>
      <c r="H225" s="333"/>
      <c r="I225" s="320"/>
      <c r="J225" s="320"/>
      <c r="K225" s="320"/>
      <c r="L225" s="320"/>
      <c r="M225" s="331"/>
      <c r="N225" s="315"/>
      <c r="O225" s="321"/>
      <c r="P225" s="322"/>
      <c r="Q225" s="323"/>
      <c r="R225" s="323"/>
      <c r="S225" s="323">
        <f ca="1">IF(NOT(ISERROR(MATCH(R225,_xlfn.ANCHORARRAY(#REF!),0))),#REF!&amp;"Por favor no seleccionar los criterios de impacto",R225)</f>
        <v>0</v>
      </c>
      <c r="T225" s="322"/>
      <c r="U225" s="323"/>
      <c r="V225" s="309"/>
      <c r="W225" s="252">
        <v>4</v>
      </c>
      <c r="X225" s="207" t="s">
        <v>880</v>
      </c>
      <c r="Y225" s="250" t="str">
        <f t="shared" si="603"/>
        <v>Probabilidad</v>
      </c>
      <c r="Z225" s="185" t="s">
        <v>208</v>
      </c>
      <c r="AA225" s="185" t="s">
        <v>216</v>
      </c>
      <c r="AB225" s="186" t="str">
        <f t="shared" si="626"/>
        <v>40%</v>
      </c>
      <c r="AC225" s="185" t="s">
        <v>219</v>
      </c>
      <c r="AD225" s="185" t="s">
        <v>224</v>
      </c>
      <c r="AE225" s="185" t="s">
        <v>228</v>
      </c>
      <c r="AF225" s="187">
        <f t="shared" si="629"/>
        <v>7.7759999999999996E-2</v>
      </c>
      <c r="AG225" s="188" t="str">
        <f t="shared" si="605"/>
        <v>Muy Baja</v>
      </c>
      <c r="AH225" s="186">
        <f t="shared" si="606"/>
        <v>7.7759999999999996E-2</v>
      </c>
      <c r="AI225" s="188" t="str">
        <f t="shared" ca="1" si="607"/>
        <v>Mayor</v>
      </c>
      <c r="AJ225" s="186">
        <f t="shared" ca="1" si="631"/>
        <v>0.8</v>
      </c>
      <c r="AK225" s="189" t="str">
        <f t="shared" ca="1" si="609"/>
        <v>Alto</v>
      </c>
      <c r="AL225" s="185" t="s">
        <v>262</v>
      </c>
      <c r="AM225" s="246"/>
      <c r="AN225" s="250"/>
      <c r="AO225" s="245"/>
      <c r="AP225" s="245"/>
      <c r="AQ225" s="246"/>
      <c r="AR225" s="247"/>
    </row>
    <row r="226" spans="1:44" s="191" customFormat="1" ht="354.75" customHeight="1" thickTop="1" thickBot="1" x14ac:dyDescent="0.3">
      <c r="A226" s="244">
        <v>88</v>
      </c>
      <c r="B226" s="262" t="s">
        <v>881</v>
      </c>
      <c r="C226" s="246" t="s">
        <v>278</v>
      </c>
      <c r="D226" s="256" t="s">
        <v>859</v>
      </c>
      <c r="E226" s="246" t="s">
        <v>236</v>
      </c>
      <c r="F226" s="254" t="s">
        <v>882</v>
      </c>
      <c r="G226" s="254" t="s">
        <v>883</v>
      </c>
      <c r="H226" s="255" t="s">
        <v>1166</v>
      </c>
      <c r="I226" s="242" t="s">
        <v>593</v>
      </c>
      <c r="J226" s="242" t="s">
        <v>593</v>
      </c>
      <c r="K226" s="242" t="s">
        <v>593</v>
      </c>
      <c r="L226" s="242" t="s">
        <v>593</v>
      </c>
      <c r="M226" s="259" t="s">
        <v>244</v>
      </c>
      <c r="N226" s="246"/>
      <c r="O226" s="250">
        <v>365</v>
      </c>
      <c r="P226" s="251" t="str">
        <f t="shared" si="569"/>
        <v>Media</v>
      </c>
      <c r="Q226" s="243">
        <f t="shared" si="570"/>
        <v>0.6</v>
      </c>
      <c r="R226" s="243" t="s">
        <v>195</v>
      </c>
      <c r="S226" s="243" t="str">
        <f ca="1">IF(NOT(ISERROR(MATCH(R226,'Tabla Impacto'!$B$221:$B$223,0))),'Tabla Impacto'!$F$223&amp;"Por favor no seleccionar los criterios de impacto(Afectación Económica o presupuestal y Pérdida Reputacional)",R226)</f>
        <v xml:space="preserve">Mayor a 500 SMLMV </v>
      </c>
      <c r="T226" s="251" t="str">
        <f ca="1">+IF(OR(S226='[1]Tabla Impacto'!$C$11,S226='[1]Tabla Impacto'!$D$11),"Leve",IF(OR(S226='[1]Tabla Impacto'!$C$12,S226='[1]Tabla Impacto'!$D$12),"Menor",IF(OR(S226='[1]Tabla Impacto'!$C$13,S226='[1]Tabla Impacto'!$D$13),"Moderado",IF(OR(S226='[1]Tabla Impacto'!$C$14,S226='[1]Tabla Impacto'!$D$14),"Mayor",IF(OR(S226='[1]Tabla Impacto'!$C$15,S226='[1]Tabla Impacto'!$D$15),"Catastrófico","")))))</f>
        <v>Catastrófico</v>
      </c>
      <c r="U226" s="243">
        <f t="shared" ref="U226" ca="1" si="632">IF(T226="","",IF(T226="Leve",0.2,IF(T226="Menor",0.4,IF(T226="Moderado",0.6,IF(T226="Mayor",0.8,IF(T226="Catastrófico",1,))))))</f>
        <v>1</v>
      </c>
      <c r="V226" s="252" t="str">
        <f t="shared" ref="V226" ca="1" si="633">IF(OR(AND(P226="Muy Baja",T226="Leve"),AND(P226="Muy Baja",T226="Menor"),AND(P226="Baja",T226="Leve")),"Bajo",IF(OR(AND(P226="Muy baja",T226="Moderado"),AND(P226="Baja",T226="Menor"),AND(P226="Baja",T226="Moderado"),AND(P226="Media",T226="Leve"),AND(P226="Media",T226="Menor"),AND(P226="Media",T226="Moderado"),AND(P226="Alta",T226="Leve"),AND(P226="Alta",T226="Menor")),"Moderado",IF(OR(AND(P226="Muy Baja",T226="Mayor"),AND(P226="Baja",T226="Mayor"),AND(P226="Media",T226="Mayor"),AND(P226="Alta",T226="Moderado"),AND(P226="Alta",T226="Mayor"),AND(P226="Muy Alta",T226="Leve"),AND(P226="Muy Alta",T226="Menor"),AND(P226="Muy Alta",T226="Moderado"),AND(P226="Muy Alta",T226="Mayor")),"Alto",IF(OR(AND(P226="Muy Baja",T226="Catastrófico"),AND(P226="Baja",T226="Catastrófico"),AND(P226="Media",T226="Catastrófico"),AND(P226="Alta",T226="Catastrófico"),AND(P226="Muy Alta",T226="Catastrófico")),"Extremo",""))))</f>
        <v>Extremo</v>
      </c>
      <c r="W226" s="252">
        <v>1</v>
      </c>
      <c r="X226" s="207" t="s">
        <v>1039</v>
      </c>
      <c r="Y226" s="250" t="str">
        <f t="shared" si="603"/>
        <v>Probabilidad</v>
      </c>
      <c r="Z226" s="185" t="s">
        <v>208</v>
      </c>
      <c r="AA226" s="185" t="s">
        <v>216</v>
      </c>
      <c r="AB226" s="186" t="str">
        <f t="shared" si="626"/>
        <v>40%</v>
      </c>
      <c r="AC226" s="185" t="s">
        <v>219</v>
      </c>
      <c r="AD226" s="185" t="s">
        <v>224</v>
      </c>
      <c r="AE226" s="185" t="s">
        <v>228</v>
      </c>
      <c r="AF226" s="187">
        <f t="shared" ref="AF226" si="634">IFERROR(IF(Y226="Probabilidad",(Q226-(+Q226*AB226)),IF(Y226="Impacto",Q226,"")),"")</f>
        <v>0.36</v>
      </c>
      <c r="AG226" s="188" t="str">
        <f t="shared" si="605"/>
        <v>Baja</v>
      </c>
      <c r="AH226" s="186">
        <f t="shared" si="606"/>
        <v>0.36</v>
      </c>
      <c r="AI226" s="188" t="str">
        <f t="shared" ca="1" si="607"/>
        <v>Catastrófico</v>
      </c>
      <c r="AJ226" s="186">
        <f t="shared" ref="AJ226" ca="1" si="635">IFERROR(IF(Y226="Impacto",(U226-(+U226*AB226)),IF(Y226="Probabilidad",U226,"")),"")</f>
        <v>1</v>
      </c>
      <c r="AK226" s="189" t="str">
        <f t="shared" ca="1" si="609"/>
        <v>Extremo</v>
      </c>
      <c r="AL226" s="185" t="s">
        <v>262</v>
      </c>
      <c r="AM226" s="246"/>
      <c r="AN226" s="250"/>
      <c r="AO226" s="245"/>
      <c r="AP226" s="245"/>
      <c r="AQ226" s="246"/>
      <c r="AR226" s="247"/>
    </row>
    <row r="227" spans="1:44" s="191" customFormat="1" ht="145.5" customHeight="1" thickTop="1" thickBot="1" x14ac:dyDescent="0.3">
      <c r="A227" s="310">
        <v>89</v>
      </c>
      <c r="B227" s="345" t="s">
        <v>884</v>
      </c>
      <c r="C227" s="315" t="s">
        <v>278</v>
      </c>
      <c r="D227" s="317" t="s">
        <v>854</v>
      </c>
      <c r="E227" s="315" t="s">
        <v>236</v>
      </c>
      <c r="F227" s="332" t="s">
        <v>885</v>
      </c>
      <c r="G227" s="332" t="s">
        <v>886</v>
      </c>
      <c r="H227" s="333" t="s">
        <v>887</v>
      </c>
      <c r="I227" s="320" t="s">
        <v>474</v>
      </c>
      <c r="J227" s="320" t="s">
        <v>474</v>
      </c>
      <c r="K227" s="320" t="s">
        <v>474</v>
      </c>
      <c r="L227" s="320" t="s">
        <v>474</v>
      </c>
      <c r="M227" s="315" t="s">
        <v>467</v>
      </c>
      <c r="N227" s="315"/>
      <c r="O227" s="321">
        <v>365</v>
      </c>
      <c r="P227" s="322" t="str">
        <f t="shared" si="569"/>
        <v>Media</v>
      </c>
      <c r="Q227" s="323">
        <f t="shared" si="570"/>
        <v>0.6</v>
      </c>
      <c r="R227" s="323" t="s">
        <v>195</v>
      </c>
      <c r="S227" s="323" t="str">
        <f ca="1">IF(NOT(ISERROR(MATCH(R227,'Tabla Impacto'!$B$221:$B$223,0))),'Tabla Impacto'!$F$223&amp;"Por favor no seleccionar los criterios de impacto(Afectación Económica o presupuestal y Pérdida Reputacional)",R227)</f>
        <v xml:space="preserve">Mayor a 500 SMLMV </v>
      </c>
      <c r="T227" s="322" t="str">
        <f ca="1">+IF(OR(S227='[1]Tabla Impacto'!$C$11,S227='[1]Tabla Impacto'!$D$11),"Leve",IF(OR(S227='[1]Tabla Impacto'!$C$12,S227='[1]Tabla Impacto'!$D$12),"Menor",IF(OR(S227='[1]Tabla Impacto'!$C$13,S227='[1]Tabla Impacto'!$D$13),"Moderado",IF(OR(S227='[1]Tabla Impacto'!$C$14,S227='[1]Tabla Impacto'!$D$14),"Mayor",IF(OR(S227='[1]Tabla Impacto'!$C$15,S227='[1]Tabla Impacto'!$D$15),"Catastrófico","")))))</f>
        <v>Catastrófico</v>
      </c>
      <c r="U227" s="323">
        <f t="shared" ref="U227" ca="1" si="636">IF(T227="","",IF(T227="Leve",0.2,IF(T227="Menor",0.4,IF(T227="Moderado",0.6,IF(T227="Mayor",0.8,IF(T227="Catastrófico",1,))))))</f>
        <v>1</v>
      </c>
      <c r="V227" s="309" t="str">
        <f t="shared" ref="V227" ca="1" si="637">IF(OR(AND(P227="Muy Baja",T227="Leve"),AND(P227="Muy Baja",T227="Menor"),AND(P227="Baja",T227="Leve")),"Bajo",IF(OR(AND(P227="Muy baja",T227="Moderado"),AND(P227="Baja",T227="Menor"),AND(P227="Baja",T227="Moderado"),AND(P227="Media",T227="Leve"),AND(P227="Media",T227="Menor"),AND(P227="Media",T227="Moderado"),AND(P227="Alta",T227="Leve"),AND(P227="Alta",T227="Menor")),"Moderado",IF(OR(AND(P227="Muy Baja",T227="Mayor"),AND(P227="Baja",T227="Mayor"),AND(P227="Media",T227="Mayor"),AND(P227="Alta",T227="Moderado"),AND(P227="Alta",T227="Mayor"),AND(P227="Muy Alta",T227="Leve"),AND(P227="Muy Alta",T227="Menor"),AND(P227="Muy Alta",T227="Moderado"),AND(P227="Muy Alta",T227="Mayor")),"Alto",IF(OR(AND(P227="Muy Baja",T227="Catastrófico"),AND(P227="Baja",T227="Catastrófico"),AND(P227="Media",T227="Catastrófico"),AND(P227="Alta",T227="Catastrófico"),AND(P227="Muy Alta",T227="Catastrófico")),"Extremo",""))))</f>
        <v>Extremo</v>
      </c>
      <c r="W227" s="252">
        <v>1</v>
      </c>
      <c r="X227" s="207" t="s">
        <v>888</v>
      </c>
      <c r="Y227" s="250" t="str">
        <f t="shared" si="603"/>
        <v>Probabilidad</v>
      </c>
      <c r="Z227" s="185" t="s">
        <v>208</v>
      </c>
      <c r="AA227" s="185" t="s">
        <v>216</v>
      </c>
      <c r="AB227" s="186" t="str">
        <f t="shared" si="626"/>
        <v>40%</v>
      </c>
      <c r="AC227" s="185" t="s">
        <v>219</v>
      </c>
      <c r="AD227" s="185" t="s">
        <v>224</v>
      </c>
      <c r="AE227" s="185" t="s">
        <v>228</v>
      </c>
      <c r="AF227" s="187">
        <f t="shared" ref="AF227" si="638">IFERROR(IF(Y227="Probabilidad",(Q227-(+Q227*AB227)),IF(Y227="Impacto",Q227,"")),"")</f>
        <v>0.36</v>
      </c>
      <c r="AG227" s="188" t="str">
        <f t="shared" si="605"/>
        <v>Baja</v>
      </c>
      <c r="AH227" s="186">
        <f t="shared" si="606"/>
        <v>0.36</v>
      </c>
      <c r="AI227" s="188" t="str">
        <f t="shared" ca="1" si="607"/>
        <v>Catastrófico</v>
      </c>
      <c r="AJ227" s="186">
        <f t="shared" ref="AJ227" ca="1" si="639">IFERROR(IF(Y227="Impacto",(U227-(+U227*AB227)),IF(Y227="Probabilidad",U227,"")),"")</f>
        <v>1</v>
      </c>
      <c r="AK227" s="189" t="str">
        <f t="shared" ca="1" si="609"/>
        <v>Extremo</v>
      </c>
      <c r="AL227" s="185" t="s">
        <v>262</v>
      </c>
      <c r="AM227" s="315" t="s">
        <v>890</v>
      </c>
      <c r="AN227" s="321" t="s">
        <v>891</v>
      </c>
      <c r="AO227" s="334">
        <v>45717</v>
      </c>
      <c r="AP227" s="335" t="s">
        <v>535</v>
      </c>
      <c r="AQ227" s="315" t="s">
        <v>892</v>
      </c>
      <c r="AR227" s="336" t="s">
        <v>259</v>
      </c>
    </row>
    <row r="228" spans="1:44" s="191" customFormat="1" ht="139.5" customHeight="1" thickTop="1" thickBot="1" x14ac:dyDescent="0.3">
      <c r="A228" s="310"/>
      <c r="B228" s="346"/>
      <c r="C228" s="315"/>
      <c r="D228" s="317"/>
      <c r="E228" s="315"/>
      <c r="F228" s="332"/>
      <c r="G228" s="332"/>
      <c r="H228" s="333"/>
      <c r="I228" s="320"/>
      <c r="J228" s="320"/>
      <c r="K228" s="320"/>
      <c r="L228" s="320"/>
      <c r="M228" s="315"/>
      <c r="N228" s="315"/>
      <c r="O228" s="321"/>
      <c r="P228" s="322"/>
      <c r="Q228" s="323"/>
      <c r="R228" s="323"/>
      <c r="S228" s="323">
        <f ca="1">IF(NOT(ISERROR(MATCH(R228,_xlfn.ANCHORARRAY(H231),0))),#REF!&amp;"Por favor no seleccionar los criterios de impacto",R228)</f>
        <v>0</v>
      </c>
      <c r="T228" s="322"/>
      <c r="U228" s="323"/>
      <c r="V228" s="309"/>
      <c r="W228" s="252">
        <v>2</v>
      </c>
      <c r="X228" s="207" t="s">
        <v>889</v>
      </c>
      <c r="Y228" s="250" t="str">
        <f t="shared" si="603"/>
        <v>Probabilidad</v>
      </c>
      <c r="Z228" s="185" t="s">
        <v>208</v>
      </c>
      <c r="AA228" s="185" t="s">
        <v>216</v>
      </c>
      <c r="AB228" s="186" t="str">
        <f t="shared" si="626"/>
        <v>40%</v>
      </c>
      <c r="AC228" s="185" t="s">
        <v>219</v>
      </c>
      <c r="AD228" s="185" t="s">
        <v>224</v>
      </c>
      <c r="AE228" s="185" t="s">
        <v>228</v>
      </c>
      <c r="AF228" s="187">
        <f t="shared" ref="AF228" si="640">IFERROR(IF(AND(Y227="Probabilidad",Y228="Probabilidad"),(AH227-(+AH227*AB228)),IF(Y228="Probabilidad",(Q227-(+Q227*AB228)),IF(Y228="Impacto",AH227,""))),"")</f>
        <v>0.216</v>
      </c>
      <c r="AG228" s="188" t="str">
        <f t="shared" si="605"/>
        <v>Baja</v>
      </c>
      <c r="AH228" s="186">
        <f t="shared" si="606"/>
        <v>0.216</v>
      </c>
      <c r="AI228" s="188" t="str">
        <f t="shared" ca="1" si="607"/>
        <v>Catastrófico</v>
      </c>
      <c r="AJ228" s="186">
        <f t="shared" ref="AJ228" ca="1" si="641">IFERROR(IF(AND(Y227="Impacto",Y228="Impacto"),(AJ227-(+AJ227*AB228)),IF(Y228="Impacto",(U227-(+U227*AB228)),IF(Y228="Probabilidad",AJ227,""))),"")</f>
        <v>1</v>
      </c>
      <c r="AK228" s="189" t="str">
        <f t="shared" ca="1" si="609"/>
        <v>Extremo</v>
      </c>
      <c r="AL228" s="185" t="s">
        <v>262</v>
      </c>
      <c r="AM228" s="315"/>
      <c r="AN228" s="321"/>
      <c r="AO228" s="334"/>
      <c r="AP228" s="335"/>
      <c r="AQ228" s="315"/>
      <c r="AR228" s="336"/>
    </row>
    <row r="229" spans="1:44" s="191" customFormat="1" ht="143.25" customHeight="1" thickTop="1" thickBot="1" x14ac:dyDescent="0.3">
      <c r="A229" s="310">
        <v>90</v>
      </c>
      <c r="B229" s="311" t="s">
        <v>893</v>
      </c>
      <c r="C229" s="315" t="s">
        <v>279</v>
      </c>
      <c r="D229" s="315" t="s">
        <v>940</v>
      </c>
      <c r="E229" s="315" t="s">
        <v>238</v>
      </c>
      <c r="F229" s="332" t="s">
        <v>894</v>
      </c>
      <c r="G229" s="332" t="s">
        <v>895</v>
      </c>
      <c r="H229" s="333" t="s">
        <v>1150</v>
      </c>
      <c r="I229" s="320" t="s">
        <v>474</v>
      </c>
      <c r="J229" s="320" t="s">
        <v>474</v>
      </c>
      <c r="K229" s="320" t="s">
        <v>474</v>
      </c>
      <c r="L229" s="320" t="s">
        <v>474</v>
      </c>
      <c r="M229" s="315" t="s">
        <v>239</v>
      </c>
      <c r="N229" s="315"/>
      <c r="O229" s="321">
        <v>365</v>
      </c>
      <c r="P229" s="322" t="str">
        <f t="shared" ref="P229:P243" si="642">IF(O229&lt;=0,"",IF(O229&lt;=2,"Muy Baja",IF(O229&lt;=24,"Baja",IF(O229&lt;=500,"Media",IF(O229&lt;=5000,"Alta","Muy Alta")))))</f>
        <v>Media</v>
      </c>
      <c r="Q229" s="323">
        <f t="shared" ref="Q229:Q243" si="643">IF(P229="","",IF(P229="Muy Baja",0.2,IF(P229="Baja",0.4,IF(P229="Media",0.6,IF(P229="Alta",0.8,IF(P229="Muy Alta",1,))))))</f>
        <v>0.6</v>
      </c>
      <c r="R229" s="323" t="s">
        <v>190</v>
      </c>
      <c r="S229" s="323" t="str">
        <f ca="1">IF(NOT(ISERROR(MATCH(R229,'Tabla Impacto'!$B$221:$B$223,0))),'Tabla Impacto'!$F$223&amp;"Por favor no seleccionar los criterios de impacto(Afectación Económica o presupuestal y Pérdida Reputacional)",R229)</f>
        <v>El riesgo afecta la imagen de la entidad con algunos usuarios de relevancia frente al logro de los objetivos</v>
      </c>
      <c r="T229" s="322" t="str">
        <f ca="1">+IF(OR(S229='[1]Tabla Impacto'!$C$11,S229='[1]Tabla Impacto'!$D$11),"Leve",IF(OR(S229='[1]Tabla Impacto'!$C$12,S229='[1]Tabla Impacto'!$D$12),"Menor",IF(OR(S229='[1]Tabla Impacto'!$C$13,S229='[1]Tabla Impacto'!$D$13),"Moderado",IF(OR(S229='[1]Tabla Impacto'!$C$14,S229='[1]Tabla Impacto'!$D$14),"Mayor",IF(OR(S229='[1]Tabla Impacto'!$C$15,S229='[1]Tabla Impacto'!$D$15),"Catastrófico","")))))</f>
        <v>Moderado</v>
      </c>
      <c r="U229" s="323">
        <f t="shared" ref="U229" ca="1" si="644">IF(T229="","",IF(T229="Leve",0.2,IF(T229="Menor",0.4,IF(T229="Moderado",0.6,IF(T229="Mayor",0.8,IF(T229="Catastrófico",1,))))))</f>
        <v>0.6</v>
      </c>
      <c r="V229" s="309" t="str">
        <f t="shared" ref="V229" ca="1" si="645">IF(OR(AND(P229="Muy Baja",T229="Leve"),AND(P229="Muy Baja",T229="Menor"),AND(P229="Baja",T229="Leve")),"Bajo",IF(OR(AND(P229="Muy baja",T229="Moderado"),AND(P229="Baja",T229="Menor"),AND(P229="Baja",T229="Moderado"),AND(P229="Media",T229="Leve"),AND(P229="Media",T229="Menor"),AND(P229="Media",T229="Moderado"),AND(P229="Alta",T229="Leve"),AND(P229="Alta",T229="Menor")),"Moderado",IF(OR(AND(P229="Muy Baja",T229="Mayor"),AND(P229="Baja",T229="Mayor"),AND(P229="Media",T229="Mayor"),AND(P229="Alta",T229="Moderado"),AND(P229="Alta",T229="Mayor"),AND(P229="Muy Alta",T229="Leve"),AND(P229="Muy Alta",T229="Menor"),AND(P229="Muy Alta",T229="Moderado"),AND(P229="Muy Alta",T229="Mayor")),"Alto",IF(OR(AND(P229="Muy Baja",T229="Catastrófico"),AND(P229="Baja",T229="Catastrófico"),AND(P229="Media",T229="Catastrófico"),AND(P229="Alta",T229="Catastrófico"),AND(P229="Muy Alta",T229="Catastrófico")),"Extremo",""))))</f>
        <v>Moderado</v>
      </c>
      <c r="W229" s="252">
        <v>1</v>
      </c>
      <c r="X229" s="207" t="s">
        <v>1040</v>
      </c>
      <c r="Y229" s="250" t="str">
        <f t="shared" si="603"/>
        <v>Probabilidad</v>
      </c>
      <c r="Z229" s="185" t="s">
        <v>208</v>
      </c>
      <c r="AA229" s="185" t="s">
        <v>216</v>
      </c>
      <c r="AB229" s="186" t="str">
        <f t="shared" si="626"/>
        <v>40%</v>
      </c>
      <c r="AC229" s="185" t="s">
        <v>219</v>
      </c>
      <c r="AD229" s="185" t="s">
        <v>224</v>
      </c>
      <c r="AE229" s="185" t="s">
        <v>228</v>
      </c>
      <c r="AF229" s="187">
        <f t="shared" ref="AF229" si="646">IFERROR(IF(Y229="Probabilidad",(Q229-(+Q229*AB229)),IF(Y229="Impacto",Q229,"")),"")</f>
        <v>0.36</v>
      </c>
      <c r="AG229" s="188" t="str">
        <f t="shared" si="605"/>
        <v>Baja</v>
      </c>
      <c r="AH229" s="186">
        <f t="shared" si="606"/>
        <v>0.36</v>
      </c>
      <c r="AI229" s="188" t="str">
        <f t="shared" ca="1" si="607"/>
        <v>Moderado</v>
      </c>
      <c r="AJ229" s="186">
        <f t="shared" ref="AJ229" ca="1" si="647">IFERROR(IF(Y229="Impacto",(U229-(+U229*AB229)),IF(Y229="Probabilidad",U229,"")),"")</f>
        <v>0.6</v>
      </c>
      <c r="AK229" s="189" t="str">
        <f t="shared" ca="1" si="609"/>
        <v>Moderado</v>
      </c>
      <c r="AL229" s="185" t="s">
        <v>255</v>
      </c>
      <c r="AM229" s="246"/>
      <c r="AN229" s="250"/>
      <c r="AO229" s="245"/>
      <c r="AP229" s="245"/>
      <c r="AQ229" s="246"/>
      <c r="AR229" s="247"/>
    </row>
    <row r="230" spans="1:44" s="191" customFormat="1" ht="202.5" customHeight="1" thickTop="1" thickBot="1" x14ac:dyDescent="0.3">
      <c r="A230" s="310"/>
      <c r="B230" s="311"/>
      <c r="C230" s="315"/>
      <c r="D230" s="315"/>
      <c r="E230" s="315"/>
      <c r="F230" s="332"/>
      <c r="G230" s="332"/>
      <c r="H230" s="333"/>
      <c r="I230" s="320"/>
      <c r="J230" s="320"/>
      <c r="K230" s="320"/>
      <c r="L230" s="320"/>
      <c r="M230" s="315"/>
      <c r="N230" s="315"/>
      <c r="O230" s="321"/>
      <c r="P230" s="322"/>
      <c r="Q230" s="323"/>
      <c r="R230" s="323"/>
      <c r="S230" s="323">
        <f ca="1">IF(NOT(ISERROR(MATCH(R230,_xlfn.ANCHORARRAY(H233),0))),#REF!&amp;"Por favor no seleccionar los criterios de impacto",R230)</f>
        <v>0</v>
      </c>
      <c r="T230" s="322"/>
      <c r="U230" s="323"/>
      <c r="V230" s="309"/>
      <c r="W230" s="252">
        <v>2</v>
      </c>
      <c r="X230" s="207" t="s">
        <v>1041</v>
      </c>
      <c r="Y230" s="250" t="str">
        <f t="shared" si="603"/>
        <v>Probabilidad</v>
      </c>
      <c r="Z230" s="185" t="s">
        <v>208</v>
      </c>
      <c r="AA230" s="185" t="s">
        <v>216</v>
      </c>
      <c r="AB230" s="186" t="str">
        <f t="shared" si="626"/>
        <v>40%</v>
      </c>
      <c r="AC230" s="185" t="s">
        <v>219</v>
      </c>
      <c r="AD230" s="185" t="s">
        <v>224</v>
      </c>
      <c r="AE230" s="185" t="s">
        <v>228</v>
      </c>
      <c r="AF230" s="187">
        <f t="shared" ref="AF230" si="648">IFERROR(IF(AND(Y229="Probabilidad",Y230="Probabilidad"),(AH229-(+AH229*AB230)),IF(Y230="Probabilidad",(Q229-(+Q229*AB230)),IF(Y230="Impacto",AH229,""))),"")</f>
        <v>0.216</v>
      </c>
      <c r="AG230" s="188" t="str">
        <f t="shared" si="605"/>
        <v>Baja</v>
      </c>
      <c r="AH230" s="186">
        <f t="shared" si="606"/>
        <v>0.216</v>
      </c>
      <c r="AI230" s="188" t="str">
        <f t="shared" ca="1" si="607"/>
        <v>Moderado</v>
      </c>
      <c r="AJ230" s="186">
        <f t="shared" ref="AJ230" ca="1" si="649">IFERROR(IF(AND(Y229="Impacto",Y230="Impacto"),(AJ229-(+AJ229*AB230)),IF(Y230="Impacto",(U229-(+U229*AB230)),IF(Y230="Probabilidad",AJ229,""))),"")</f>
        <v>0.6</v>
      </c>
      <c r="AK230" s="189" t="str">
        <f t="shared" ca="1" si="609"/>
        <v>Moderado</v>
      </c>
      <c r="AL230" s="185" t="s">
        <v>255</v>
      </c>
      <c r="AM230" s="246"/>
      <c r="AN230" s="250"/>
      <c r="AO230" s="245"/>
      <c r="AP230" s="245"/>
      <c r="AQ230" s="246"/>
      <c r="AR230" s="247"/>
    </row>
    <row r="231" spans="1:44" s="191" customFormat="1" ht="409.5" customHeight="1" thickTop="1" thickBot="1" x14ac:dyDescent="0.3">
      <c r="A231" s="310">
        <v>91</v>
      </c>
      <c r="B231" s="311" t="s">
        <v>896</v>
      </c>
      <c r="C231" s="315" t="s">
        <v>279</v>
      </c>
      <c r="D231" s="315" t="s">
        <v>940</v>
      </c>
      <c r="E231" s="315" t="s">
        <v>238</v>
      </c>
      <c r="F231" s="332" t="s">
        <v>1075</v>
      </c>
      <c r="G231" s="332" t="s">
        <v>897</v>
      </c>
      <c r="H231" s="333" t="s">
        <v>1151</v>
      </c>
      <c r="I231" s="320" t="s">
        <v>474</v>
      </c>
      <c r="J231" s="320" t="s">
        <v>474</v>
      </c>
      <c r="K231" s="320" t="s">
        <v>474</v>
      </c>
      <c r="L231" s="320" t="s">
        <v>474</v>
      </c>
      <c r="M231" s="315" t="s">
        <v>239</v>
      </c>
      <c r="N231" s="315"/>
      <c r="O231" s="321">
        <v>2</v>
      </c>
      <c r="P231" s="322" t="str">
        <f t="shared" si="642"/>
        <v>Muy Baja</v>
      </c>
      <c r="Q231" s="323">
        <f t="shared" si="643"/>
        <v>0.2</v>
      </c>
      <c r="R231" s="323" t="s">
        <v>190</v>
      </c>
      <c r="S231" s="323" t="str">
        <f ca="1">IF(NOT(ISERROR(MATCH(R231,'Tabla Impacto'!$B$221:$B$223,0))),'Tabla Impacto'!$F$223&amp;"Por favor no seleccionar los criterios de impacto(Afectación Económica o presupuestal y Pérdida Reputacional)",R231)</f>
        <v>El riesgo afecta la imagen de la entidad con algunos usuarios de relevancia frente al logro de los objetivos</v>
      </c>
      <c r="T231" s="322" t="str">
        <f ca="1">+IF(OR(S231='[1]Tabla Impacto'!$C$11,S231='[1]Tabla Impacto'!$D$11),"Leve",IF(OR(S231='[1]Tabla Impacto'!$C$12,S231='[1]Tabla Impacto'!$D$12),"Menor",IF(OR(S231='[1]Tabla Impacto'!$C$13,S231='[1]Tabla Impacto'!$D$13),"Moderado",IF(OR(S231='[1]Tabla Impacto'!$C$14,S231='[1]Tabla Impacto'!$D$14),"Mayor",IF(OR(S231='[1]Tabla Impacto'!$C$15,S231='[1]Tabla Impacto'!$D$15),"Catastrófico","")))))</f>
        <v>Moderado</v>
      </c>
      <c r="U231" s="323">
        <f t="shared" ref="U231" ca="1" si="650">IF(T231="","",IF(T231="Leve",0.2,IF(T231="Menor",0.4,IF(T231="Moderado",0.6,IF(T231="Mayor",0.8,IF(T231="Catastrófico",1,))))))</f>
        <v>0.6</v>
      </c>
      <c r="V231" s="309" t="str">
        <f t="shared" ref="V231" ca="1" si="651">IF(OR(AND(P231="Muy Baja",T231="Leve"),AND(P231="Muy Baja",T231="Menor"),AND(P231="Baja",T231="Leve")),"Bajo",IF(OR(AND(P231="Muy baja",T231="Moderado"),AND(P231="Baja",T231="Menor"),AND(P231="Baja",T231="Moderado"),AND(P231="Media",T231="Leve"),AND(P231="Media",T231="Menor"),AND(P231="Media",T231="Moderado"),AND(P231="Alta",T231="Leve"),AND(P231="Alta",T231="Menor")),"Moderado",IF(OR(AND(P231="Muy Baja",T231="Mayor"),AND(P231="Baja",T231="Mayor"),AND(P231="Media",T231="Mayor"),AND(P231="Alta",T231="Moderado"),AND(P231="Alta",T231="Mayor"),AND(P231="Muy Alta",T231="Leve"),AND(P231="Muy Alta",T231="Menor"),AND(P231="Muy Alta",T231="Moderado"),AND(P231="Muy Alta",T231="Mayor")),"Alto",IF(OR(AND(P231="Muy Baja",T231="Catastrófico"),AND(P231="Baja",T231="Catastrófico"),AND(P231="Media",T231="Catastrófico"),AND(P231="Alta",T231="Catastrófico"),AND(P231="Muy Alta",T231="Catastrófico")),"Extremo",""))))</f>
        <v>Moderado</v>
      </c>
      <c r="W231" s="252">
        <v>1</v>
      </c>
      <c r="X231" s="207" t="s">
        <v>1215</v>
      </c>
      <c r="Y231" s="250" t="str">
        <f t="shared" si="603"/>
        <v>Probabilidad</v>
      </c>
      <c r="Z231" s="185" t="s">
        <v>208</v>
      </c>
      <c r="AA231" s="185" t="s">
        <v>216</v>
      </c>
      <c r="AB231" s="186" t="str">
        <f t="shared" si="626"/>
        <v>40%</v>
      </c>
      <c r="AC231" s="185" t="s">
        <v>219</v>
      </c>
      <c r="AD231" s="185" t="s">
        <v>224</v>
      </c>
      <c r="AE231" s="185" t="s">
        <v>228</v>
      </c>
      <c r="AF231" s="187">
        <f t="shared" ref="AF231" si="652">IFERROR(IF(Y231="Probabilidad",(Q231-(+Q231*AB231)),IF(Y231="Impacto",Q231,"")),"")</f>
        <v>0.12</v>
      </c>
      <c r="AG231" s="188" t="str">
        <f t="shared" si="605"/>
        <v>Muy Baja</v>
      </c>
      <c r="AH231" s="186">
        <f t="shared" si="606"/>
        <v>0.12</v>
      </c>
      <c r="AI231" s="188" t="str">
        <f t="shared" ca="1" si="607"/>
        <v>Moderado</v>
      </c>
      <c r="AJ231" s="186">
        <f t="shared" ref="AJ231" ca="1" si="653">IFERROR(IF(Y231="Impacto",(U231-(+U231*AB231)),IF(Y231="Probabilidad",U231,"")),"")</f>
        <v>0.6</v>
      </c>
      <c r="AK231" s="189" t="str">
        <f t="shared" ca="1" si="609"/>
        <v>Moderado</v>
      </c>
      <c r="AL231" s="185" t="s">
        <v>255</v>
      </c>
      <c r="AM231" s="246"/>
      <c r="AN231" s="250"/>
      <c r="AO231" s="245"/>
      <c r="AP231" s="245"/>
      <c r="AQ231" s="246"/>
      <c r="AR231" s="247"/>
    </row>
    <row r="232" spans="1:44" s="191" customFormat="1" ht="240.75" customHeight="1" thickTop="1" thickBot="1" x14ac:dyDescent="0.3">
      <c r="A232" s="310"/>
      <c r="B232" s="311"/>
      <c r="C232" s="315"/>
      <c r="D232" s="315"/>
      <c r="E232" s="315"/>
      <c r="F232" s="332"/>
      <c r="G232" s="332"/>
      <c r="H232" s="333"/>
      <c r="I232" s="320"/>
      <c r="J232" s="320"/>
      <c r="K232" s="320"/>
      <c r="L232" s="320"/>
      <c r="M232" s="315"/>
      <c r="N232" s="315"/>
      <c r="O232" s="321"/>
      <c r="P232" s="322"/>
      <c r="Q232" s="323"/>
      <c r="R232" s="323"/>
      <c r="S232" s="323">
        <f ca="1">IF(NOT(ISERROR(MATCH(R232,_xlfn.ANCHORARRAY(H235),0))),#REF!&amp;"Por favor no seleccionar los criterios de impacto",R232)</f>
        <v>0</v>
      </c>
      <c r="T232" s="322"/>
      <c r="U232" s="323"/>
      <c r="V232" s="309"/>
      <c r="W232" s="252">
        <v>2</v>
      </c>
      <c r="X232" s="207" t="s">
        <v>898</v>
      </c>
      <c r="Y232" s="250" t="str">
        <f t="shared" si="603"/>
        <v>Probabilidad</v>
      </c>
      <c r="Z232" s="185" t="s">
        <v>208</v>
      </c>
      <c r="AA232" s="185" t="s">
        <v>216</v>
      </c>
      <c r="AB232" s="186" t="str">
        <f t="shared" si="626"/>
        <v>40%</v>
      </c>
      <c r="AC232" s="185" t="s">
        <v>219</v>
      </c>
      <c r="AD232" s="185" t="s">
        <v>224</v>
      </c>
      <c r="AE232" s="185" t="s">
        <v>228</v>
      </c>
      <c r="AF232" s="187">
        <f t="shared" ref="AF232" si="654">IFERROR(IF(AND(Y231="Probabilidad",Y232="Probabilidad"),(AH231-(+AH231*AB232)),IF(Y232="Probabilidad",(Q231-(+Q231*AB232)),IF(Y232="Impacto",AH231,""))),"")</f>
        <v>7.1999999999999995E-2</v>
      </c>
      <c r="AG232" s="188" t="str">
        <f t="shared" si="605"/>
        <v>Muy Baja</v>
      </c>
      <c r="AH232" s="186">
        <f t="shared" si="606"/>
        <v>7.1999999999999995E-2</v>
      </c>
      <c r="AI232" s="188" t="str">
        <f t="shared" ca="1" si="607"/>
        <v>Moderado</v>
      </c>
      <c r="AJ232" s="186">
        <f t="shared" ref="AJ232" ca="1" si="655">IFERROR(IF(AND(Y231="Impacto",Y232="Impacto"),(AJ231-(+AJ231*AB232)),IF(Y232="Impacto",(U231-(+U231*AB232)),IF(Y232="Probabilidad",AJ231,""))),"")</f>
        <v>0.6</v>
      </c>
      <c r="AK232" s="189" t="str">
        <f t="shared" ca="1" si="609"/>
        <v>Moderado</v>
      </c>
      <c r="AL232" s="185" t="s">
        <v>255</v>
      </c>
      <c r="AM232" s="246"/>
      <c r="AN232" s="250"/>
      <c r="AO232" s="245"/>
      <c r="AP232" s="245"/>
      <c r="AQ232" s="246"/>
      <c r="AR232" s="247"/>
    </row>
    <row r="233" spans="1:44" s="191" customFormat="1" ht="180" customHeight="1" thickTop="1" thickBot="1" x14ac:dyDescent="0.3">
      <c r="A233" s="310">
        <v>92</v>
      </c>
      <c r="B233" s="311" t="s">
        <v>899</v>
      </c>
      <c r="C233" s="315" t="s">
        <v>279</v>
      </c>
      <c r="D233" s="315" t="s">
        <v>940</v>
      </c>
      <c r="E233" s="315" t="s">
        <v>240</v>
      </c>
      <c r="F233" s="332" t="s">
        <v>900</v>
      </c>
      <c r="G233" s="332" t="s">
        <v>901</v>
      </c>
      <c r="H233" s="333" t="s">
        <v>1152</v>
      </c>
      <c r="I233" s="320" t="s">
        <v>474</v>
      </c>
      <c r="J233" s="320" t="s">
        <v>474</v>
      </c>
      <c r="K233" s="320" t="s">
        <v>474</v>
      </c>
      <c r="L233" s="320" t="s">
        <v>474</v>
      </c>
      <c r="M233" s="315" t="s">
        <v>241</v>
      </c>
      <c r="N233" s="315"/>
      <c r="O233" s="321">
        <v>1</v>
      </c>
      <c r="P233" s="322" t="str">
        <f t="shared" si="642"/>
        <v>Muy Baja</v>
      </c>
      <c r="Q233" s="323">
        <f t="shared" si="643"/>
        <v>0.2</v>
      </c>
      <c r="R233" s="323" t="s">
        <v>189</v>
      </c>
      <c r="S233" s="323" t="str">
        <f ca="1">IF(NOT(ISERROR(MATCH(R233,'Tabla Impacto'!$B$221:$B$223,0))),'Tabla Impacto'!$F$223&amp;"Por favor no seleccionar los criterios de impacto(Afectación Económica o presupuestal y Pérdida Reputacional)",R233)</f>
        <v xml:space="preserve">Entre 50 y 100 SMLMV </v>
      </c>
      <c r="T233" s="322" t="str">
        <f ca="1">+IF(OR(S233='[1]Tabla Impacto'!$C$11,S233='[1]Tabla Impacto'!$D$11),"Leve",IF(OR(S233='[1]Tabla Impacto'!$C$12,S233='[1]Tabla Impacto'!$D$12),"Menor",IF(OR(S233='[1]Tabla Impacto'!$C$13,S233='[1]Tabla Impacto'!$D$13),"Moderado",IF(OR(S233='[1]Tabla Impacto'!$C$14,S233='[1]Tabla Impacto'!$D$14),"Mayor",IF(OR(S233='[1]Tabla Impacto'!$C$15,S233='[1]Tabla Impacto'!$D$15),"Catastrófico","")))))</f>
        <v>Moderado</v>
      </c>
      <c r="U233" s="323">
        <f t="shared" ref="U233" ca="1" si="656">IF(T233="","",IF(T233="Leve",0.2,IF(T233="Menor",0.4,IF(T233="Moderado",0.6,IF(T233="Mayor",0.8,IF(T233="Catastrófico",1,))))))</f>
        <v>0.6</v>
      </c>
      <c r="V233" s="309" t="str">
        <f t="shared" ref="V233" ca="1" si="657">IF(OR(AND(P233="Muy Baja",T233="Leve"),AND(P233="Muy Baja",T233="Menor"),AND(P233="Baja",T233="Leve")),"Bajo",IF(OR(AND(P233="Muy baja",T233="Moderado"),AND(P233="Baja",T233="Menor"),AND(P233="Baja",T233="Moderado"),AND(P233="Media",T233="Leve"),AND(P233="Media",T233="Menor"),AND(P233="Media",T233="Moderado"),AND(P233="Alta",T233="Leve"),AND(P233="Alta",T233="Menor")),"Moderado",IF(OR(AND(P233="Muy Baja",T233="Mayor"),AND(P233="Baja",T233="Mayor"),AND(P233="Media",T233="Mayor"),AND(P233="Alta",T233="Moderado"),AND(P233="Alta",T233="Mayor"),AND(P233="Muy Alta",T233="Leve"),AND(P233="Muy Alta",T233="Menor"),AND(P233="Muy Alta",T233="Moderado"),AND(P233="Muy Alta",T233="Mayor")),"Alto",IF(OR(AND(P233="Muy Baja",T233="Catastrófico"),AND(P233="Baja",T233="Catastrófico"),AND(P233="Media",T233="Catastrófico"),AND(P233="Alta",T233="Catastrófico"),AND(P233="Muy Alta",T233="Catastrófico")),"Extremo",""))))</f>
        <v>Moderado</v>
      </c>
      <c r="W233" s="252">
        <v>1</v>
      </c>
      <c r="X233" s="207" t="s">
        <v>1042</v>
      </c>
      <c r="Y233" s="250" t="str">
        <f t="shared" si="603"/>
        <v>Probabilidad</v>
      </c>
      <c r="Z233" s="185" t="s">
        <v>208</v>
      </c>
      <c r="AA233" s="185" t="s">
        <v>216</v>
      </c>
      <c r="AB233" s="186" t="str">
        <f t="shared" si="626"/>
        <v>40%</v>
      </c>
      <c r="AC233" s="185" t="s">
        <v>219</v>
      </c>
      <c r="AD233" s="185" t="s">
        <v>224</v>
      </c>
      <c r="AE233" s="185" t="s">
        <v>228</v>
      </c>
      <c r="AF233" s="187">
        <f t="shared" ref="AF233" si="658">IFERROR(IF(Y233="Probabilidad",(Q233-(+Q233*AB233)),IF(Y233="Impacto",Q233,"")),"")</f>
        <v>0.12</v>
      </c>
      <c r="AG233" s="188" t="str">
        <f t="shared" si="605"/>
        <v>Muy Baja</v>
      </c>
      <c r="AH233" s="186">
        <f t="shared" si="606"/>
        <v>0.12</v>
      </c>
      <c r="AI233" s="188" t="str">
        <f t="shared" ca="1" si="607"/>
        <v>Moderado</v>
      </c>
      <c r="AJ233" s="186">
        <f t="shared" ref="AJ233" ca="1" si="659">IFERROR(IF(Y233="Impacto",(U233-(+U233*AB233)),IF(Y233="Probabilidad",U233,"")),"")</f>
        <v>0.6</v>
      </c>
      <c r="AK233" s="189" t="str">
        <f t="shared" ca="1" si="609"/>
        <v>Moderado</v>
      </c>
      <c r="AL233" s="185" t="s">
        <v>255</v>
      </c>
      <c r="AM233" s="246"/>
      <c r="AN233" s="250"/>
      <c r="AO233" s="245"/>
      <c r="AP233" s="245"/>
      <c r="AQ233" s="246"/>
      <c r="AR233" s="247"/>
    </row>
    <row r="234" spans="1:44" s="191" customFormat="1" ht="237" customHeight="1" thickTop="1" thickBot="1" x14ac:dyDescent="0.3">
      <c r="A234" s="310"/>
      <c r="B234" s="311"/>
      <c r="C234" s="315"/>
      <c r="D234" s="315"/>
      <c r="E234" s="315"/>
      <c r="F234" s="332"/>
      <c r="G234" s="332"/>
      <c r="H234" s="333"/>
      <c r="I234" s="320"/>
      <c r="J234" s="320"/>
      <c r="K234" s="320"/>
      <c r="L234" s="320"/>
      <c r="M234" s="315"/>
      <c r="N234" s="315"/>
      <c r="O234" s="321"/>
      <c r="P234" s="322"/>
      <c r="Q234" s="323"/>
      <c r="R234" s="323"/>
      <c r="S234" s="323">
        <f ca="1">IF(NOT(ISERROR(MATCH(R234,_xlfn.ANCHORARRAY(H242),0))),#REF!&amp;"Por favor no seleccionar los criterios de impacto",R234)</f>
        <v>0</v>
      </c>
      <c r="T234" s="322"/>
      <c r="U234" s="323"/>
      <c r="V234" s="309"/>
      <c r="W234" s="252">
        <v>2</v>
      </c>
      <c r="X234" s="207" t="s">
        <v>902</v>
      </c>
      <c r="Y234" s="250" t="str">
        <f t="shared" si="603"/>
        <v>Probabilidad</v>
      </c>
      <c r="Z234" s="185" t="s">
        <v>208</v>
      </c>
      <c r="AA234" s="185" t="s">
        <v>216</v>
      </c>
      <c r="AB234" s="186" t="str">
        <f t="shared" si="626"/>
        <v>40%</v>
      </c>
      <c r="AC234" s="185" t="s">
        <v>219</v>
      </c>
      <c r="AD234" s="185" t="s">
        <v>224</v>
      </c>
      <c r="AE234" s="185" t="s">
        <v>228</v>
      </c>
      <c r="AF234" s="187">
        <f t="shared" ref="AF234" si="660">IFERROR(IF(AND(Y233="Probabilidad",Y234="Probabilidad"),(AH233-(+AH233*AB234)),IF(Y234="Probabilidad",(Q233-(+Q233*AB234)),IF(Y234="Impacto",AH233,""))),"")</f>
        <v>7.1999999999999995E-2</v>
      </c>
      <c r="AG234" s="188" t="str">
        <f t="shared" si="605"/>
        <v>Muy Baja</v>
      </c>
      <c r="AH234" s="186">
        <f t="shared" si="606"/>
        <v>7.1999999999999995E-2</v>
      </c>
      <c r="AI234" s="188" t="str">
        <f t="shared" ca="1" si="607"/>
        <v>Moderado</v>
      </c>
      <c r="AJ234" s="186">
        <f t="shared" ref="AJ234" ca="1" si="661">IFERROR(IF(AND(Y233="Impacto",Y234="Impacto"),(AJ233-(+AJ233*AB234)),IF(Y234="Impacto",(U233-(+U233*AB234)),IF(Y234="Probabilidad",AJ233,""))),"")</f>
        <v>0.6</v>
      </c>
      <c r="AK234" s="189" t="str">
        <f t="shared" ca="1" si="609"/>
        <v>Moderado</v>
      </c>
      <c r="AL234" s="185" t="s">
        <v>255</v>
      </c>
      <c r="AM234" s="246"/>
      <c r="AN234" s="250"/>
      <c r="AO234" s="245"/>
      <c r="AP234" s="245"/>
      <c r="AQ234" s="246"/>
      <c r="AR234" s="247"/>
    </row>
    <row r="235" spans="1:44" s="191" customFormat="1" ht="285.75" customHeight="1" thickTop="1" thickBot="1" x14ac:dyDescent="0.3">
      <c r="A235" s="244">
        <v>93</v>
      </c>
      <c r="B235" s="262" t="s">
        <v>903</v>
      </c>
      <c r="C235" s="246" t="s">
        <v>279</v>
      </c>
      <c r="D235" s="246" t="s">
        <v>940</v>
      </c>
      <c r="E235" s="246" t="s">
        <v>240</v>
      </c>
      <c r="F235" s="254" t="s">
        <v>904</v>
      </c>
      <c r="G235" s="254" t="s">
        <v>905</v>
      </c>
      <c r="H235" s="255" t="s">
        <v>1153</v>
      </c>
      <c r="I235" s="242" t="s">
        <v>474</v>
      </c>
      <c r="J235" s="242" t="s">
        <v>474</v>
      </c>
      <c r="K235" s="242" t="s">
        <v>474</v>
      </c>
      <c r="L235" s="242" t="s">
        <v>474</v>
      </c>
      <c r="M235" s="246" t="s">
        <v>239</v>
      </c>
      <c r="N235" s="246"/>
      <c r="O235" s="250">
        <v>365</v>
      </c>
      <c r="P235" s="251" t="str">
        <f t="shared" si="642"/>
        <v>Media</v>
      </c>
      <c r="Q235" s="243">
        <f t="shared" si="643"/>
        <v>0.6</v>
      </c>
      <c r="R235" s="243" t="s">
        <v>189</v>
      </c>
      <c r="S235" s="243" t="str">
        <f ca="1">IF(NOT(ISERROR(MATCH(R235,'Tabla Impacto'!$B$221:$B$223,0))),'Tabla Impacto'!$F$223&amp;"Por favor no seleccionar los criterios de impacto(Afectación Económica o presupuestal y Pérdida Reputacional)",R235)</f>
        <v xml:space="preserve">Entre 50 y 100 SMLMV </v>
      </c>
      <c r="T235" s="251" t="str">
        <f ca="1">+IF(OR(S235='[1]Tabla Impacto'!$C$11,S235='[1]Tabla Impacto'!$D$11),"Leve",IF(OR(S235='[1]Tabla Impacto'!$C$12,S235='[1]Tabla Impacto'!$D$12),"Menor",IF(OR(S235='[1]Tabla Impacto'!$C$13,S235='[1]Tabla Impacto'!$D$13),"Moderado",IF(OR(S235='[1]Tabla Impacto'!$C$14,S235='[1]Tabla Impacto'!$D$14),"Mayor",IF(OR(S235='[1]Tabla Impacto'!$C$15,S235='[1]Tabla Impacto'!$D$15),"Catastrófico","")))))</f>
        <v>Moderado</v>
      </c>
      <c r="U235" s="243">
        <f t="shared" ref="U235" ca="1" si="662">IF(T235="","",IF(T235="Leve",0.2,IF(T235="Menor",0.4,IF(T235="Moderado",0.6,IF(T235="Mayor",0.8,IF(T235="Catastrófico",1,))))))</f>
        <v>0.6</v>
      </c>
      <c r="V235" s="252" t="str">
        <f t="shared" ref="V235" ca="1" si="663">IF(OR(AND(P235="Muy Baja",T235="Leve"),AND(P235="Muy Baja",T235="Menor"),AND(P235="Baja",T235="Leve")),"Bajo",IF(OR(AND(P235="Muy baja",T235="Moderado"),AND(P235="Baja",T235="Menor"),AND(P235="Baja",T235="Moderado"),AND(P235="Media",T235="Leve"),AND(P235="Media",T235="Menor"),AND(P235="Media",T235="Moderado"),AND(P235="Alta",T235="Leve"),AND(P235="Alta",T235="Menor")),"Moderado",IF(OR(AND(P235="Muy Baja",T235="Mayor"),AND(P235="Baja",T235="Mayor"),AND(P235="Media",T235="Mayor"),AND(P235="Alta",T235="Moderado"),AND(P235="Alta",T235="Mayor"),AND(P235="Muy Alta",T235="Leve"),AND(P235="Muy Alta",T235="Menor"),AND(P235="Muy Alta",T235="Moderado"),AND(P235="Muy Alta",T235="Mayor")),"Alto",IF(OR(AND(P235="Muy Baja",T235="Catastrófico"),AND(P235="Baja",T235="Catastrófico"),AND(P235="Media",T235="Catastrófico"),AND(P235="Alta",T235="Catastrófico"),AND(P235="Muy Alta",T235="Catastrófico")),"Extremo",""))))</f>
        <v>Moderado</v>
      </c>
      <c r="W235" s="252">
        <v>1</v>
      </c>
      <c r="X235" s="207" t="s">
        <v>1043</v>
      </c>
      <c r="Y235" s="250" t="str">
        <f t="shared" si="603"/>
        <v>Probabilidad</v>
      </c>
      <c r="Z235" s="185" t="s">
        <v>208</v>
      </c>
      <c r="AA235" s="185" t="s">
        <v>216</v>
      </c>
      <c r="AB235" s="186" t="str">
        <f t="shared" si="626"/>
        <v>40%</v>
      </c>
      <c r="AC235" s="185" t="s">
        <v>219</v>
      </c>
      <c r="AD235" s="185" t="s">
        <v>224</v>
      </c>
      <c r="AE235" s="185" t="s">
        <v>228</v>
      </c>
      <c r="AF235" s="187">
        <f t="shared" ref="AF235" si="664">IFERROR(IF(Y235="Probabilidad",(Q235-(+Q235*AB235)),IF(Y235="Impacto",Q235,"")),"")</f>
        <v>0.36</v>
      </c>
      <c r="AG235" s="188" t="str">
        <f t="shared" si="605"/>
        <v>Baja</v>
      </c>
      <c r="AH235" s="186">
        <f t="shared" si="606"/>
        <v>0.36</v>
      </c>
      <c r="AI235" s="188" t="str">
        <f t="shared" ca="1" si="607"/>
        <v>Moderado</v>
      </c>
      <c r="AJ235" s="186">
        <f t="shared" ref="AJ235" ca="1" si="665">IFERROR(IF(Y235="Impacto",(U235-(+U235*AB235)),IF(Y235="Probabilidad",U235,"")),"")</f>
        <v>0.6</v>
      </c>
      <c r="AK235" s="189" t="str">
        <f t="shared" ca="1" si="609"/>
        <v>Moderado</v>
      </c>
      <c r="AL235" s="185" t="s">
        <v>255</v>
      </c>
      <c r="AM235" s="246"/>
      <c r="AN235" s="250"/>
      <c r="AO235" s="245"/>
      <c r="AP235" s="245"/>
      <c r="AQ235" s="246"/>
      <c r="AR235" s="247"/>
    </row>
    <row r="236" spans="1:44" s="191" customFormat="1" ht="216.75" customHeight="1" thickTop="1" thickBot="1" x14ac:dyDescent="0.3">
      <c r="A236" s="310">
        <v>94</v>
      </c>
      <c r="B236" s="311" t="s">
        <v>939</v>
      </c>
      <c r="C236" s="312" t="s">
        <v>279</v>
      </c>
      <c r="D236" s="326" t="s">
        <v>940</v>
      </c>
      <c r="E236" s="326" t="s">
        <v>240</v>
      </c>
      <c r="F236" s="324" t="s">
        <v>762</v>
      </c>
      <c r="G236" s="324" t="s">
        <v>763</v>
      </c>
      <c r="H236" s="324" t="s">
        <v>1154</v>
      </c>
      <c r="I236" s="325" t="s">
        <v>474</v>
      </c>
      <c r="J236" s="325" t="s">
        <v>474</v>
      </c>
      <c r="K236" s="325" t="s">
        <v>474</v>
      </c>
      <c r="L236" s="325" t="s">
        <v>474</v>
      </c>
      <c r="M236" s="326" t="s">
        <v>239</v>
      </c>
      <c r="N236" s="326"/>
      <c r="O236" s="327">
        <v>365</v>
      </c>
      <c r="P236" s="328" t="str">
        <f t="shared" ref="P236" si="666">IF(O236&lt;=0,"",IF(O236&lt;=2,"Muy Baja",IF(O236&lt;=24,"Baja",IF(O236&lt;=500,"Media",IF(O236&lt;=5000,"Alta","Muy Alta")))))</f>
        <v>Media</v>
      </c>
      <c r="Q236" s="329">
        <f t="shared" ref="Q236" si="667">IF(P236="","",IF(P236="Muy Baja",0.2,IF(P236="Baja",0.4,IF(P236="Media",0.6,IF(P236="Alta",0.8,IF(P236="Muy Alta",1,))))))</f>
        <v>0.6</v>
      </c>
      <c r="R236" s="329" t="s">
        <v>190</v>
      </c>
      <c r="S236" s="329" t="str">
        <f ca="1">IF(NOT(ISERROR(MATCH(R236,'Tabla Impacto'!$B$221:$B$223,0))),'Tabla Impacto'!$F$223&amp;"Por favor no seleccionar los criterios de impacto(Afectación Económica o presupuestal y Pérdida Reputacional)",R236)</f>
        <v>El riesgo afecta la imagen de la entidad con algunos usuarios de relevancia frente al logro de los objetivos</v>
      </c>
      <c r="T236" s="328" t="str">
        <f ca="1">+IF(OR(S236='[1]Tabla Impacto'!$C$11,S236='[1]Tabla Impacto'!$D$11),"Leve",IF(OR(S236='[1]Tabla Impacto'!$C$12,S236='[1]Tabla Impacto'!$D$12),"Menor",IF(OR(S236='[1]Tabla Impacto'!$C$13,S236='[1]Tabla Impacto'!$D$13),"Moderado",IF(OR(S236='[1]Tabla Impacto'!$C$14,S236='[1]Tabla Impacto'!$D$14),"Mayor",IF(OR(S236='[1]Tabla Impacto'!$C$15,S236='[1]Tabla Impacto'!$D$15),"Catastrófico","")))))</f>
        <v>Moderado</v>
      </c>
      <c r="U236" s="329">
        <f t="shared" ref="U236" ca="1" si="668">IF(T236="","",IF(T236="Leve",0.2,IF(T236="Menor",0.4,IF(T236="Moderado",0.6,IF(T236="Mayor",0.8,IF(T236="Catastrófico",1,))))))</f>
        <v>0.6</v>
      </c>
      <c r="V236" s="330" t="str">
        <f t="shared" ref="V236" ca="1" si="669">IF(OR(AND(P236="Muy Baja",T236="Leve"),AND(P236="Muy Baja",T236="Menor"),AND(P236="Baja",T236="Leve")),"Bajo",IF(OR(AND(P236="Muy baja",T236="Moderado"),AND(P236="Baja",T236="Menor"),AND(P236="Baja",T236="Moderado"),AND(P236="Media",T236="Leve"),AND(P236="Media",T236="Menor"),AND(P236="Media",T236="Moderado"),AND(P236="Alta",T236="Leve"),AND(P236="Alta",T236="Menor")),"Moderado",IF(OR(AND(P236="Muy Baja",T236="Mayor"),AND(P236="Baja",T236="Mayor"),AND(P236="Media",T236="Mayor"),AND(P236="Alta",T236="Moderado"),AND(P236="Alta",T236="Mayor"),AND(P236="Muy Alta",T236="Leve"),AND(P236="Muy Alta",T236="Menor"),AND(P236="Muy Alta",T236="Moderado"),AND(P236="Muy Alta",T236="Mayor")),"Alto",IF(OR(AND(P236="Muy Baja",T236="Catastrófico"),AND(P236="Baja",T236="Catastrófico"),AND(P236="Media",T236="Catastrófico"),AND(P236="Alta",T236="Catastrófico"),AND(P236="Muy Alta",T236="Catastrófico")),"Extremo",""))))</f>
        <v>Moderado</v>
      </c>
      <c r="W236" s="265">
        <v>1</v>
      </c>
      <c r="X236" s="213" t="s">
        <v>1030</v>
      </c>
      <c r="Y236" s="248" t="str">
        <f t="shared" si="603"/>
        <v>Probabilidad</v>
      </c>
      <c r="Z236" s="192" t="s">
        <v>208</v>
      </c>
      <c r="AA236" s="192" t="s">
        <v>216</v>
      </c>
      <c r="AB236" s="193" t="str">
        <f t="shared" ref="AB236:AB238" si="670">IF(AND(Z236="Preventivo",AA236="Automático"),"50%",IF(AND(Z236="Preventivo",AA236="Manual"),"40%",IF(AND(Z236="Detectivo",AA236="Automático"),"40%",IF(AND(Z236="Detectivo",AA236="Manual"),"30%",IF(AND(Z236="Correctivo",AA236="Automático"),"35%",IF(AND(Z236="Correctivo",AA236="Manual"),"25%",""))))))</f>
        <v>40%</v>
      </c>
      <c r="AC236" s="192" t="s">
        <v>219</v>
      </c>
      <c r="AD236" s="192" t="s">
        <v>224</v>
      </c>
      <c r="AE236" s="192" t="s">
        <v>228</v>
      </c>
      <c r="AF236" s="194">
        <f t="shared" ref="AF236" si="671">IFERROR(IF(Y236="Probabilidad",(Q236-(+Q236*AB236)),IF(Y236="Impacto",Q236,"")),"")</f>
        <v>0.36</v>
      </c>
      <c r="AG236" s="195" t="str">
        <f t="shared" si="605"/>
        <v>Baja</v>
      </c>
      <c r="AH236" s="193">
        <f t="shared" si="606"/>
        <v>0.36</v>
      </c>
      <c r="AI236" s="195" t="str">
        <f t="shared" ca="1" si="607"/>
        <v>Moderado</v>
      </c>
      <c r="AJ236" s="193">
        <f t="shared" ref="AJ236" ca="1" si="672">IFERROR(IF(Y236="Impacto",(U236-(+U236*AB236)),IF(Y236="Probabilidad",U236,"")),"")</f>
        <v>0.6</v>
      </c>
      <c r="AK236" s="196" t="str">
        <f t="shared" ca="1" si="609"/>
        <v>Moderado</v>
      </c>
      <c r="AL236" s="192" t="s">
        <v>255</v>
      </c>
      <c r="AM236" s="246"/>
      <c r="AN236" s="250"/>
      <c r="AO236" s="245"/>
      <c r="AP236" s="245"/>
      <c r="AQ236" s="246"/>
      <c r="AR236" s="247"/>
    </row>
    <row r="237" spans="1:44" s="191" customFormat="1" ht="296.25" customHeight="1" thickTop="1" thickBot="1" x14ac:dyDescent="0.3">
      <c r="A237" s="310"/>
      <c r="B237" s="311"/>
      <c r="C237" s="313"/>
      <c r="D237" s="326"/>
      <c r="E237" s="326"/>
      <c r="F237" s="324"/>
      <c r="G237" s="324"/>
      <c r="H237" s="324"/>
      <c r="I237" s="325"/>
      <c r="J237" s="325"/>
      <c r="K237" s="325"/>
      <c r="L237" s="325"/>
      <c r="M237" s="326"/>
      <c r="N237" s="326"/>
      <c r="O237" s="327"/>
      <c r="P237" s="328"/>
      <c r="Q237" s="329"/>
      <c r="R237" s="329"/>
      <c r="S237" s="329">
        <f ca="1">IF(NOT(ISERROR(MATCH(R237,_xlfn.ANCHORARRAY(H243),0))),#REF!&amp;"Por favor no seleccionar los criterios de impacto",R237)</f>
        <v>0</v>
      </c>
      <c r="T237" s="328"/>
      <c r="U237" s="329"/>
      <c r="V237" s="330"/>
      <c r="W237" s="265">
        <v>2</v>
      </c>
      <c r="X237" s="213" t="s">
        <v>764</v>
      </c>
      <c r="Y237" s="248" t="str">
        <f t="shared" si="603"/>
        <v>Probabilidad</v>
      </c>
      <c r="Z237" s="192" t="s">
        <v>208</v>
      </c>
      <c r="AA237" s="192" t="s">
        <v>216</v>
      </c>
      <c r="AB237" s="193" t="str">
        <f t="shared" si="670"/>
        <v>40%</v>
      </c>
      <c r="AC237" s="192" t="s">
        <v>219</v>
      </c>
      <c r="AD237" s="192" t="s">
        <v>224</v>
      </c>
      <c r="AE237" s="192" t="s">
        <v>228</v>
      </c>
      <c r="AF237" s="194">
        <f t="shared" ref="AF237:AF238" si="673">IFERROR(IF(AND(Y236="Probabilidad",Y237="Probabilidad"),(AH236-(+AH236*AB237)),IF(Y237="Probabilidad",(Q236-(+Q236*AB237)),IF(Y237="Impacto",AH236,""))),"")</f>
        <v>0.216</v>
      </c>
      <c r="AG237" s="195" t="str">
        <f t="shared" si="605"/>
        <v>Baja</v>
      </c>
      <c r="AH237" s="193">
        <f t="shared" si="606"/>
        <v>0.216</v>
      </c>
      <c r="AI237" s="195" t="str">
        <f t="shared" ca="1" si="607"/>
        <v>Moderado</v>
      </c>
      <c r="AJ237" s="193">
        <f t="shared" ref="AJ237" ca="1" si="674">IFERROR(IF(AND(Y236="Impacto",Y237="Impacto"),(AJ236-(+AJ236*AB237)),IF(Y237="Impacto",(U236-(+U236*AB237)),IF(Y237="Probabilidad",AJ236,""))),"")</f>
        <v>0.6</v>
      </c>
      <c r="AK237" s="196" t="str">
        <f t="shared" ca="1" si="609"/>
        <v>Moderado</v>
      </c>
      <c r="AL237" s="192" t="s">
        <v>255</v>
      </c>
      <c r="AM237" s="246"/>
      <c r="AN237" s="250"/>
      <c r="AO237" s="245"/>
      <c r="AP237" s="245"/>
      <c r="AQ237" s="246"/>
      <c r="AR237" s="247"/>
    </row>
    <row r="238" spans="1:44" s="191" customFormat="1" ht="261" customHeight="1" thickTop="1" thickBot="1" x14ac:dyDescent="0.3">
      <c r="A238" s="310"/>
      <c r="B238" s="311"/>
      <c r="C238" s="314"/>
      <c r="D238" s="326"/>
      <c r="E238" s="326"/>
      <c r="F238" s="324"/>
      <c r="G238" s="324"/>
      <c r="H238" s="324"/>
      <c r="I238" s="325"/>
      <c r="J238" s="325"/>
      <c r="K238" s="325"/>
      <c r="L238" s="325"/>
      <c r="M238" s="326"/>
      <c r="N238" s="326"/>
      <c r="O238" s="327"/>
      <c r="P238" s="328"/>
      <c r="Q238" s="329"/>
      <c r="R238" s="329"/>
      <c r="S238" s="329">
        <f ca="1">IF(NOT(ISERROR(MATCH(R238,_xlfn.ANCHORARRAY(H244),0))),#REF!&amp;"Por favor no seleccionar los criterios de impacto",R238)</f>
        <v>0</v>
      </c>
      <c r="T238" s="328"/>
      <c r="U238" s="329"/>
      <c r="V238" s="330"/>
      <c r="W238" s="265">
        <v>3</v>
      </c>
      <c r="X238" s="213" t="s">
        <v>1044</v>
      </c>
      <c r="Y238" s="248" t="str">
        <f t="shared" si="603"/>
        <v>Probabilidad</v>
      </c>
      <c r="Z238" s="192" t="s">
        <v>208</v>
      </c>
      <c r="AA238" s="192" t="s">
        <v>216</v>
      </c>
      <c r="AB238" s="193" t="str">
        <f t="shared" si="670"/>
        <v>40%</v>
      </c>
      <c r="AC238" s="192" t="s">
        <v>222</v>
      </c>
      <c r="AD238" s="192" t="s">
        <v>224</v>
      </c>
      <c r="AE238" s="192" t="s">
        <v>228</v>
      </c>
      <c r="AF238" s="194">
        <f t="shared" si="673"/>
        <v>0.12959999999999999</v>
      </c>
      <c r="AG238" s="195" t="str">
        <f t="shared" si="605"/>
        <v>Muy Baja</v>
      </c>
      <c r="AH238" s="193">
        <f t="shared" si="606"/>
        <v>0.12959999999999999</v>
      </c>
      <c r="AI238" s="195" t="str">
        <f t="shared" ca="1" si="607"/>
        <v>Moderado</v>
      </c>
      <c r="AJ238" s="193">
        <f t="shared" ref="AJ238" ca="1" si="675">IFERROR(IF(AND(Y237="Impacto",Y238="Impacto"),(AJ237-(+AJ237*AB238)),IF(AND(Y237="Probabilidad",Y238="Impacto"),(AJ236-(+AJ236*AB238)),IF(Y238="Probabilidad",AJ237,""))),"")</f>
        <v>0.6</v>
      </c>
      <c r="AK238" s="196" t="str">
        <f t="shared" ca="1" si="609"/>
        <v>Moderado</v>
      </c>
      <c r="AL238" s="192" t="s">
        <v>255</v>
      </c>
      <c r="AM238" s="246"/>
      <c r="AN238" s="250"/>
      <c r="AO238" s="245"/>
      <c r="AP238" s="245"/>
      <c r="AQ238" s="246"/>
      <c r="AR238" s="247"/>
    </row>
    <row r="239" spans="1:44" s="191" customFormat="1" ht="146.25" customHeight="1" thickTop="1" thickBot="1" x14ac:dyDescent="0.3">
      <c r="A239" s="310">
        <v>95</v>
      </c>
      <c r="B239" s="311" t="s">
        <v>941</v>
      </c>
      <c r="C239" s="312" t="s">
        <v>279</v>
      </c>
      <c r="D239" s="315" t="s">
        <v>940</v>
      </c>
      <c r="E239" s="317" t="s">
        <v>240</v>
      </c>
      <c r="F239" s="318" t="s">
        <v>1076</v>
      </c>
      <c r="G239" s="318" t="s">
        <v>765</v>
      </c>
      <c r="H239" s="319" t="s">
        <v>1155</v>
      </c>
      <c r="I239" s="320" t="s">
        <v>474</v>
      </c>
      <c r="J239" s="320" t="s">
        <v>474</v>
      </c>
      <c r="K239" s="320" t="s">
        <v>474</v>
      </c>
      <c r="L239" s="320" t="s">
        <v>474</v>
      </c>
      <c r="M239" s="315" t="s">
        <v>239</v>
      </c>
      <c r="N239" s="315"/>
      <c r="O239" s="321">
        <v>365</v>
      </c>
      <c r="P239" s="322" t="str">
        <f t="shared" ref="P239" si="676">IF(O239&lt;=0,"",IF(O239&lt;=2,"Muy Baja",IF(O239&lt;=24,"Baja",IF(O239&lt;=500,"Media",IF(O239&lt;=5000,"Alta","Muy Alta")))))</f>
        <v>Media</v>
      </c>
      <c r="Q239" s="323">
        <f t="shared" ref="Q239" si="677">IF(P239="","",IF(P239="Muy Baja",0.2,IF(P239="Baja",0.4,IF(P239="Media",0.6,IF(P239="Alta",0.8,IF(P239="Muy Alta",1,))))))</f>
        <v>0.6</v>
      </c>
      <c r="R239" s="323" t="s">
        <v>190</v>
      </c>
      <c r="S239" s="323" t="str">
        <f ca="1">IF(NOT(ISERROR(MATCH(R239,'Tabla Impacto'!$B$221:$B$223,0))),'Tabla Impacto'!$F$223&amp;"Por favor no seleccionar los criterios de impacto(Afectación Económica o presupuestal y Pérdida Reputacional)",R239)</f>
        <v>El riesgo afecta la imagen de la entidad con algunos usuarios de relevancia frente al logro de los objetivos</v>
      </c>
      <c r="T239" s="322" t="str">
        <f ca="1">+IF(OR(S239='[1]Tabla Impacto'!$C$11,S239='[1]Tabla Impacto'!$D$11),"Leve",IF(OR(S239='[1]Tabla Impacto'!$C$12,S239='[1]Tabla Impacto'!$D$12),"Menor",IF(OR(S239='[1]Tabla Impacto'!$C$13,S239='[1]Tabla Impacto'!$D$13),"Moderado",IF(OR(S239='[1]Tabla Impacto'!$C$14,S239='[1]Tabla Impacto'!$D$14),"Mayor",IF(OR(S239='[1]Tabla Impacto'!$C$15,S239='[1]Tabla Impacto'!$D$15),"Catastrófico","")))))</f>
        <v>Moderado</v>
      </c>
      <c r="U239" s="323">
        <f t="shared" ref="U239" ca="1" si="678">IF(T239="","",IF(T239="Leve",0.2,IF(T239="Menor",0.4,IF(T239="Moderado",0.6,IF(T239="Mayor",0.8,IF(T239="Catastrófico",1,))))))</f>
        <v>0.6</v>
      </c>
      <c r="V239" s="309" t="str">
        <f t="shared" ref="V239" ca="1" si="679">IF(OR(AND(P239="Muy Baja",T239="Leve"),AND(P239="Muy Baja",T239="Menor"),AND(P239="Baja",T239="Leve")),"Bajo",IF(OR(AND(P239="Muy baja",T239="Moderado"),AND(P239="Baja",T239="Menor"),AND(P239="Baja",T239="Moderado"),AND(P239="Media",T239="Leve"),AND(P239="Media",T239="Menor"),AND(P239="Media",T239="Moderado"),AND(P239="Alta",T239="Leve"),AND(P239="Alta",T239="Menor")),"Moderado",IF(OR(AND(P239="Muy Baja",T239="Mayor"),AND(P239="Baja",T239="Mayor"),AND(P239="Media",T239="Mayor"),AND(P239="Alta",T239="Moderado"),AND(P239="Alta",T239="Mayor"),AND(P239="Muy Alta",T239="Leve"),AND(P239="Muy Alta",T239="Menor"),AND(P239="Muy Alta",T239="Moderado"),AND(P239="Muy Alta",T239="Mayor")),"Alto",IF(OR(AND(P239="Muy Baja",T239="Catastrófico"),AND(P239="Baja",T239="Catastrófico"),AND(P239="Media",T239="Catastrófico"),AND(P239="Alta",T239="Catastrófico"),AND(P239="Muy Alta",T239="Catastrófico")),"Extremo",""))))</f>
        <v>Moderado</v>
      </c>
      <c r="W239" s="252">
        <v>1</v>
      </c>
      <c r="X239" s="207" t="s">
        <v>766</v>
      </c>
      <c r="Y239" s="250" t="str">
        <f t="shared" si="603"/>
        <v>Probabilidad</v>
      </c>
      <c r="Z239" s="185" t="s">
        <v>208</v>
      </c>
      <c r="AA239" s="185" t="s">
        <v>216</v>
      </c>
      <c r="AB239" s="186" t="str">
        <f t="shared" ref="AB239:AB241" si="680">IF(AND(Z239="Preventivo",AA239="Automático"),"50%",IF(AND(Z239="Preventivo",AA239="Manual"),"40%",IF(AND(Z239="Detectivo",AA239="Automático"),"40%",IF(AND(Z239="Detectivo",AA239="Manual"),"30%",IF(AND(Z239="Correctivo",AA239="Automático"),"35%",IF(AND(Z239="Correctivo",AA239="Manual"),"25%",""))))))</f>
        <v>40%</v>
      </c>
      <c r="AC239" s="185" t="s">
        <v>222</v>
      </c>
      <c r="AD239" s="185" t="s">
        <v>224</v>
      </c>
      <c r="AE239" s="185" t="s">
        <v>228</v>
      </c>
      <c r="AF239" s="187">
        <f t="shared" ref="AF239" si="681">IFERROR(IF(Y239="Probabilidad",(Q239-(+Q239*AB239)),IF(Y239="Impacto",Q239,"")),"")</f>
        <v>0.36</v>
      </c>
      <c r="AG239" s="188" t="str">
        <f t="shared" si="605"/>
        <v>Baja</v>
      </c>
      <c r="AH239" s="186">
        <f t="shared" si="606"/>
        <v>0.36</v>
      </c>
      <c r="AI239" s="188" t="str">
        <f t="shared" ca="1" si="607"/>
        <v>Moderado</v>
      </c>
      <c r="AJ239" s="186">
        <f t="shared" ref="AJ239" ca="1" si="682">IFERROR(IF(Y239="Impacto",(U239-(+U239*AB239)),IF(Y239="Probabilidad",U239,"")),"")</f>
        <v>0.6</v>
      </c>
      <c r="AK239" s="189" t="str">
        <f t="shared" ca="1" si="609"/>
        <v>Moderado</v>
      </c>
      <c r="AL239" s="185" t="s">
        <v>255</v>
      </c>
      <c r="AM239" s="246"/>
      <c r="AN239" s="250"/>
      <c r="AO239" s="245"/>
      <c r="AP239" s="245"/>
      <c r="AQ239" s="246"/>
      <c r="AR239" s="247"/>
    </row>
    <row r="240" spans="1:44" s="191" customFormat="1" ht="161.25" customHeight="1" thickTop="1" thickBot="1" x14ac:dyDescent="0.3">
      <c r="A240" s="310"/>
      <c r="B240" s="311"/>
      <c r="C240" s="313"/>
      <c r="D240" s="315"/>
      <c r="E240" s="317"/>
      <c r="F240" s="318"/>
      <c r="G240" s="318"/>
      <c r="H240" s="319"/>
      <c r="I240" s="320"/>
      <c r="J240" s="320"/>
      <c r="K240" s="320"/>
      <c r="L240" s="320"/>
      <c r="M240" s="315"/>
      <c r="N240" s="315"/>
      <c r="O240" s="321"/>
      <c r="P240" s="322"/>
      <c r="Q240" s="323"/>
      <c r="R240" s="323"/>
      <c r="S240" s="323">
        <f ca="1">IF(NOT(ISERROR(MATCH(R240,_xlfn.ANCHORARRAY(H243),0))),#REF!&amp;"Por favor no seleccionar los criterios de impacto",R240)</f>
        <v>0</v>
      </c>
      <c r="T240" s="322"/>
      <c r="U240" s="323"/>
      <c r="V240" s="309"/>
      <c r="W240" s="252">
        <v>2</v>
      </c>
      <c r="X240" s="207" t="s">
        <v>767</v>
      </c>
      <c r="Y240" s="250" t="str">
        <f t="shared" si="603"/>
        <v>Probabilidad</v>
      </c>
      <c r="Z240" s="185" t="s">
        <v>208</v>
      </c>
      <c r="AA240" s="185" t="s">
        <v>216</v>
      </c>
      <c r="AB240" s="186" t="str">
        <f t="shared" si="680"/>
        <v>40%</v>
      </c>
      <c r="AC240" s="185" t="s">
        <v>219</v>
      </c>
      <c r="AD240" s="185" t="s">
        <v>224</v>
      </c>
      <c r="AE240" s="185" t="s">
        <v>228</v>
      </c>
      <c r="AF240" s="187">
        <f t="shared" ref="AF240:AF241" si="683">IFERROR(IF(AND(Y239="Probabilidad",Y240="Probabilidad"),(AH239-(+AH239*AB240)),IF(Y240="Probabilidad",(Q239-(+Q239*AB240)),IF(Y240="Impacto",AH239,""))),"")</f>
        <v>0.216</v>
      </c>
      <c r="AG240" s="188" t="str">
        <f t="shared" si="605"/>
        <v>Baja</v>
      </c>
      <c r="AH240" s="186">
        <f t="shared" si="606"/>
        <v>0.216</v>
      </c>
      <c r="AI240" s="188" t="str">
        <f t="shared" ca="1" si="607"/>
        <v>Moderado</v>
      </c>
      <c r="AJ240" s="186">
        <f t="shared" ref="AJ240" ca="1" si="684">IFERROR(IF(AND(Y239="Impacto",Y240="Impacto"),(AJ239-(+AJ239*AB240)),IF(Y240="Impacto",(U239-(+U239*AB240)),IF(Y240="Probabilidad",AJ239,""))),"")</f>
        <v>0.6</v>
      </c>
      <c r="AK240" s="189" t="str">
        <f t="shared" ca="1" si="609"/>
        <v>Moderado</v>
      </c>
      <c r="AL240" s="185" t="s">
        <v>255</v>
      </c>
      <c r="AM240" s="246"/>
      <c r="AN240" s="250"/>
      <c r="AO240" s="245"/>
      <c r="AP240" s="245"/>
      <c r="AQ240" s="246"/>
      <c r="AR240" s="247"/>
    </row>
    <row r="241" spans="1:44" s="191" customFormat="1" ht="161.25" customHeight="1" thickTop="1" thickBot="1" x14ac:dyDescent="0.3">
      <c r="A241" s="310"/>
      <c r="B241" s="311"/>
      <c r="C241" s="314"/>
      <c r="D241" s="315"/>
      <c r="E241" s="317"/>
      <c r="F241" s="318"/>
      <c r="G241" s="318"/>
      <c r="H241" s="319"/>
      <c r="I241" s="320"/>
      <c r="J241" s="320"/>
      <c r="K241" s="320"/>
      <c r="L241" s="320"/>
      <c r="M241" s="315"/>
      <c r="N241" s="315"/>
      <c r="O241" s="321"/>
      <c r="P241" s="322"/>
      <c r="Q241" s="323"/>
      <c r="R241" s="323"/>
      <c r="S241" s="323">
        <f ca="1">IF(NOT(ISERROR(MATCH(R241,_xlfn.ANCHORARRAY(H244),0))),#REF!&amp;"Por favor no seleccionar los criterios de impacto",R241)</f>
        <v>0</v>
      </c>
      <c r="T241" s="322"/>
      <c r="U241" s="323"/>
      <c r="V241" s="309"/>
      <c r="W241" s="252">
        <v>3</v>
      </c>
      <c r="X241" s="207" t="s">
        <v>768</v>
      </c>
      <c r="Y241" s="250" t="str">
        <f t="shared" si="603"/>
        <v>Impacto</v>
      </c>
      <c r="Z241" s="185" t="s">
        <v>212</v>
      </c>
      <c r="AA241" s="185" t="s">
        <v>216</v>
      </c>
      <c r="AB241" s="186" t="str">
        <f t="shared" si="680"/>
        <v>25%</v>
      </c>
      <c r="AC241" s="185" t="s">
        <v>222</v>
      </c>
      <c r="AD241" s="185" t="s">
        <v>224</v>
      </c>
      <c r="AE241" s="185" t="s">
        <v>228</v>
      </c>
      <c r="AF241" s="187">
        <f t="shared" si="683"/>
        <v>0.216</v>
      </c>
      <c r="AG241" s="188" t="str">
        <f t="shared" si="605"/>
        <v>Baja</v>
      </c>
      <c r="AH241" s="186">
        <f t="shared" si="606"/>
        <v>0.216</v>
      </c>
      <c r="AI241" s="188" t="str">
        <f t="shared" ca="1" si="607"/>
        <v>Moderado</v>
      </c>
      <c r="AJ241" s="186">
        <f t="shared" ref="AJ241" ca="1" si="685">IFERROR(IF(AND(Y240="Impacto",Y241="Impacto"),(AJ240-(+AJ240*AB241)),IF(AND(Y240="Probabilidad",Y241="Impacto"),(AJ239-(+AJ239*AB241)),IF(Y241="Probabilidad",AJ240,""))),"")</f>
        <v>0.44999999999999996</v>
      </c>
      <c r="AK241" s="189" t="str">
        <f t="shared" ca="1" si="609"/>
        <v>Moderado</v>
      </c>
      <c r="AL241" s="185" t="s">
        <v>255</v>
      </c>
      <c r="AM241" s="246"/>
      <c r="AN241" s="250"/>
      <c r="AO241" s="245"/>
      <c r="AP241" s="245"/>
      <c r="AQ241" s="246"/>
      <c r="AR241" s="247"/>
    </row>
    <row r="242" spans="1:44" s="191" customFormat="1" ht="276.75" customHeight="1" thickTop="1" thickBot="1" x14ac:dyDescent="0.3">
      <c r="A242" s="244">
        <v>96</v>
      </c>
      <c r="B242" s="262" t="s">
        <v>906</v>
      </c>
      <c r="C242" s="246" t="s">
        <v>280</v>
      </c>
      <c r="D242" s="246" t="s">
        <v>907</v>
      </c>
      <c r="E242" s="246" t="s">
        <v>238</v>
      </c>
      <c r="F242" s="254" t="s">
        <v>908</v>
      </c>
      <c r="G242" s="254" t="s">
        <v>909</v>
      </c>
      <c r="H242" s="255" t="s">
        <v>1156</v>
      </c>
      <c r="I242" s="242" t="s">
        <v>474</v>
      </c>
      <c r="J242" s="242" t="s">
        <v>474</v>
      </c>
      <c r="K242" s="242" t="s">
        <v>474</v>
      </c>
      <c r="L242" s="242" t="s">
        <v>474</v>
      </c>
      <c r="M242" s="246" t="s">
        <v>239</v>
      </c>
      <c r="N242" s="246"/>
      <c r="O242" s="250">
        <v>1</v>
      </c>
      <c r="P242" s="251" t="str">
        <f t="shared" si="642"/>
        <v>Muy Baja</v>
      </c>
      <c r="Q242" s="243">
        <f t="shared" si="643"/>
        <v>0.2</v>
      </c>
      <c r="R242" s="243" t="s">
        <v>187</v>
      </c>
      <c r="S242" s="243" t="str">
        <f ca="1">IF(NOT(ISERROR(MATCH(R242,'Tabla Impacto'!$B$221:$B$223,0))),'Tabla Impacto'!$F$223&amp;"Por favor no seleccionar los criterios de impacto(Afectación Económica o presupuestal y Pérdida Reputacional)",R242)</f>
        <v>El riesgo afecta la imagen de la entidad internamente, de conocimiento general, nivel interno, de junta dircetiva y accionistas y/o de provedores</v>
      </c>
      <c r="T242" s="251" t="str">
        <f ca="1">+IF(OR(S242='[1]Tabla Impacto'!$C$11,S242='[1]Tabla Impacto'!$D$11),"Leve",IF(OR(S242='[1]Tabla Impacto'!$C$12,S242='[1]Tabla Impacto'!$D$12),"Menor",IF(OR(S242='[1]Tabla Impacto'!$C$13,S242='[1]Tabla Impacto'!$D$13),"Moderado",IF(OR(S242='[1]Tabla Impacto'!$C$14,S242='[1]Tabla Impacto'!$D$14),"Mayor",IF(OR(S242='[1]Tabla Impacto'!$C$15,S242='[1]Tabla Impacto'!$D$15),"Catastrófico","")))))</f>
        <v>Menor</v>
      </c>
      <c r="U242" s="243">
        <f t="shared" ref="U242" ca="1" si="686">IF(T242="","",IF(T242="Leve",0.2,IF(T242="Menor",0.4,IF(T242="Moderado",0.6,IF(T242="Mayor",0.8,IF(T242="Catastrófico",1,))))))</f>
        <v>0.4</v>
      </c>
      <c r="V242" s="252" t="str">
        <f t="shared" ref="V242" ca="1" si="687">IF(OR(AND(P242="Muy Baja",T242="Leve"),AND(P242="Muy Baja",T242="Menor"),AND(P242="Baja",T242="Leve")),"Bajo",IF(OR(AND(P242="Muy baja",T242="Moderado"),AND(P242="Baja",T242="Menor"),AND(P242="Baja",T242="Moderado"),AND(P242="Media",T242="Leve"),AND(P242="Media",T242="Menor"),AND(P242="Media",T242="Moderado"),AND(P242="Alta",T242="Leve"),AND(P242="Alta",T242="Menor")),"Moderado",IF(OR(AND(P242="Muy Baja",T242="Mayor"),AND(P242="Baja",T242="Mayor"),AND(P242="Media",T242="Mayor"),AND(P242="Alta",T242="Moderado"),AND(P242="Alta",T242="Mayor"),AND(P242="Muy Alta",T242="Leve"),AND(P242="Muy Alta",T242="Menor"),AND(P242="Muy Alta",T242="Moderado"),AND(P242="Muy Alta",T242="Mayor")),"Alto",IF(OR(AND(P242="Muy Baja",T242="Catastrófico"),AND(P242="Baja",T242="Catastrófico"),AND(P242="Media",T242="Catastrófico"),AND(P242="Alta",T242="Catastrófico"),AND(P242="Muy Alta",T242="Catastrófico")),"Extremo",""))))</f>
        <v>Bajo</v>
      </c>
      <c r="W242" s="252">
        <v>1</v>
      </c>
      <c r="X242" s="207" t="s">
        <v>1045</v>
      </c>
      <c r="Y242" s="250" t="str">
        <f t="shared" si="603"/>
        <v>Probabilidad</v>
      </c>
      <c r="Z242" s="185" t="s">
        <v>208</v>
      </c>
      <c r="AA242" s="185" t="s">
        <v>216</v>
      </c>
      <c r="AB242" s="186" t="str">
        <f t="shared" si="626"/>
        <v>40%</v>
      </c>
      <c r="AC242" s="185" t="s">
        <v>219</v>
      </c>
      <c r="AD242" s="185" t="s">
        <v>224</v>
      </c>
      <c r="AE242" s="185" t="s">
        <v>228</v>
      </c>
      <c r="AF242" s="187">
        <f t="shared" ref="AF242" si="688">IFERROR(IF(Y242="Probabilidad",(Q242-(+Q242*AB242)),IF(Y242="Impacto",Q242,"")),"")</f>
        <v>0.12</v>
      </c>
      <c r="AG242" s="188" t="str">
        <f t="shared" si="605"/>
        <v>Muy Baja</v>
      </c>
      <c r="AH242" s="186">
        <f t="shared" si="606"/>
        <v>0.12</v>
      </c>
      <c r="AI242" s="188" t="str">
        <f t="shared" ca="1" si="607"/>
        <v>Menor</v>
      </c>
      <c r="AJ242" s="186">
        <f t="shared" ref="AJ242" ca="1" si="689">IFERROR(IF(Y242="Impacto",(U242-(+U242*AB242)),IF(Y242="Probabilidad",U242,"")),"")</f>
        <v>0.4</v>
      </c>
      <c r="AK242" s="189" t="str">
        <f t="shared" ca="1" si="609"/>
        <v>Bajo</v>
      </c>
      <c r="AL242" s="185" t="s">
        <v>255</v>
      </c>
      <c r="AM242" s="246"/>
      <c r="AN242" s="250"/>
      <c r="AO242" s="245"/>
      <c r="AP242" s="245"/>
      <c r="AQ242" s="246"/>
      <c r="AR242" s="247"/>
    </row>
    <row r="243" spans="1:44" s="191" customFormat="1" ht="203.25" customHeight="1" thickTop="1" thickBot="1" x14ac:dyDescent="0.3">
      <c r="A243" s="310">
        <v>97</v>
      </c>
      <c r="B243" s="311" t="s">
        <v>910</v>
      </c>
      <c r="C243" s="315" t="s">
        <v>280</v>
      </c>
      <c r="D243" s="315" t="s">
        <v>907</v>
      </c>
      <c r="E243" s="315" t="s">
        <v>238</v>
      </c>
      <c r="F243" s="332" t="s">
        <v>911</v>
      </c>
      <c r="G243" s="332" t="s">
        <v>912</v>
      </c>
      <c r="H243" s="333" t="s">
        <v>1193</v>
      </c>
      <c r="I243" s="320" t="s">
        <v>474</v>
      </c>
      <c r="J243" s="320" t="s">
        <v>474</v>
      </c>
      <c r="K243" s="320" t="s">
        <v>474</v>
      </c>
      <c r="L243" s="320" t="s">
        <v>474</v>
      </c>
      <c r="M243" s="315" t="s">
        <v>239</v>
      </c>
      <c r="N243" s="315"/>
      <c r="O243" s="321">
        <v>30</v>
      </c>
      <c r="P243" s="322" t="str">
        <f t="shared" si="642"/>
        <v>Media</v>
      </c>
      <c r="Q243" s="323">
        <f t="shared" si="643"/>
        <v>0.6</v>
      </c>
      <c r="R243" s="323" t="s">
        <v>187</v>
      </c>
      <c r="S243" s="323" t="str">
        <f ca="1">IF(NOT(ISERROR(MATCH(R243,'Tabla Impacto'!$B$221:$B$223,0))),'Tabla Impacto'!$F$223&amp;"Por favor no seleccionar los criterios de impacto(Afectación Económica o presupuestal y Pérdida Reputacional)",R243)</f>
        <v>El riesgo afecta la imagen de la entidad internamente, de conocimiento general, nivel interno, de junta dircetiva y accionistas y/o de provedores</v>
      </c>
      <c r="T243" s="322" t="str">
        <f ca="1">+IF(OR(S243='[1]Tabla Impacto'!$C$11,S243='[1]Tabla Impacto'!$D$11),"Leve",IF(OR(S243='[1]Tabla Impacto'!$C$12,S243='[1]Tabla Impacto'!$D$12),"Menor",IF(OR(S243='[1]Tabla Impacto'!$C$13,S243='[1]Tabla Impacto'!$D$13),"Moderado",IF(OR(S243='[1]Tabla Impacto'!$C$14,S243='[1]Tabla Impacto'!$D$14),"Mayor",IF(OR(S243='[1]Tabla Impacto'!$C$15,S243='[1]Tabla Impacto'!$D$15),"Catastrófico","")))))</f>
        <v>Menor</v>
      </c>
      <c r="U243" s="323">
        <f t="shared" ref="U243" ca="1" si="690">IF(T243="","",IF(T243="Leve",0.2,IF(T243="Menor",0.4,IF(T243="Moderado",0.6,IF(T243="Mayor",0.8,IF(T243="Catastrófico",1,))))))</f>
        <v>0.4</v>
      </c>
      <c r="V243" s="309" t="str">
        <f t="shared" ref="V243" ca="1" si="691">IF(OR(AND(P243="Muy Baja",T243="Leve"),AND(P243="Muy Baja",T243="Menor"),AND(P243="Baja",T243="Leve")),"Bajo",IF(OR(AND(P243="Muy baja",T243="Moderado"),AND(P243="Baja",T243="Menor"),AND(P243="Baja",T243="Moderado"),AND(P243="Media",T243="Leve"),AND(P243="Media",T243="Menor"),AND(P243="Media",T243="Moderado"),AND(P243="Alta",T243="Leve"),AND(P243="Alta",T243="Menor")),"Moderado",IF(OR(AND(P243="Muy Baja",T243="Mayor"),AND(P243="Baja",T243="Mayor"),AND(P243="Media",T243="Mayor"),AND(P243="Alta",T243="Moderado"),AND(P243="Alta",T243="Mayor"),AND(P243="Muy Alta",T243="Leve"),AND(P243="Muy Alta",T243="Menor"),AND(P243="Muy Alta",T243="Moderado"),AND(P243="Muy Alta",T243="Mayor")),"Alto",IF(OR(AND(P243="Muy Baja",T243="Catastrófico"),AND(P243="Baja",T243="Catastrófico"),AND(P243="Media",T243="Catastrófico"),AND(P243="Alta",T243="Catastrófico"),AND(P243="Muy Alta",T243="Catastrófico")),"Extremo",""))))</f>
        <v>Moderado</v>
      </c>
      <c r="W243" s="252">
        <v>1</v>
      </c>
      <c r="X243" s="207" t="s">
        <v>1046</v>
      </c>
      <c r="Y243" s="250" t="str">
        <f t="shared" ref="Y243:Y247" si="692">IF(OR(Z243="Preventivo",Z243="Detectivo"),"Probabilidad",IF(Z243="Correctivo","Impacto",""))</f>
        <v>Probabilidad</v>
      </c>
      <c r="Z243" s="185" t="s">
        <v>208</v>
      </c>
      <c r="AA243" s="185" t="s">
        <v>216</v>
      </c>
      <c r="AB243" s="186" t="str">
        <f t="shared" si="626"/>
        <v>40%</v>
      </c>
      <c r="AC243" s="185" t="s">
        <v>219</v>
      </c>
      <c r="AD243" s="185" t="s">
        <v>224</v>
      </c>
      <c r="AE243" s="185" t="s">
        <v>228</v>
      </c>
      <c r="AF243" s="187">
        <f t="shared" ref="AF243" si="693">IFERROR(IF(Y243="Probabilidad",(Q243-(+Q243*AB243)),IF(Y243="Impacto",Q243,"")),"")</f>
        <v>0.36</v>
      </c>
      <c r="AG243" s="188" t="str">
        <f t="shared" ref="AG243:AG244" si="694">IFERROR(IF(AF243="","",IF(AF243&lt;=0.2,"Muy Baja",IF(AF243&lt;=0.4,"Baja",IF(AF243&lt;=0.6,"Media",IF(AF243&lt;=0.8,"Alta","Muy Alta"))))),"")</f>
        <v>Baja</v>
      </c>
      <c r="AH243" s="186">
        <f t="shared" ref="AH243:AH244" si="695">+AF243</f>
        <v>0.36</v>
      </c>
      <c r="AI243" s="188" t="str">
        <f t="shared" ref="AI243:AI244" ca="1" si="696">IFERROR(IF(AJ243="","",IF(AJ243&lt;=0.2,"Leve",IF(AJ243&lt;=0.4,"Menor",IF(AJ243&lt;=0.6,"Moderado",IF(AJ243&lt;=0.8,"Mayor","Catastrófico"))))),"")</f>
        <v>Menor</v>
      </c>
      <c r="AJ243" s="186">
        <f t="shared" ref="AJ243" ca="1" si="697">IFERROR(IF(Y243="Impacto",(U243-(+U243*AB243)),IF(Y243="Probabilidad",U243,"")),"")</f>
        <v>0.4</v>
      </c>
      <c r="AK243" s="189" t="str">
        <f t="shared" ref="AK243:AK244" ca="1" si="698">IFERROR(IF(OR(AND(AG243="Muy Baja",AI243="Leve"),AND(AG243="Muy Baja",AI243="Menor"),AND(AG243="Baja",AI243="Leve")),"Bajo",IF(OR(AND(AG243="Muy baja",AI243="Moderado"),AND(AG243="Baja",AI243="Menor"),AND(AG243="Baja",AI243="Moderado"),AND(AG243="Media",AI243="Leve"),AND(AG243="Media",AI243="Menor"),AND(AG243="Media",AI243="Moderado"),AND(AG243="Alta",AI243="Leve"),AND(AG243="Alta",AI243="Menor")),"Moderado",IF(OR(AND(AG243="Muy Baja",AI243="Mayor"),AND(AG243="Baja",AI243="Mayor"),AND(AG243="Media",AI243="Mayor"),AND(AG243="Alta",AI243="Moderado"),AND(AG243="Alta",AI243="Mayor"),AND(AG243="Muy Alta",AI243="Leve"),AND(AG243="Muy Alta",AI243="Menor"),AND(AG243="Muy Alta",AI243="Moderado"),AND(AG243="Muy Alta",AI243="Mayor")),"Alto",IF(OR(AND(AG243="Muy Baja",AI243="Catastrófico"),AND(AG243="Baja",AI243="Catastrófico"),AND(AG243="Media",AI243="Catastrófico"),AND(AG243="Alta",AI243="Catastrófico"),AND(AG243="Muy Alta",AI243="Catastrófico")),"Extremo","")))),"")</f>
        <v>Moderado</v>
      </c>
      <c r="AL243" s="185" t="s">
        <v>255</v>
      </c>
      <c r="AM243" s="246"/>
      <c r="AN243" s="250"/>
      <c r="AO243" s="245"/>
      <c r="AP243" s="245"/>
      <c r="AQ243" s="246"/>
      <c r="AR243" s="247"/>
    </row>
    <row r="244" spans="1:44" s="191" customFormat="1" ht="184.5" customHeight="1" thickTop="1" thickBot="1" x14ac:dyDescent="0.3">
      <c r="A244" s="310"/>
      <c r="B244" s="311"/>
      <c r="C244" s="315"/>
      <c r="D244" s="315"/>
      <c r="E244" s="315"/>
      <c r="F244" s="332"/>
      <c r="G244" s="332"/>
      <c r="H244" s="333"/>
      <c r="I244" s="320"/>
      <c r="J244" s="320"/>
      <c r="K244" s="320"/>
      <c r="L244" s="320"/>
      <c r="M244" s="315"/>
      <c r="N244" s="315"/>
      <c r="O244" s="321"/>
      <c r="P244" s="322"/>
      <c r="Q244" s="323"/>
      <c r="R244" s="323"/>
      <c r="S244" s="323">
        <f ca="1">IF(NOT(ISERROR(MATCH(R244,_xlfn.ANCHORARRAY(H254),0))),Q256&amp;"Por favor no seleccionar los criterios de impacto",R244)</f>
        <v>0</v>
      </c>
      <c r="T244" s="322"/>
      <c r="U244" s="323"/>
      <c r="V244" s="309"/>
      <c r="W244" s="252">
        <v>2</v>
      </c>
      <c r="X244" s="207" t="s">
        <v>1047</v>
      </c>
      <c r="Y244" s="250" t="str">
        <f t="shared" si="692"/>
        <v>Probabilidad</v>
      </c>
      <c r="Z244" s="185" t="s">
        <v>208</v>
      </c>
      <c r="AA244" s="185" t="s">
        <v>216</v>
      </c>
      <c r="AB244" s="186" t="str">
        <f t="shared" si="626"/>
        <v>40%</v>
      </c>
      <c r="AC244" s="185" t="s">
        <v>219</v>
      </c>
      <c r="AD244" s="185" t="s">
        <v>224</v>
      </c>
      <c r="AE244" s="185" t="s">
        <v>228</v>
      </c>
      <c r="AF244" s="187">
        <f t="shared" ref="AF244:AF247" si="699">IFERROR(IF(AND(Y243="Probabilidad",Y244="Probabilidad"),(AH243-(+AH243*AB244)),IF(Y244="Probabilidad",(Q243-(+Q243*AB244)),IF(Y244="Impacto",AH243,""))),"")</f>
        <v>0.216</v>
      </c>
      <c r="AG244" s="188" t="str">
        <f t="shared" si="694"/>
        <v>Baja</v>
      </c>
      <c r="AH244" s="186">
        <f t="shared" si="695"/>
        <v>0.216</v>
      </c>
      <c r="AI244" s="188" t="str">
        <f t="shared" ca="1" si="696"/>
        <v>Menor</v>
      </c>
      <c r="AJ244" s="186">
        <f t="shared" ref="AJ244" ca="1" si="700">IFERROR(IF(AND(Y243="Impacto",Y244="Impacto"),(AJ243-(+AJ243*AB244)),IF(Y244="Impacto",(U243-(+U243*AB244)),IF(Y244="Probabilidad",AJ243,""))),"")</f>
        <v>0.4</v>
      </c>
      <c r="AK244" s="189" t="str">
        <f t="shared" ca="1" si="698"/>
        <v>Moderado</v>
      </c>
      <c r="AL244" s="185" t="s">
        <v>255</v>
      </c>
      <c r="AM244" s="246"/>
      <c r="AN244" s="250"/>
      <c r="AO244" s="245"/>
      <c r="AP244" s="245"/>
      <c r="AQ244" s="246"/>
      <c r="AR244" s="247"/>
    </row>
    <row r="245" spans="1:44" s="191" customFormat="1" ht="260.25" customHeight="1" thickTop="1" thickBot="1" x14ac:dyDescent="0.3">
      <c r="A245" s="244">
        <v>98</v>
      </c>
      <c r="B245" s="262" t="s">
        <v>913</v>
      </c>
      <c r="C245" s="246" t="s">
        <v>280</v>
      </c>
      <c r="D245" s="246" t="s">
        <v>907</v>
      </c>
      <c r="E245" s="246" t="s">
        <v>238</v>
      </c>
      <c r="F245" s="254" t="s">
        <v>1077</v>
      </c>
      <c r="G245" s="254" t="s">
        <v>914</v>
      </c>
      <c r="H245" s="255" t="s">
        <v>1157</v>
      </c>
      <c r="I245" s="242" t="s">
        <v>474</v>
      </c>
      <c r="J245" s="242" t="s">
        <v>474</v>
      </c>
      <c r="K245" s="242" t="s">
        <v>474</v>
      </c>
      <c r="L245" s="242" t="s">
        <v>474</v>
      </c>
      <c r="M245" s="246" t="s">
        <v>239</v>
      </c>
      <c r="N245" s="246"/>
      <c r="O245" s="250">
        <v>71</v>
      </c>
      <c r="P245" s="251" t="str">
        <f t="shared" ref="P245" si="701">IF(O245&lt;=0,"",IF(O245&lt;=2,"Muy Baja",IF(O245&lt;=24,"Baja",IF(O245&lt;=500,"Media",IF(O245&lt;=5000,"Alta","Muy Alta")))))</f>
        <v>Media</v>
      </c>
      <c r="Q245" s="243">
        <f t="shared" ref="Q245" si="702">IF(P245="","",IF(P245="Muy Baja",0.2,IF(P245="Baja",0.4,IF(P245="Media",0.6,IF(P245="Alta",0.8,IF(P245="Muy Alta",1,))))))</f>
        <v>0.6</v>
      </c>
      <c r="R245" s="243" t="s">
        <v>187</v>
      </c>
      <c r="S245" s="243" t="str">
        <f ca="1">IF(NOT(ISERROR(MATCH(R245,'Tabla Impacto'!$B$221:$B$223,0))),'Tabla Impacto'!$F$223&amp;"Por favor no seleccionar los criterios de impacto(Afectación Económica o presupuestal y Pérdida Reputacional)",R245)</f>
        <v>El riesgo afecta la imagen de la entidad internamente, de conocimiento general, nivel interno, de junta dircetiva y accionistas y/o de provedores</v>
      </c>
      <c r="T245" s="251" t="str">
        <f ca="1">+IF(OR(S245='[1]Tabla Impacto'!$C$11,S245='[1]Tabla Impacto'!$D$11),"Leve",IF(OR(S245='[1]Tabla Impacto'!$C$12,S245='[1]Tabla Impacto'!$D$12),"Menor",IF(OR(S245='[1]Tabla Impacto'!$C$13,S245='[1]Tabla Impacto'!$D$13),"Moderado",IF(OR(S245='[1]Tabla Impacto'!$C$14,S245='[1]Tabla Impacto'!$D$14),"Mayor",IF(OR(S245='[1]Tabla Impacto'!$C$15,S245='[1]Tabla Impacto'!$D$15),"Catastrófico","")))))</f>
        <v>Menor</v>
      </c>
      <c r="U245" s="243">
        <f t="shared" ref="U245" ca="1" si="703">IF(T245="","",IF(T245="Leve",0.2,IF(T245="Menor",0.4,IF(T245="Moderado",0.6,IF(T245="Mayor",0.8,IF(T245="Catastrófico",1,))))))</f>
        <v>0.4</v>
      </c>
      <c r="V245" s="252" t="str">
        <f t="shared" ref="V245" ca="1" si="704">IF(OR(AND(P245="Muy Baja",T245="Leve"),AND(P245="Muy Baja",T245="Menor"),AND(P245="Baja",T245="Leve")),"Bajo",IF(OR(AND(P245="Muy baja",T245="Moderado"),AND(P245="Baja",T245="Menor"),AND(P245="Baja",T245="Moderado"),AND(P245="Media",T245="Leve"),AND(P245="Media",T245="Menor"),AND(P245="Media",T245="Moderado"),AND(P245="Alta",T245="Leve"),AND(P245="Alta",T245="Menor")),"Moderado",IF(OR(AND(P245="Muy Baja",T245="Mayor"),AND(P245="Baja",T245="Mayor"),AND(P245="Media",T245="Mayor"),AND(P245="Alta",T245="Moderado"),AND(P245="Alta",T245="Mayor"),AND(P245="Muy Alta",T245="Leve"),AND(P245="Muy Alta",T245="Menor"),AND(P245="Muy Alta",T245="Moderado"),AND(P245="Muy Alta",T245="Mayor")),"Alto",IF(OR(AND(P245="Muy Baja",T245="Catastrófico"),AND(P245="Baja",T245="Catastrófico"),AND(P245="Media",T245="Catastrófico"),AND(P245="Alta",T245="Catastrófico"),AND(P245="Muy Alta",T245="Catastrófico")),"Extremo",""))))</f>
        <v>Moderado</v>
      </c>
      <c r="W245" s="252">
        <v>1</v>
      </c>
      <c r="X245" s="207" t="s">
        <v>1048</v>
      </c>
      <c r="Y245" s="250" t="str">
        <f t="shared" si="692"/>
        <v>Probabilidad</v>
      </c>
      <c r="Z245" s="185" t="s">
        <v>208</v>
      </c>
      <c r="AA245" s="185" t="s">
        <v>216</v>
      </c>
      <c r="AB245" s="186" t="str">
        <f t="shared" si="626"/>
        <v>40%</v>
      </c>
      <c r="AC245" s="185" t="s">
        <v>219</v>
      </c>
      <c r="AD245" s="185" t="s">
        <v>224</v>
      </c>
      <c r="AE245" s="185" t="s">
        <v>228</v>
      </c>
      <c r="AF245" s="187">
        <f t="shared" ref="AF245" si="705">IFERROR(IF(Y245="Probabilidad",(Q245-(+Q245*AB245)),IF(Y245="Impacto",Q245,"")),"")</f>
        <v>0.36</v>
      </c>
      <c r="AG245" s="188" t="str">
        <f t="shared" ref="AG245" si="706">IFERROR(IF(AF245="","",IF(AF245&lt;=0.2,"Muy Baja",IF(AF245&lt;=0.4,"Baja",IF(AF245&lt;=0.6,"Media",IF(AF245&lt;=0.8,"Alta","Muy Alta"))))),"")</f>
        <v>Baja</v>
      </c>
      <c r="AH245" s="186">
        <f t="shared" ref="AH245" si="707">+AF245</f>
        <v>0.36</v>
      </c>
      <c r="AI245" s="188" t="str">
        <f t="shared" ref="AI245" ca="1" si="708">IFERROR(IF(AJ245="","",IF(AJ245&lt;=0.2,"Leve",IF(AJ245&lt;=0.4,"Menor",IF(AJ245&lt;=0.6,"Moderado",IF(AJ245&lt;=0.8,"Mayor","Catastrófico"))))),"")</f>
        <v>Menor</v>
      </c>
      <c r="AJ245" s="186">
        <f t="shared" ref="AJ245" ca="1" si="709">IFERROR(IF(Y245="Impacto",(U245-(+U245*AB245)),IF(Y245="Probabilidad",U245,"")),"")</f>
        <v>0.4</v>
      </c>
      <c r="AK245" s="189" t="str">
        <f t="shared" ref="AK245" ca="1" si="710">IFERROR(IF(OR(AND(AG245="Muy Baja",AI245="Leve"),AND(AG245="Muy Baja",AI245="Menor"),AND(AG245="Baja",AI245="Leve")),"Bajo",IF(OR(AND(AG245="Muy baja",AI245="Moderado"),AND(AG245="Baja",AI245="Menor"),AND(AG245="Baja",AI245="Moderado"),AND(AG245="Media",AI245="Leve"),AND(AG245="Media",AI245="Menor"),AND(AG245="Media",AI245="Moderado"),AND(AG245="Alta",AI245="Leve"),AND(AG245="Alta",AI245="Menor")),"Moderado",IF(OR(AND(AG245="Muy Baja",AI245="Mayor"),AND(AG245="Baja",AI245="Mayor"),AND(AG245="Media",AI245="Mayor"),AND(AG245="Alta",AI245="Moderado"),AND(AG245="Alta",AI245="Mayor"),AND(AG245="Muy Alta",AI245="Leve"),AND(AG245="Muy Alta",AI245="Menor"),AND(AG245="Muy Alta",AI245="Moderado"),AND(AG245="Muy Alta",AI245="Mayor")),"Alto",IF(OR(AND(AG245="Muy Baja",AI245="Catastrófico"),AND(AG245="Baja",AI245="Catastrófico"),AND(AG245="Media",AI245="Catastrófico"),AND(AG245="Alta",AI245="Catastrófico"),AND(AG245="Muy Alta",AI245="Catastrófico")),"Extremo","")))),"")</f>
        <v>Moderado</v>
      </c>
      <c r="AL245" s="185" t="s">
        <v>255</v>
      </c>
      <c r="AM245" s="246"/>
      <c r="AN245" s="250"/>
      <c r="AO245" s="245"/>
      <c r="AP245" s="245"/>
      <c r="AQ245" s="246"/>
      <c r="AR245" s="247"/>
    </row>
    <row r="246" spans="1:44" s="191" customFormat="1" ht="225.75" customHeight="1" thickTop="1" thickBot="1" x14ac:dyDescent="0.3">
      <c r="A246" s="310">
        <v>99</v>
      </c>
      <c r="B246" s="311" t="s">
        <v>915</v>
      </c>
      <c r="C246" s="315" t="s">
        <v>280</v>
      </c>
      <c r="D246" s="315" t="s">
        <v>907</v>
      </c>
      <c r="E246" s="315" t="s">
        <v>240</v>
      </c>
      <c r="F246" s="332" t="s">
        <v>809</v>
      </c>
      <c r="G246" s="332" t="s">
        <v>916</v>
      </c>
      <c r="H246" s="333" t="s">
        <v>1167</v>
      </c>
      <c r="I246" s="320" t="s">
        <v>593</v>
      </c>
      <c r="J246" s="320" t="s">
        <v>593</v>
      </c>
      <c r="K246" s="320" t="s">
        <v>593</v>
      </c>
      <c r="L246" s="320" t="s">
        <v>593</v>
      </c>
      <c r="M246" s="331" t="s">
        <v>244</v>
      </c>
      <c r="N246" s="315"/>
      <c r="O246" s="321">
        <v>71</v>
      </c>
      <c r="P246" s="322" t="str">
        <f t="shared" ref="P246" si="711">IF(O246&lt;=0,"",IF(O246&lt;=2,"Muy Baja",IF(O246&lt;=24,"Baja",IF(O246&lt;=500,"Media",IF(O246&lt;=5000,"Alta","Muy Alta")))))</f>
        <v>Media</v>
      </c>
      <c r="Q246" s="323">
        <f t="shared" ref="Q246" si="712">IF(P246="","",IF(P246="Muy Baja",0.2,IF(P246="Baja",0.4,IF(P246="Media",0.6,IF(P246="Alta",0.8,IF(P246="Muy Alta",1,))))))</f>
        <v>0.6</v>
      </c>
      <c r="R246" s="323" t="s">
        <v>193</v>
      </c>
      <c r="S246" s="323" t="str">
        <f ca="1">IF(NOT(ISERROR(MATCH(R246,'Tabla Impacto'!$B$221:$B$223,0))),'Tabla Impacto'!$F$223&amp;"Por favor no seleccionar los criterios de impacto(Afectación Económica o presupuestal y Pérdida Reputacional)",R246)</f>
        <v>El riesgo afecta la imagen de de la entidad con efecto publicitario sostenido a nivel de sector administrativo, nivel departamental o municipal</v>
      </c>
      <c r="T246" s="322" t="str">
        <f ca="1">+IF(OR(S246='[1]Tabla Impacto'!$C$11,S246='[1]Tabla Impacto'!$D$11),"Leve",IF(OR(S246='[1]Tabla Impacto'!$C$12,S246='[1]Tabla Impacto'!$D$12),"Menor",IF(OR(S246='[1]Tabla Impacto'!$C$13,S246='[1]Tabla Impacto'!$D$13),"Moderado",IF(OR(S246='[1]Tabla Impacto'!$C$14,S246='[1]Tabla Impacto'!$D$14),"Mayor",IF(OR(S246='[1]Tabla Impacto'!$C$15,S246='[1]Tabla Impacto'!$D$15),"Catastrófico","")))))</f>
        <v>Mayor</v>
      </c>
      <c r="U246" s="323">
        <f t="shared" ref="U246" ca="1" si="713">IF(T246="","",IF(T246="Leve",0.2,IF(T246="Menor",0.4,IF(T246="Moderado",0.6,IF(T246="Mayor",0.8,IF(T246="Catastrófico",1,))))))</f>
        <v>0.8</v>
      </c>
      <c r="V246" s="309" t="str">
        <f t="shared" ref="V246" ca="1" si="714">IF(OR(AND(P246="Muy Baja",T246="Leve"),AND(P246="Muy Baja",T246="Menor"),AND(P246="Baja",T246="Leve")),"Bajo",IF(OR(AND(P246="Muy baja",T246="Moderado"),AND(P246="Baja",T246="Menor"),AND(P246="Baja",T246="Moderado"),AND(P246="Media",T246="Leve"),AND(P246="Media",T246="Menor"),AND(P246="Media",T246="Moderado"),AND(P246="Alta",T246="Leve"),AND(P246="Alta",T246="Menor")),"Moderado",IF(OR(AND(P246="Muy Baja",T246="Mayor"),AND(P246="Baja",T246="Mayor"),AND(P246="Media",T246="Mayor"),AND(P246="Alta",T246="Moderado"),AND(P246="Alta",T246="Mayor"),AND(P246="Muy Alta",T246="Leve"),AND(P246="Muy Alta",T246="Menor"),AND(P246="Muy Alta",T246="Moderado"),AND(P246="Muy Alta",T246="Mayor")),"Alto",IF(OR(AND(P246="Muy Baja",T246="Catastrófico"),AND(P246="Baja",T246="Catastrófico"),AND(P246="Media",T246="Catastrófico"),AND(P246="Alta",T246="Catastrófico"),AND(P246="Muy Alta",T246="Catastrófico")),"Extremo",""))))</f>
        <v>Alto</v>
      </c>
      <c r="W246" s="252">
        <v>1</v>
      </c>
      <c r="X246" s="207" t="s">
        <v>1049</v>
      </c>
      <c r="Y246" s="250" t="str">
        <f t="shared" si="692"/>
        <v>Probabilidad</v>
      </c>
      <c r="Z246" s="185" t="s">
        <v>208</v>
      </c>
      <c r="AA246" s="185" t="s">
        <v>216</v>
      </c>
      <c r="AB246" s="186" t="str">
        <f t="shared" si="626"/>
        <v>40%</v>
      </c>
      <c r="AC246" s="185" t="s">
        <v>219</v>
      </c>
      <c r="AD246" s="185" t="s">
        <v>224</v>
      </c>
      <c r="AE246" s="185" t="s">
        <v>228</v>
      </c>
      <c r="AF246" s="187">
        <f t="shared" ref="AF246" si="715">IFERROR(IF(Y246="Probabilidad",(Q246-(+Q246*AB246)),IF(Y246="Impacto",Q246,"")),"")</f>
        <v>0.36</v>
      </c>
      <c r="AG246" s="188" t="str">
        <f t="shared" ref="AG246:AG247" si="716">IFERROR(IF(AF246="","",IF(AF246&lt;=0.2,"Muy Baja",IF(AF246&lt;=0.4,"Baja",IF(AF246&lt;=0.6,"Media",IF(AF246&lt;=0.8,"Alta","Muy Alta"))))),"")</f>
        <v>Baja</v>
      </c>
      <c r="AH246" s="186">
        <f t="shared" ref="AH246:AH247" si="717">+AF246</f>
        <v>0.36</v>
      </c>
      <c r="AI246" s="188" t="str">
        <f t="shared" ref="AI246:AI247" ca="1" si="718">IFERROR(IF(AJ246="","",IF(AJ246&lt;=0.2,"Leve",IF(AJ246&lt;=0.4,"Menor",IF(AJ246&lt;=0.6,"Moderado",IF(AJ246&lt;=0.8,"Mayor","Catastrófico"))))),"")</f>
        <v>Mayor</v>
      </c>
      <c r="AJ246" s="186">
        <f t="shared" ref="AJ246" ca="1" si="719">IFERROR(IF(Y246="Impacto",(U246-(+U246*AB246)),IF(Y246="Probabilidad",U246,"")),"")</f>
        <v>0.8</v>
      </c>
      <c r="AK246" s="189" t="str">
        <f t="shared" ref="AK246:AK247" ca="1" si="720">IFERROR(IF(OR(AND(AG246="Muy Baja",AI246="Leve"),AND(AG246="Muy Baja",AI246="Menor"),AND(AG246="Baja",AI246="Leve")),"Bajo",IF(OR(AND(AG246="Muy baja",AI246="Moderado"),AND(AG246="Baja",AI246="Menor"),AND(AG246="Baja",AI246="Moderado"),AND(AG246="Media",AI246="Leve"),AND(AG246="Media",AI246="Menor"),AND(AG246="Media",AI246="Moderado"),AND(AG246="Alta",AI246="Leve"),AND(AG246="Alta",AI246="Menor")),"Moderado",IF(OR(AND(AG246="Muy Baja",AI246="Mayor"),AND(AG246="Baja",AI246="Mayor"),AND(AG246="Media",AI246="Mayor"),AND(AG246="Alta",AI246="Moderado"),AND(AG246="Alta",AI246="Mayor"),AND(AG246="Muy Alta",AI246="Leve"),AND(AG246="Muy Alta",AI246="Menor"),AND(AG246="Muy Alta",AI246="Moderado"),AND(AG246="Muy Alta",AI246="Mayor")),"Alto",IF(OR(AND(AG246="Muy Baja",AI246="Catastrófico"),AND(AG246="Baja",AI246="Catastrófico"),AND(AG246="Media",AI246="Catastrófico"),AND(AG246="Alta",AI246="Catastrófico"),AND(AG246="Muy Alta",AI246="Catastrófico")),"Extremo","")))),"")</f>
        <v>Alto</v>
      </c>
      <c r="AL246" s="185" t="s">
        <v>262</v>
      </c>
      <c r="AM246" s="246" t="s">
        <v>917</v>
      </c>
      <c r="AN246" s="250" t="s">
        <v>918</v>
      </c>
      <c r="AO246" s="245">
        <v>45659</v>
      </c>
      <c r="AP246" s="245" t="s">
        <v>527</v>
      </c>
      <c r="AQ246" s="246" t="s">
        <v>919</v>
      </c>
      <c r="AR246" s="247" t="s">
        <v>259</v>
      </c>
    </row>
    <row r="247" spans="1:44" s="191" customFormat="1" ht="251.25" customHeight="1" thickTop="1" thickBot="1" x14ac:dyDescent="0.3">
      <c r="A247" s="310"/>
      <c r="B247" s="311"/>
      <c r="C247" s="315"/>
      <c r="D247" s="315"/>
      <c r="E247" s="315"/>
      <c r="F247" s="332"/>
      <c r="G247" s="332"/>
      <c r="H247" s="333"/>
      <c r="I247" s="320"/>
      <c r="J247" s="320"/>
      <c r="K247" s="320"/>
      <c r="L247" s="320"/>
      <c r="M247" s="331"/>
      <c r="N247" s="315"/>
      <c r="O247" s="321"/>
      <c r="P247" s="322"/>
      <c r="Q247" s="323"/>
      <c r="R247" s="323"/>
      <c r="S247" s="323">
        <f ca="1">IF(NOT(ISERROR(MATCH(R247,_xlfn.ANCHORARRAY(H266),0))),Q268&amp;"Por favor no seleccionar los criterios de impacto",R247)</f>
        <v>0</v>
      </c>
      <c r="T247" s="322"/>
      <c r="U247" s="323"/>
      <c r="V247" s="309"/>
      <c r="W247" s="252">
        <v>2</v>
      </c>
      <c r="X247" s="207" t="s">
        <v>1050</v>
      </c>
      <c r="Y247" s="250" t="str">
        <f t="shared" si="692"/>
        <v>Probabilidad</v>
      </c>
      <c r="Z247" s="185" t="s">
        <v>208</v>
      </c>
      <c r="AA247" s="185" t="s">
        <v>216</v>
      </c>
      <c r="AB247" s="186" t="str">
        <f t="shared" si="626"/>
        <v>40%</v>
      </c>
      <c r="AC247" s="185" t="s">
        <v>219</v>
      </c>
      <c r="AD247" s="185" t="s">
        <v>224</v>
      </c>
      <c r="AE247" s="185" t="s">
        <v>228</v>
      </c>
      <c r="AF247" s="187">
        <f t="shared" si="699"/>
        <v>0.216</v>
      </c>
      <c r="AG247" s="188" t="str">
        <f t="shared" si="716"/>
        <v>Baja</v>
      </c>
      <c r="AH247" s="186">
        <f t="shared" si="717"/>
        <v>0.216</v>
      </c>
      <c r="AI247" s="188" t="str">
        <f t="shared" ca="1" si="718"/>
        <v>Mayor</v>
      </c>
      <c r="AJ247" s="186">
        <f t="shared" ref="AJ247" ca="1" si="721">IFERROR(IF(AND(Y246="Impacto",Y247="Impacto"),(AJ246-(+AJ246*AB247)),IF(Y247="Impacto",(U246-(+U246*AB247)),IF(Y247="Probabilidad",AJ246,""))),"")</f>
        <v>0.8</v>
      </c>
      <c r="AK247" s="189" t="str">
        <f t="shared" ca="1" si="720"/>
        <v>Alto</v>
      </c>
      <c r="AL247" s="185" t="s">
        <v>262</v>
      </c>
      <c r="AM247" s="246" t="s">
        <v>920</v>
      </c>
      <c r="AN247" s="250" t="s">
        <v>918</v>
      </c>
      <c r="AO247" s="245">
        <v>45660</v>
      </c>
      <c r="AP247" s="245" t="s">
        <v>527</v>
      </c>
      <c r="AQ247" s="246" t="s">
        <v>921</v>
      </c>
      <c r="AR247" s="247" t="s">
        <v>259</v>
      </c>
    </row>
    <row r="248" spans="1:44" ht="69" customHeight="1" thickTop="1" x14ac:dyDescent="0.35">
      <c r="A248" s="197"/>
      <c r="B248" s="218"/>
      <c r="C248" s="197"/>
      <c r="D248" s="219"/>
      <c r="E248" s="370" t="s">
        <v>969</v>
      </c>
      <c r="F248" s="371"/>
      <c r="G248" s="371"/>
      <c r="H248" s="371"/>
      <c r="I248" s="371"/>
      <c r="J248" s="371"/>
      <c r="K248" s="371"/>
      <c r="L248" s="371"/>
      <c r="M248" s="371"/>
      <c r="N248" s="371"/>
      <c r="O248" s="371"/>
      <c r="P248" s="371"/>
      <c r="Q248" s="371"/>
      <c r="R248" s="371"/>
      <c r="S248" s="371"/>
      <c r="T248" s="371"/>
      <c r="U248" s="371"/>
      <c r="V248" s="371"/>
      <c r="W248" s="371"/>
      <c r="X248" s="371"/>
      <c r="Y248" s="371"/>
      <c r="Z248" s="371"/>
      <c r="AA248" s="371"/>
      <c r="AB248" s="371"/>
      <c r="AC248" s="371"/>
      <c r="AD248" s="371"/>
      <c r="AE248" s="371"/>
      <c r="AF248" s="371"/>
      <c r="AG248" s="371"/>
      <c r="AH248" s="371"/>
      <c r="AI248" s="371"/>
      <c r="AJ248" s="371"/>
      <c r="AK248" s="371"/>
      <c r="AL248" s="371"/>
      <c r="AM248" s="371"/>
      <c r="AN248" s="371"/>
      <c r="AO248" s="371"/>
      <c r="AP248" s="371"/>
      <c r="AQ248" s="371"/>
      <c r="AR248" s="372"/>
    </row>
    <row r="250" spans="1:44" ht="69" customHeight="1" x14ac:dyDescent="0.35">
      <c r="A250" s="179"/>
      <c r="B250" s="180"/>
      <c r="C250" s="198"/>
      <c r="D250" s="198"/>
      <c r="E250" s="199"/>
      <c r="F250" s="179"/>
      <c r="G250" s="179"/>
      <c r="M250" s="179"/>
      <c r="N250" s="179"/>
    </row>
  </sheetData>
  <sheetProtection algorithmName="SHA-512" hashValue="p6usDN7sBwcUHyrXlcjawLKg16dWB5Sadt/3F85tby2zpLnA1LvhlIp5zIYgCuW9Q9JyuNqnpydBo9c1FgRONg==" saltValue="o8BKNo8lx9pbdTgKr5OGhw==" spinCount="100000" sheet="1" objects="1" scenarios="1"/>
  <autoFilter ref="A12:BX248"/>
  <dataConsolidate/>
  <mergeCells count="1754">
    <mergeCell ref="F98:F100"/>
    <mergeCell ref="G98:G100"/>
    <mergeCell ref="H98:H100"/>
    <mergeCell ref="I98:I100"/>
    <mergeCell ref="J98:J100"/>
    <mergeCell ref="K98:K100"/>
    <mergeCell ref="L98:L100"/>
    <mergeCell ref="M98:M100"/>
    <mergeCell ref="N98:N100"/>
    <mergeCell ref="O98:O100"/>
    <mergeCell ref="P98:P100"/>
    <mergeCell ref="Q98:Q100"/>
    <mergeCell ref="L27:L28"/>
    <mergeCell ref="I29:I32"/>
    <mergeCell ref="L165:L166"/>
    <mergeCell ref="I167:I170"/>
    <mergeCell ref="J167:J170"/>
    <mergeCell ref="K167:K170"/>
    <mergeCell ref="L167:L170"/>
    <mergeCell ref="L96:L97"/>
    <mergeCell ref="K40:K41"/>
    <mergeCell ref="L40:L41"/>
    <mergeCell ref="J29:J32"/>
    <mergeCell ref="K38:K39"/>
    <mergeCell ref="L38:L39"/>
    <mergeCell ref="M33:M37"/>
    <mergeCell ref="O29:O32"/>
    <mergeCell ref="P29:P32"/>
    <mergeCell ref="Q29:Q32"/>
    <mergeCell ref="F58:F60"/>
    <mergeCell ref="G58:G60"/>
    <mergeCell ref="H58:H60"/>
    <mergeCell ref="S46:S54"/>
    <mergeCell ref="A27:A28"/>
    <mergeCell ref="I159:I160"/>
    <mergeCell ref="J159:J160"/>
    <mergeCell ref="K159:K160"/>
    <mergeCell ref="L159:L160"/>
    <mergeCell ref="I165:I166"/>
    <mergeCell ref="J165:J166"/>
    <mergeCell ref="K165:K166"/>
    <mergeCell ref="L138:L139"/>
    <mergeCell ref="I141:I142"/>
    <mergeCell ref="J141:J142"/>
    <mergeCell ref="K141:K142"/>
    <mergeCell ref="L141:L142"/>
    <mergeCell ref="I143:I144"/>
    <mergeCell ref="J143:J144"/>
    <mergeCell ref="I154:I155"/>
    <mergeCell ref="J154:J155"/>
    <mergeCell ref="K154:K155"/>
    <mergeCell ref="I145:I146"/>
    <mergeCell ref="I133:I134"/>
    <mergeCell ref="J133:J134"/>
    <mergeCell ref="K133:K134"/>
    <mergeCell ref="L133:L134"/>
    <mergeCell ref="I96:I97"/>
    <mergeCell ref="J96:J97"/>
    <mergeCell ref="K96:K97"/>
    <mergeCell ref="A98:A100"/>
    <mergeCell ref="B98:B100"/>
    <mergeCell ref="C98:C100"/>
    <mergeCell ref="D98:D100"/>
    <mergeCell ref="E98:E100"/>
    <mergeCell ref="AP40:AP41"/>
    <mergeCell ref="AQ40:AQ41"/>
    <mergeCell ref="AR40:AR41"/>
    <mergeCell ref="A46:A54"/>
    <mergeCell ref="B46:B54"/>
    <mergeCell ref="C46:C54"/>
    <mergeCell ref="D46:D54"/>
    <mergeCell ref="E46:E54"/>
    <mergeCell ref="F46:F54"/>
    <mergeCell ref="G46:G54"/>
    <mergeCell ref="H46:H54"/>
    <mergeCell ref="I46:I54"/>
    <mergeCell ref="J46:J54"/>
    <mergeCell ref="K46:K54"/>
    <mergeCell ref="L46:L54"/>
    <mergeCell ref="M46:M54"/>
    <mergeCell ref="N46:N54"/>
    <mergeCell ref="O46:O54"/>
    <mergeCell ref="P46:P54"/>
    <mergeCell ref="A40:A41"/>
    <mergeCell ref="B40:B41"/>
    <mergeCell ref="C40:C41"/>
    <mergeCell ref="D40:D41"/>
    <mergeCell ref="E40:E41"/>
    <mergeCell ref="T46:T54"/>
    <mergeCell ref="U46:U54"/>
    <mergeCell ref="V46:V54"/>
    <mergeCell ref="AO40:AO41"/>
    <mergeCell ref="Q46:Q54"/>
    <mergeCell ref="R46:R54"/>
    <mergeCell ref="I40:I41"/>
    <mergeCell ref="J40:J41"/>
    <mergeCell ref="J138:J139"/>
    <mergeCell ref="K138:K139"/>
    <mergeCell ref="J145:J146"/>
    <mergeCell ref="K145:K146"/>
    <mergeCell ref="L145:L146"/>
    <mergeCell ref="J124:J126"/>
    <mergeCell ref="K124:K126"/>
    <mergeCell ref="L124:L126"/>
    <mergeCell ref="K143:K144"/>
    <mergeCell ref="L143:L144"/>
    <mergeCell ref="I136:I137"/>
    <mergeCell ref="J136:J137"/>
    <mergeCell ref="K136:K137"/>
    <mergeCell ref="L136:L137"/>
    <mergeCell ref="J171:J176"/>
    <mergeCell ref="L199:L202"/>
    <mergeCell ref="J188:J189"/>
    <mergeCell ref="AO6:AR6"/>
    <mergeCell ref="O13:O14"/>
    <mergeCell ref="P13:P14"/>
    <mergeCell ref="AK11:AK12"/>
    <mergeCell ref="AJ11:AJ12"/>
    <mergeCell ref="I17:I19"/>
    <mergeCell ref="V25:V26"/>
    <mergeCell ref="R27:R28"/>
    <mergeCell ref="S27:S28"/>
    <mergeCell ref="T27:T28"/>
    <mergeCell ref="S25:S26"/>
    <mergeCell ref="T25:T26"/>
    <mergeCell ref="R22:R24"/>
    <mergeCell ref="R25:R26"/>
    <mergeCell ref="U27:U28"/>
    <mergeCell ref="R20:R21"/>
    <mergeCell ref="S20:S21"/>
    <mergeCell ref="T20:T21"/>
    <mergeCell ref="U20:U21"/>
    <mergeCell ref="V20:V21"/>
    <mergeCell ref="AR11:AR12"/>
    <mergeCell ref="AQ11:AQ12"/>
    <mergeCell ref="AP11:AP12"/>
    <mergeCell ref="AO11:AO12"/>
    <mergeCell ref="W11:W12"/>
    <mergeCell ref="K15:K16"/>
    <mergeCell ref="L15:L16"/>
    <mergeCell ref="U25:U26"/>
    <mergeCell ref="I22:I24"/>
    <mergeCell ref="J22:J24"/>
    <mergeCell ref="K22:K24"/>
    <mergeCell ref="L22:L24"/>
    <mergeCell ref="S29:S32"/>
    <mergeCell ref="T29:T32"/>
    <mergeCell ref="O33:O37"/>
    <mergeCell ref="W7:Y7"/>
    <mergeCell ref="AM40:AM41"/>
    <mergeCell ref="AN40:AN41"/>
    <mergeCell ref="C13:C14"/>
    <mergeCell ref="D13:D14"/>
    <mergeCell ref="V13:V14"/>
    <mergeCell ref="Q13:Q14"/>
    <mergeCell ref="R13:R14"/>
    <mergeCell ref="S13:S14"/>
    <mergeCell ref="T13:T14"/>
    <mergeCell ref="M13:M14"/>
    <mergeCell ref="N13:N14"/>
    <mergeCell ref="AF11:AF12"/>
    <mergeCell ref="X11:X12"/>
    <mergeCell ref="AF10:AL10"/>
    <mergeCell ref="AM11:AM12"/>
    <mergeCell ref="AN11:AN12"/>
    <mergeCell ref="AL11:AL12"/>
    <mergeCell ref="AH11:AH12"/>
    <mergeCell ref="U13:U14"/>
    <mergeCell ref="AM10:AR10"/>
    <mergeCell ref="Y11:Y12"/>
    <mergeCell ref="Z11:AE11"/>
    <mergeCell ref="AI11:AI12"/>
    <mergeCell ref="AG11:AG12"/>
    <mergeCell ref="A10:O10"/>
    <mergeCell ref="P10:V10"/>
    <mergeCell ref="W10:AE10"/>
    <mergeCell ref="C11:C12"/>
    <mergeCell ref="D11:D12"/>
    <mergeCell ref="N11:N12"/>
    <mergeCell ref="A7:E7"/>
    <mergeCell ref="A8:E8"/>
    <mergeCell ref="A9:E9"/>
    <mergeCell ref="F7:V7"/>
    <mergeCell ref="F8:V8"/>
    <mergeCell ref="B17:B19"/>
    <mergeCell ref="N15:N16"/>
    <mergeCell ref="N17:N19"/>
    <mergeCell ref="A13:A14"/>
    <mergeCell ref="E13:E14"/>
    <mergeCell ref="F13:F14"/>
    <mergeCell ref="G13:G14"/>
    <mergeCell ref="H13:H14"/>
    <mergeCell ref="U11:U12"/>
    <mergeCell ref="E11:E12"/>
    <mergeCell ref="V11:V12"/>
    <mergeCell ref="R11:R12"/>
    <mergeCell ref="S11:S12"/>
    <mergeCell ref="F11:F12"/>
    <mergeCell ref="U15:U16"/>
    <mergeCell ref="V15:V16"/>
    <mergeCell ref="A11:A12"/>
    <mergeCell ref="I11:L11"/>
    <mergeCell ref="I13:I14"/>
    <mergeCell ref="J13:J14"/>
    <mergeCell ref="K13:K14"/>
    <mergeCell ref="A17:A19"/>
    <mergeCell ref="E17:E19"/>
    <mergeCell ref="F17:F19"/>
    <mergeCell ref="G17:G19"/>
    <mergeCell ref="M15:M16"/>
    <mergeCell ref="O15:O16"/>
    <mergeCell ref="P15:P16"/>
    <mergeCell ref="P20:P21"/>
    <mergeCell ref="Q20:Q21"/>
    <mergeCell ref="H17:H19"/>
    <mergeCell ref="M17:M19"/>
    <mergeCell ref="C17:C19"/>
    <mergeCell ref="O17:O19"/>
    <mergeCell ref="L13:L14"/>
    <mergeCell ref="I15:I16"/>
    <mergeCell ref="J15:J16"/>
    <mergeCell ref="A20:A21"/>
    <mergeCell ref="E20:E21"/>
    <mergeCell ref="F20:F21"/>
    <mergeCell ref="G20:G21"/>
    <mergeCell ref="H20:H21"/>
    <mergeCell ref="M20:M21"/>
    <mergeCell ref="O20:O21"/>
    <mergeCell ref="B20:B21"/>
    <mergeCell ref="A15:A16"/>
    <mergeCell ref="E15:E16"/>
    <mergeCell ref="F15:F16"/>
    <mergeCell ref="G15:G16"/>
    <mergeCell ref="H15:H16"/>
    <mergeCell ref="M29:M32"/>
    <mergeCell ref="D27:D28"/>
    <mergeCell ref="K27:K28"/>
    <mergeCell ref="I25:I26"/>
    <mergeCell ref="J25:J26"/>
    <mergeCell ref="K25:K26"/>
    <mergeCell ref="L25:L26"/>
    <mergeCell ref="C15:C16"/>
    <mergeCell ref="S15:S16"/>
    <mergeCell ref="T15:T16"/>
    <mergeCell ref="U22:U24"/>
    <mergeCell ref="V22:V24"/>
    <mergeCell ref="O22:O24"/>
    <mergeCell ref="P22:P24"/>
    <mergeCell ref="Q22:Q24"/>
    <mergeCell ref="Q15:Q16"/>
    <mergeCell ref="R15:R16"/>
    <mergeCell ref="P17:P19"/>
    <mergeCell ref="J17:J19"/>
    <mergeCell ref="K17:K19"/>
    <mergeCell ref="L17:L19"/>
    <mergeCell ref="I20:I21"/>
    <mergeCell ref="J20:J21"/>
    <mergeCell ref="K20:K21"/>
    <mergeCell ref="L20:L21"/>
    <mergeCell ref="C20:C21"/>
    <mergeCell ref="U17:U19"/>
    <mergeCell ref="V17:V19"/>
    <mergeCell ref="Q17:Q19"/>
    <mergeCell ref="R17:R19"/>
    <mergeCell ref="S17:S19"/>
    <mergeCell ref="T17:T19"/>
    <mergeCell ref="E248:AR248"/>
    <mergeCell ref="U33:U37"/>
    <mergeCell ref="V33:V37"/>
    <mergeCell ref="A38:A39"/>
    <mergeCell ref="E38:E39"/>
    <mergeCell ref="F38:F39"/>
    <mergeCell ref="G38:G39"/>
    <mergeCell ref="H38:H39"/>
    <mergeCell ref="M38:M39"/>
    <mergeCell ref="O38:O39"/>
    <mergeCell ref="P38:P39"/>
    <mergeCell ref="Q38:Q39"/>
    <mergeCell ref="R38:R39"/>
    <mergeCell ref="S38:S39"/>
    <mergeCell ref="T38:T39"/>
    <mergeCell ref="A33:A37"/>
    <mergeCell ref="V38:V39"/>
    <mergeCell ref="R33:R37"/>
    <mergeCell ref="S33:S37"/>
    <mergeCell ref="T33:T37"/>
    <mergeCell ref="U38:U39"/>
    <mergeCell ref="H40:H41"/>
    <mergeCell ref="E58:E60"/>
    <mergeCell ref="D33:D37"/>
    <mergeCell ref="J203:J206"/>
    <mergeCell ref="K203:K206"/>
    <mergeCell ref="L203:L206"/>
    <mergeCell ref="I149:I151"/>
    <mergeCell ref="J149:J151"/>
    <mergeCell ref="K149:K151"/>
    <mergeCell ref="L149:L151"/>
    <mergeCell ref="I138:I139"/>
    <mergeCell ref="C38:C39"/>
    <mergeCell ref="D15:D16"/>
    <mergeCell ref="D17:D19"/>
    <mergeCell ref="D20:D21"/>
    <mergeCell ref="D22:D24"/>
    <mergeCell ref="D25:D26"/>
    <mergeCell ref="F9:V9"/>
    <mergeCell ref="Q11:Q12"/>
    <mergeCell ref="T11:T12"/>
    <mergeCell ref="M11:M12"/>
    <mergeCell ref="H11:H12"/>
    <mergeCell ref="G11:G12"/>
    <mergeCell ref="R29:R32"/>
    <mergeCell ref="M27:M28"/>
    <mergeCell ref="O27:O28"/>
    <mergeCell ref="P27:P28"/>
    <mergeCell ref="Q27:Q28"/>
    <mergeCell ref="I27:I28"/>
    <mergeCell ref="J27:J28"/>
    <mergeCell ref="K29:K32"/>
    <mergeCell ref="L29:L32"/>
    <mergeCell ref="E22:E24"/>
    <mergeCell ref="F22:F24"/>
    <mergeCell ref="E25:E26"/>
    <mergeCell ref="F25:F26"/>
    <mergeCell ref="G25:G26"/>
    <mergeCell ref="H25:H26"/>
    <mergeCell ref="M25:M26"/>
    <mergeCell ref="G22:G24"/>
    <mergeCell ref="H22:H24"/>
    <mergeCell ref="M22:M24"/>
    <mergeCell ref="C22:C24"/>
    <mergeCell ref="E33:E37"/>
    <mergeCell ref="F33:F37"/>
    <mergeCell ref="G33:G37"/>
    <mergeCell ref="AP1:AR2"/>
    <mergeCell ref="AP3:AR3"/>
    <mergeCell ref="AP4:AR4"/>
    <mergeCell ref="AP5:AR5"/>
    <mergeCell ref="H1:AO1"/>
    <mergeCell ref="H2:AO3"/>
    <mergeCell ref="H4:AO4"/>
    <mergeCell ref="H5:AO5"/>
    <mergeCell ref="A2:G5"/>
    <mergeCell ref="A1:G1"/>
    <mergeCell ref="B13:B14"/>
    <mergeCell ref="C27:C28"/>
    <mergeCell ref="C29:C32"/>
    <mergeCell ref="C33:C37"/>
    <mergeCell ref="A22:A24"/>
    <mergeCell ref="A25:A26"/>
    <mergeCell ref="C25:C26"/>
    <mergeCell ref="B22:B24"/>
    <mergeCell ref="B25:B26"/>
    <mergeCell ref="A29:A32"/>
    <mergeCell ref="E29:E32"/>
    <mergeCell ref="F29:F32"/>
    <mergeCell ref="G29:G32"/>
    <mergeCell ref="H29:H32"/>
    <mergeCell ref="B27:B28"/>
    <mergeCell ref="E27:E28"/>
    <mergeCell ref="F27:F28"/>
    <mergeCell ref="G27:G28"/>
    <mergeCell ref="H27:H28"/>
    <mergeCell ref="O11:O12"/>
    <mergeCell ref="P11:P12"/>
    <mergeCell ref="B11:B12"/>
    <mergeCell ref="U29:U32"/>
    <mergeCell ref="V29:V32"/>
    <mergeCell ref="D38:D39"/>
    <mergeCell ref="B15:B16"/>
    <mergeCell ref="B29:B32"/>
    <mergeCell ref="B33:B37"/>
    <mergeCell ref="O40:O41"/>
    <mergeCell ref="P40:P41"/>
    <mergeCell ref="Q40:Q41"/>
    <mergeCell ref="R40:R41"/>
    <mergeCell ref="S40:S41"/>
    <mergeCell ref="T40:T41"/>
    <mergeCell ref="U40:U41"/>
    <mergeCell ref="V40:V41"/>
    <mergeCell ref="P33:P37"/>
    <mergeCell ref="Q33:Q37"/>
    <mergeCell ref="O25:O26"/>
    <mergeCell ref="P25:P26"/>
    <mergeCell ref="Q25:Q26"/>
    <mergeCell ref="S22:S24"/>
    <mergeCell ref="T22:T24"/>
    <mergeCell ref="F40:F41"/>
    <mergeCell ref="G40:G41"/>
    <mergeCell ref="V27:V28"/>
    <mergeCell ref="M40:M41"/>
    <mergeCell ref="D29:D32"/>
    <mergeCell ref="H33:H37"/>
    <mergeCell ref="B38:B39"/>
    <mergeCell ref="I33:I37"/>
    <mergeCell ref="J33:J37"/>
    <mergeCell ref="K33:K37"/>
    <mergeCell ref="L33:L37"/>
    <mergeCell ref="I38:I39"/>
    <mergeCell ref="J38:J39"/>
    <mergeCell ref="K55:K57"/>
    <mergeCell ref="V61:V62"/>
    <mergeCell ref="A63:A67"/>
    <mergeCell ref="B63:B67"/>
    <mergeCell ref="C63:C67"/>
    <mergeCell ref="D55:D57"/>
    <mergeCell ref="E55:E57"/>
    <mergeCell ref="F55:F57"/>
    <mergeCell ref="G55:G57"/>
    <mergeCell ref="H55:H57"/>
    <mergeCell ref="M55:M57"/>
    <mergeCell ref="O55:O57"/>
    <mergeCell ref="P55:P57"/>
    <mergeCell ref="Q55:Q57"/>
    <mergeCell ref="R55:R57"/>
    <mergeCell ref="S55:S57"/>
    <mergeCell ref="T55:T57"/>
    <mergeCell ref="U55:U57"/>
    <mergeCell ref="V55:V57"/>
    <mergeCell ref="O58:O60"/>
    <mergeCell ref="P58:P60"/>
    <mergeCell ref="A55:A57"/>
    <mergeCell ref="B55:B57"/>
    <mergeCell ref="C55:C57"/>
    <mergeCell ref="Q58:Q60"/>
    <mergeCell ref="R58:R60"/>
    <mergeCell ref="S58:S60"/>
    <mergeCell ref="T58:T60"/>
    <mergeCell ref="U58:U60"/>
    <mergeCell ref="V58:V60"/>
    <mergeCell ref="L55:L57"/>
    <mergeCell ref="I58:I60"/>
    <mergeCell ref="J58:J60"/>
    <mergeCell ref="K58:K60"/>
    <mergeCell ref="L58:L60"/>
    <mergeCell ref="I61:I62"/>
    <mergeCell ref="A61:A62"/>
    <mergeCell ref="B61:B62"/>
    <mergeCell ref="C61:C62"/>
    <mergeCell ref="D61:D62"/>
    <mergeCell ref="E61:E62"/>
    <mergeCell ref="F61:F62"/>
    <mergeCell ref="G61:G62"/>
    <mergeCell ref="H61:H62"/>
    <mergeCell ref="M61:M62"/>
    <mergeCell ref="O61:O62"/>
    <mergeCell ref="P61:P62"/>
    <mergeCell ref="Q61:Q62"/>
    <mergeCell ref="R61:R62"/>
    <mergeCell ref="S61:S62"/>
    <mergeCell ref="T61:T62"/>
    <mergeCell ref="U61:U62"/>
    <mergeCell ref="A58:A60"/>
    <mergeCell ref="B58:B60"/>
    <mergeCell ref="C58:C60"/>
    <mergeCell ref="D58:D60"/>
    <mergeCell ref="M58:M60"/>
    <mergeCell ref="I55:I57"/>
    <mergeCell ref="J55:J57"/>
    <mergeCell ref="A68:A69"/>
    <mergeCell ref="B68:B69"/>
    <mergeCell ref="C68:C69"/>
    <mergeCell ref="D68:D69"/>
    <mergeCell ref="E68:E69"/>
    <mergeCell ref="F68:F69"/>
    <mergeCell ref="G68:G69"/>
    <mergeCell ref="H68:H69"/>
    <mergeCell ref="M68:M69"/>
    <mergeCell ref="J61:J62"/>
    <mergeCell ref="K61:K62"/>
    <mergeCell ref="L61:L62"/>
    <mergeCell ref="I63:I67"/>
    <mergeCell ref="J63:J67"/>
    <mergeCell ref="K63:K67"/>
    <mergeCell ref="L63:L67"/>
    <mergeCell ref="D63:D67"/>
    <mergeCell ref="E63:E67"/>
    <mergeCell ref="F63:F67"/>
    <mergeCell ref="G63:G67"/>
    <mergeCell ref="H63:H67"/>
    <mergeCell ref="M63:M67"/>
    <mergeCell ref="D70:D71"/>
    <mergeCell ref="E70:E71"/>
    <mergeCell ref="F70:F71"/>
    <mergeCell ref="G70:G71"/>
    <mergeCell ref="H70:H71"/>
    <mergeCell ref="M70:M71"/>
    <mergeCell ref="O70:O71"/>
    <mergeCell ref="P70:P71"/>
    <mergeCell ref="Q70:Q71"/>
    <mergeCell ref="R70:R71"/>
    <mergeCell ref="S70:S71"/>
    <mergeCell ref="U72:U74"/>
    <mergeCell ref="H81:H82"/>
    <mergeCell ref="N81:N82"/>
    <mergeCell ref="M81:M82"/>
    <mergeCell ref="O81:O82"/>
    <mergeCell ref="P81:P82"/>
    <mergeCell ref="Q81:Q82"/>
    <mergeCell ref="R81:R82"/>
    <mergeCell ref="F81:F82"/>
    <mergeCell ref="G81:G82"/>
    <mergeCell ref="K81:K82"/>
    <mergeCell ref="L81:L82"/>
    <mergeCell ref="T70:T71"/>
    <mergeCell ref="K70:K71"/>
    <mergeCell ref="L70:L71"/>
    <mergeCell ref="N70:N71"/>
    <mergeCell ref="V72:V74"/>
    <mergeCell ref="I72:I74"/>
    <mergeCell ref="J72:J74"/>
    <mergeCell ref="K72:K74"/>
    <mergeCell ref="L72:L74"/>
    <mergeCell ref="N72:N74"/>
    <mergeCell ref="U63:U67"/>
    <mergeCell ref="V63:V67"/>
    <mergeCell ref="O68:O69"/>
    <mergeCell ref="P68:P69"/>
    <mergeCell ref="Q68:Q69"/>
    <mergeCell ref="R68:R69"/>
    <mergeCell ref="S68:S69"/>
    <mergeCell ref="T68:T69"/>
    <mergeCell ref="U68:U69"/>
    <mergeCell ref="V68:V69"/>
    <mergeCell ref="I68:I69"/>
    <mergeCell ref="J68:J69"/>
    <mergeCell ref="K68:K69"/>
    <mergeCell ref="L68:L69"/>
    <mergeCell ref="U70:U71"/>
    <mergeCell ref="V70:V71"/>
    <mergeCell ref="I70:I71"/>
    <mergeCell ref="J70:J71"/>
    <mergeCell ref="O63:O67"/>
    <mergeCell ref="P63:P67"/>
    <mergeCell ref="Q63:Q67"/>
    <mergeCell ref="R63:R67"/>
    <mergeCell ref="S63:S67"/>
    <mergeCell ref="T63:T67"/>
    <mergeCell ref="A72:A74"/>
    <mergeCell ref="B72:B74"/>
    <mergeCell ref="C72:C74"/>
    <mergeCell ref="D72:D74"/>
    <mergeCell ref="E72:E74"/>
    <mergeCell ref="F72:F74"/>
    <mergeCell ref="G72:G74"/>
    <mergeCell ref="H72:H74"/>
    <mergeCell ref="M72:M74"/>
    <mergeCell ref="O72:O74"/>
    <mergeCell ref="P72:P74"/>
    <mergeCell ref="Q72:Q74"/>
    <mergeCell ref="R72:R74"/>
    <mergeCell ref="S72:S74"/>
    <mergeCell ref="T72:T74"/>
    <mergeCell ref="K78:K79"/>
    <mergeCell ref="L78:L79"/>
    <mergeCell ref="A70:A71"/>
    <mergeCell ref="B70:B71"/>
    <mergeCell ref="C70:C71"/>
    <mergeCell ref="S81:S82"/>
    <mergeCell ref="T81:T82"/>
    <mergeCell ref="U81:U82"/>
    <mergeCell ref="V81:V82"/>
    <mergeCell ref="N76:N77"/>
    <mergeCell ref="N78:N79"/>
    <mergeCell ref="A76:A77"/>
    <mergeCell ref="B76:B77"/>
    <mergeCell ref="C76:C77"/>
    <mergeCell ref="D76:D77"/>
    <mergeCell ref="E76:E77"/>
    <mergeCell ref="F76:F77"/>
    <mergeCell ref="G76:G77"/>
    <mergeCell ref="H76:H77"/>
    <mergeCell ref="M76:M77"/>
    <mergeCell ref="O76:O77"/>
    <mergeCell ref="P76:P77"/>
    <mergeCell ref="Q76:Q77"/>
    <mergeCell ref="R76:R77"/>
    <mergeCell ref="S76:S77"/>
    <mergeCell ref="T76:T77"/>
    <mergeCell ref="U76:U77"/>
    <mergeCell ref="A81:A82"/>
    <mergeCell ref="B81:B82"/>
    <mergeCell ref="C81:C82"/>
    <mergeCell ref="D81:D82"/>
    <mergeCell ref="E81:E82"/>
    <mergeCell ref="I81:I82"/>
    <mergeCell ref="J81:J82"/>
    <mergeCell ref="V76:V77"/>
    <mergeCell ref="A78:A79"/>
    <mergeCell ref="B78:B79"/>
    <mergeCell ref="C78:C79"/>
    <mergeCell ref="D78:D79"/>
    <mergeCell ref="E78:E79"/>
    <mergeCell ref="F78:F79"/>
    <mergeCell ref="G78:G79"/>
    <mergeCell ref="H78:H79"/>
    <mergeCell ref="M78:M79"/>
    <mergeCell ref="O78:O79"/>
    <mergeCell ref="P78:P79"/>
    <mergeCell ref="Q78:Q79"/>
    <mergeCell ref="R78:R79"/>
    <mergeCell ref="S78:S79"/>
    <mergeCell ref="T78:T79"/>
    <mergeCell ref="U78:U79"/>
    <mergeCell ref="V78:V79"/>
    <mergeCell ref="I76:I77"/>
    <mergeCell ref="J76:J77"/>
    <mergeCell ref="K76:K77"/>
    <mergeCell ref="L76:L77"/>
    <mergeCell ref="I78:I79"/>
    <mergeCell ref="J78:J79"/>
    <mergeCell ref="S91:S92"/>
    <mergeCell ref="T91:T92"/>
    <mergeCell ref="U91:U92"/>
    <mergeCell ref="V91:V92"/>
    <mergeCell ref="S83:S84"/>
    <mergeCell ref="T83:T84"/>
    <mergeCell ref="U83:U84"/>
    <mergeCell ref="V83:V84"/>
    <mergeCell ref="N83:N84"/>
    <mergeCell ref="A83:A84"/>
    <mergeCell ref="B83:B84"/>
    <mergeCell ref="C83:C84"/>
    <mergeCell ref="D83:D84"/>
    <mergeCell ref="E83:E84"/>
    <mergeCell ref="F83:F84"/>
    <mergeCell ref="G83:G84"/>
    <mergeCell ref="H83:H84"/>
    <mergeCell ref="M83:M84"/>
    <mergeCell ref="O83:O84"/>
    <mergeCell ref="P83:P84"/>
    <mergeCell ref="Q83:Q84"/>
    <mergeCell ref="R83:R84"/>
    <mergeCell ref="O91:O92"/>
    <mergeCell ref="P91:P92"/>
    <mergeCell ref="Q91:Q92"/>
    <mergeCell ref="R91:R92"/>
    <mergeCell ref="I83:I84"/>
    <mergeCell ref="J83:J84"/>
    <mergeCell ref="K83:K84"/>
    <mergeCell ref="L83:L84"/>
    <mergeCell ref="G93:G94"/>
    <mergeCell ref="H93:H94"/>
    <mergeCell ref="N93:N94"/>
    <mergeCell ref="M93:M94"/>
    <mergeCell ref="A91:A92"/>
    <mergeCell ref="B91:B92"/>
    <mergeCell ref="C91:C92"/>
    <mergeCell ref="D91:D92"/>
    <mergeCell ref="E91:E92"/>
    <mergeCell ref="F91:F92"/>
    <mergeCell ref="G91:G92"/>
    <mergeCell ref="H91:H92"/>
    <mergeCell ref="M91:M92"/>
    <mergeCell ref="I93:I94"/>
    <mergeCell ref="J93:J94"/>
    <mergeCell ref="K93:K94"/>
    <mergeCell ref="L93:L94"/>
    <mergeCell ref="I91:I92"/>
    <mergeCell ref="J91:J92"/>
    <mergeCell ref="K91:K92"/>
    <mergeCell ref="L91:L92"/>
    <mergeCell ref="N91:N92"/>
    <mergeCell ref="O93:O94"/>
    <mergeCell ref="P93:P94"/>
    <mergeCell ref="Q93:Q94"/>
    <mergeCell ref="R93:R94"/>
    <mergeCell ref="S96:S97"/>
    <mergeCell ref="T96:T97"/>
    <mergeCell ref="U96:U97"/>
    <mergeCell ref="V96:V97"/>
    <mergeCell ref="A96:A97"/>
    <mergeCell ref="B96:B97"/>
    <mergeCell ref="C96:C97"/>
    <mergeCell ref="D96:D97"/>
    <mergeCell ref="E96:E97"/>
    <mergeCell ref="F96:F97"/>
    <mergeCell ref="G96:G97"/>
    <mergeCell ref="H96:H97"/>
    <mergeCell ref="N96:N97"/>
    <mergeCell ref="M96:M97"/>
    <mergeCell ref="O96:O97"/>
    <mergeCell ref="P96:P97"/>
    <mergeCell ref="Q96:Q97"/>
    <mergeCell ref="R96:R97"/>
    <mergeCell ref="S93:S94"/>
    <mergeCell ref="T93:T94"/>
    <mergeCell ref="U93:U94"/>
    <mergeCell ref="V93:V94"/>
    <mergeCell ref="A93:A94"/>
    <mergeCell ref="B93:B94"/>
    <mergeCell ref="C93:C94"/>
    <mergeCell ref="D93:D94"/>
    <mergeCell ref="E93:E94"/>
    <mergeCell ref="F93:F94"/>
    <mergeCell ref="S103:S104"/>
    <mergeCell ref="T103:T104"/>
    <mergeCell ref="U103:U104"/>
    <mergeCell ref="V103:V104"/>
    <mergeCell ref="N101:N102"/>
    <mergeCell ref="A103:A104"/>
    <mergeCell ref="B103:B104"/>
    <mergeCell ref="C103:C104"/>
    <mergeCell ref="D103:D104"/>
    <mergeCell ref="E103:E104"/>
    <mergeCell ref="F103:F104"/>
    <mergeCell ref="G103:G104"/>
    <mergeCell ref="H103:H104"/>
    <mergeCell ref="N103:N104"/>
    <mergeCell ref="M103:M104"/>
    <mergeCell ref="A101:A102"/>
    <mergeCell ref="B101:B102"/>
    <mergeCell ref="C101:C102"/>
    <mergeCell ref="D101:D102"/>
    <mergeCell ref="E101:E102"/>
    <mergeCell ref="F101:F102"/>
    <mergeCell ref="G101:G102"/>
    <mergeCell ref="H101:H102"/>
    <mergeCell ref="M101:M102"/>
    <mergeCell ref="O101:O102"/>
    <mergeCell ref="P101:P102"/>
    <mergeCell ref="Q101:Q102"/>
    <mergeCell ref="R101:R102"/>
    <mergeCell ref="S101:S102"/>
    <mergeCell ref="T101:T102"/>
    <mergeCell ref="U101:U102"/>
    <mergeCell ref="V101:V102"/>
    <mergeCell ref="I101:I102"/>
    <mergeCell ref="J101:J102"/>
    <mergeCell ref="K101:K102"/>
    <mergeCell ref="L101:L102"/>
    <mergeCell ref="R98:R100"/>
    <mergeCell ref="T98:T100"/>
    <mergeCell ref="U98:U100"/>
    <mergeCell ref="V98:V100"/>
    <mergeCell ref="O103:O104"/>
    <mergeCell ref="P103:P104"/>
    <mergeCell ref="Q103:Q104"/>
    <mergeCell ref="R103:R104"/>
    <mergeCell ref="N106:N109"/>
    <mergeCell ref="A106:A109"/>
    <mergeCell ref="B106:B109"/>
    <mergeCell ref="C106:C109"/>
    <mergeCell ref="D106:D109"/>
    <mergeCell ref="E106:E109"/>
    <mergeCell ref="F106:F109"/>
    <mergeCell ref="G106:G109"/>
    <mergeCell ref="H106:H109"/>
    <mergeCell ref="M106:M109"/>
    <mergeCell ref="O106:O109"/>
    <mergeCell ref="P106:P109"/>
    <mergeCell ref="Q106:Q109"/>
    <mergeCell ref="R106:R109"/>
    <mergeCell ref="I103:I104"/>
    <mergeCell ref="J103:J104"/>
    <mergeCell ref="K103:K104"/>
    <mergeCell ref="L103:L104"/>
    <mergeCell ref="I106:I109"/>
    <mergeCell ref="J106:J109"/>
    <mergeCell ref="K106:K109"/>
    <mergeCell ref="L106:L109"/>
    <mergeCell ref="S106:S109"/>
    <mergeCell ref="T106:T109"/>
    <mergeCell ref="U106:U109"/>
    <mergeCell ref="V106:V109"/>
    <mergeCell ref="S116:S119"/>
    <mergeCell ref="T116:T119"/>
    <mergeCell ref="U116:U119"/>
    <mergeCell ref="V116:V119"/>
    <mergeCell ref="N113:N115"/>
    <mergeCell ref="A116:A119"/>
    <mergeCell ref="B116:B119"/>
    <mergeCell ref="C116:C119"/>
    <mergeCell ref="D116:D119"/>
    <mergeCell ref="E116:E119"/>
    <mergeCell ref="F116:F119"/>
    <mergeCell ref="G116:G119"/>
    <mergeCell ref="H116:H119"/>
    <mergeCell ref="N116:N119"/>
    <mergeCell ref="M116:M119"/>
    <mergeCell ref="A113:A115"/>
    <mergeCell ref="B113:B115"/>
    <mergeCell ref="C113:C115"/>
    <mergeCell ref="D113:D115"/>
    <mergeCell ref="E113:E115"/>
    <mergeCell ref="F113:F115"/>
    <mergeCell ref="G113:G115"/>
    <mergeCell ref="H113:H115"/>
    <mergeCell ref="M113:M115"/>
    <mergeCell ref="O113:O115"/>
    <mergeCell ref="T113:T115"/>
    <mergeCell ref="U113:U115"/>
    <mergeCell ref="V113:V115"/>
    <mergeCell ref="I113:I115"/>
    <mergeCell ref="J113:J115"/>
    <mergeCell ref="K113:K115"/>
    <mergeCell ref="L113:L115"/>
    <mergeCell ref="O116:O119"/>
    <mergeCell ref="P116:P119"/>
    <mergeCell ref="Q116:Q119"/>
    <mergeCell ref="R116:R119"/>
    <mergeCell ref="S133:S134"/>
    <mergeCell ref="T133:T134"/>
    <mergeCell ref="U133:U134"/>
    <mergeCell ref="V133:V134"/>
    <mergeCell ref="N120:N123"/>
    <mergeCell ref="N124:N126"/>
    <mergeCell ref="V120:V123"/>
    <mergeCell ref="I128:I130"/>
    <mergeCell ref="J128:J130"/>
    <mergeCell ref="K128:K130"/>
    <mergeCell ref="L128:L130"/>
    <mergeCell ref="I116:I119"/>
    <mergeCell ref="J116:J119"/>
    <mergeCell ref="K116:K119"/>
    <mergeCell ref="L116:L119"/>
    <mergeCell ref="I120:I123"/>
    <mergeCell ref="J120:J123"/>
    <mergeCell ref="T120:T123"/>
    <mergeCell ref="U120:U123"/>
    <mergeCell ref="O124:O126"/>
    <mergeCell ref="P124:P126"/>
    <mergeCell ref="Q124:Q126"/>
    <mergeCell ref="A120:A123"/>
    <mergeCell ref="B120:B123"/>
    <mergeCell ref="C120:C123"/>
    <mergeCell ref="D120:D123"/>
    <mergeCell ref="E120:E123"/>
    <mergeCell ref="F120:F123"/>
    <mergeCell ref="G120:G123"/>
    <mergeCell ref="H120:H123"/>
    <mergeCell ref="M120:M123"/>
    <mergeCell ref="O120:O123"/>
    <mergeCell ref="P120:P123"/>
    <mergeCell ref="Q120:Q123"/>
    <mergeCell ref="R120:R123"/>
    <mergeCell ref="S120:S123"/>
    <mergeCell ref="P113:P115"/>
    <mergeCell ref="Q113:Q115"/>
    <mergeCell ref="R113:R115"/>
    <mergeCell ref="S113:S115"/>
    <mergeCell ref="C133:C134"/>
    <mergeCell ref="D133:D134"/>
    <mergeCell ref="E133:E134"/>
    <mergeCell ref="F133:F134"/>
    <mergeCell ref="G133:G134"/>
    <mergeCell ref="H133:H134"/>
    <mergeCell ref="N133:N134"/>
    <mergeCell ref="M133:M134"/>
    <mergeCell ref="A124:A126"/>
    <mergeCell ref="B124:B126"/>
    <mergeCell ref="C124:C126"/>
    <mergeCell ref="D124:D126"/>
    <mergeCell ref="E124:E126"/>
    <mergeCell ref="F124:F126"/>
    <mergeCell ref="G124:G126"/>
    <mergeCell ref="H124:H126"/>
    <mergeCell ref="M124:M126"/>
    <mergeCell ref="H128:H130"/>
    <mergeCell ref="R124:R126"/>
    <mergeCell ref="S124:S126"/>
    <mergeCell ref="T124:T126"/>
    <mergeCell ref="U124:U126"/>
    <mergeCell ref="A128:A130"/>
    <mergeCell ref="K120:K123"/>
    <mergeCell ref="L120:L123"/>
    <mergeCell ref="I124:I126"/>
    <mergeCell ref="V124:V126"/>
    <mergeCell ref="O133:O134"/>
    <mergeCell ref="P133:P134"/>
    <mergeCell ref="Q133:Q134"/>
    <mergeCell ref="R133:R134"/>
    <mergeCell ref="B128:B130"/>
    <mergeCell ref="C128:C130"/>
    <mergeCell ref="D128:D130"/>
    <mergeCell ref="O128:O130"/>
    <mergeCell ref="P128:P130"/>
    <mergeCell ref="Q128:Q130"/>
    <mergeCell ref="R128:R130"/>
    <mergeCell ref="S128:S130"/>
    <mergeCell ref="T128:T130"/>
    <mergeCell ref="U128:U130"/>
    <mergeCell ref="V128:V130"/>
    <mergeCell ref="M128:M130"/>
    <mergeCell ref="N128:N130"/>
    <mergeCell ref="V131:V132"/>
    <mergeCell ref="E128:E130"/>
    <mergeCell ref="F128:F130"/>
    <mergeCell ref="G128:G130"/>
    <mergeCell ref="A133:A134"/>
    <mergeCell ref="B133:B134"/>
    <mergeCell ref="S138:S139"/>
    <mergeCell ref="T138:T139"/>
    <mergeCell ref="U138:U139"/>
    <mergeCell ref="V138:V139"/>
    <mergeCell ref="N136:N137"/>
    <mergeCell ref="A138:A139"/>
    <mergeCell ref="B138:B139"/>
    <mergeCell ref="C138:C139"/>
    <mergeCell ref="D138:D139"/>
    <mergeCell ref="E138:E139"/>
    <mergeCell ref="F138:F139"/>
    <mergeCell ref="G138:G139"/>
    <mergeCell ref="H138:H139"/>
    <mergeCell ref="N138:N139"/>
    <mergeCell ref="M138:M139"/>
    <mergeCell ref="A136:A137"/>
    <mergeCell ref="B136:B137"/>
    <mergeCell ref="C136:C137"/>
    <mergeCell ref="D136:D137"/>
    <mergeCell ref="E136:E137"/>
    <mergeCell ref="F136:F137"/>
    <mergeCell ref="G136:G137"/>
    <mergeCell ref="H136:H137"/>
    <mergeCell ref="M136:M137"/>
    <mergeCell ref="O136:O137"/>
    <mergeCell ref="P136:P137"/>
    <mergeCell ref="Q136:Q137"/>
    <mergeCell ref="R136:R137"/>
    <mergeCell ref="S136:S137"/>
    <mergeCell ref="T136:T137"/>
    <mergeCell ref="U136:U137"/>
    <mergeCell ref="V136:V137"/>
    <mergeCell ref="O138:O139"/>
    <mergeCell ref="P138:P139"/>
    <mergeCell ref="Q138:Q139"/>
    <mergeCell ref="R138:R139"/>
    <mergeCell ref="S143:S144"/>
    <mergeCell ref="T143:T144"/>
    <mergeCell ref="U143:U144"/>
    <mergeCell ref="V143:V144"/>
    <mergeCell ref="N141:N142"/>
    <mergeCell ref="A143:A144"/>
    <mergeCell ref="B143:B144"/>
    <mergeCell ref="C143:C144"/>
    <mergeCell ref="D143:D144"/>
    <mergeCell ref="E143:E144"/>
    <mergeCell ref="F143:F144"/>
    <mergeCell ref="G143:G144"/>
    <mergeCell ref="H143:H144"/>
    <mergeCell ref="N143:N144"/>
    <mergeCell ref="M143:M144"/>
    <mergeCell ref="A141:A142"/>
    <mergeCell ref="B141:B142"/>
    <mergeCell ref="C141:C142"/>
    <mergeCell ref="D141:D142"/>
    <mergeCell ref="E141:E142"/>
    <mergeCell ref="F141:F142"/>
    <mergeCell ref="G141:G142"/>
    <mergeCell ref="H141:H142"/>
    <mergeCell ref="M141:M142"/>
    <mergeCell ref="O141:O142"/>
    <mergeCell ref="P141:P142"/>
    <mergeCell ref="Q141:Q142"/>
    <mergeCell ref="R141:R142"/>
    <mergeCell ref="S141:S142"/>
    <mergeCell ref="T141:T142"/>
    <mergeCell ref="U141:U142"/>
    <mergeCell ref="V141:V142"/>
    <mergeCell ref="O143:O144"/>
    <mergeCell ref="P143:P144"/>
    <mergeCell ref="Q143:Q144"/>
    <mergeCell ref="R143:R144"/>
    <mergeCell ref="S149:S151"/>
    <mergeCell ref="T149:T151"/>
    <mergeCell ref="U149:U151"/>
    <mergeCell ref="V149:V151"/>
    <mergeCell ref="N145:N146"/>
    <mergeCell ref="N147:N148"/>
    <mergeCell ref="V145:V146"/>
    <mergeCell ref="A145:A146"/>
    <mergeCell ref="B145:B146"/>
    <mergeCell ref="C145:C146"/>
    <mergeCell ref="D145:D146"/>
    <mergeCell ref="E145:E146"/>
    <mergeCell ref="F145:F146"/>
    <mergeCell ref="G145:G146"/>
    <mergeCell ref="H145:H146"/>
    <mergeCell ref="M145:M146"/>
    <mergeCell ref="O145:O146"/>
    <mergeCell ref="P145:P146"/>
    <mergeCell ref="Q145:Q146"/>
    <mergeCell ref="R145:R146"/>
    <mergeCell ref="S145:S146"/>
    <mergeCell ref="T145:T146"/>
    <mergeCell ref="U145:U146"/>
    <mergeCell ref="A149:A151"/>
    <mergeCell ref="B149:B151"/>
    <mergeCell ref="C149:C151"/>
    <mergeCell ref="D149:D151"/>
    <mergeCell ref="E149:E151"/>
    <mergeCell ref="F149:F151"/>
    <mergeCell ref="G149:G151"/>
    <mergeCell ref="H149:H151"/>
    <mergeCell ref="N149:N151"/>
    <mergeCell ref="M149:M151"/>
    <mergeCell ref="A147:A148"/>
    <mergeCell ref="B147:B148"/>
    <mergeCell ref="C147:C148"/>
    <mergeCell ref="D147:D148"/>
    <mergeCell ref="E147:E148"/>
    <mergeCell ref="F147:F148"/>
    <mergeCell ref="V152:V153"/>
    <mergeCell ref="G147:G148"/>
    <mergeCell ref="H147:H148"/>
    <mergeCell ref="M147:M148"/>
    <mergeCell ref="O147:O148"/>
    <mergeCell ref="P147:P148"/>
    <mergeCell ref="Q147:Q148"/>
    <mergeCell ref="R147:R148"/>
    <mergeCell ref="S147:S148"/>
    <mergeCell ref="T147:T148"/>
    <mergeCell ref="U147:U148"/>
    <mergeCell ref="V147:V148"/>
    <mergeCell ref="I147:I148"/>
    <mergeCell ref="J147:J148"/>
    <mergeCell ref="K147:K148"/>
    <mergeCell ref="L147:L148"/>
    <mergeCell ref="O149:O151"/>
    <mergeCell ref="P149:P151"/>
    <mergeCell ref="Q149:Q151"/>
    <mergeCell ref="R149:R151"/>
    <mergeCell ref="I152:I153"/>
    <mergeCell ref="J152:J153"/>
    <mergeCell ref="K152:K153"/>
    <mergeCell ref="L152:L153"/>
    <mergeCell ref="V154:V155"/>
    <mergeCell ref="S156:S157"/>
    <mergeCell ref="T156:T157"/>
    <mergeCell ref="U156:U157"/>
    <mergeCell ref="V156:V157"/>
    <mergeCell ref="N152:N153"/>
    <mergeCell ref="N154:N155"/>
    <mergeCell ref="A152:A153"/>
    <mergeCell ref="B152:B153"/>
    <mergeCell ref="C152:C153"/>
    <mergeCell ref="D152:D153"/>
    <mergeCell ref="E152:E153"/>
    <mergeCell ref="F152:F153"/>
    <mergeCell ref="G152:G153"/>
    <mergeCell ref="H152:H153"/>
    <mergeCell ref="M152:M153"/>
    <mergeCell ref="O152:O153"/>
    <mergeCell ref="P152:P153"/>
    <mergeCell ref="Q152:Q153"/>
    <mergeCell ref="R152:R153"/>
    <mergeCell ref="S152:S153"/>
    <mergeCell ref="T152:T153"/>
    <mergeCell ref="U152:U153"/>
    <mergeCell ref="A156:A157"/>
    <mergeCell ref="B156:B157"/>
    <mergeCell ref="V159:V160"/>
    <mergeCell ref="A161:A164"/>
    <mergeCell ref="B161:B164"/>
    <mergeCell ref="O156:O157"/>
    <mergeCell ref="P156:P157"/>
    <mergeCell ref="Q156:Q157"/>
    <mergeCell ref="R156:R157"/>
    <mergeCell ref="G156:G157"/>
    <mergeCell ref="N161:N164"/>
    <mergeCell ref="I161:I164"/>
    <mergeCell ref="J161:J164"/>
    <mergeCell ref="K161:K164"/>
    <mergeCell ref="L161:L164"/>
    <mergeCell ref="M161:M164"/>
    <mergeCell ref="O161:O164"/>
    <mergeCell ref="P161:P164"/>
    <mergeCell ref="Q161:Q164"/>
    <mergeCell ref="I156:I157"/>
    <mergeCell ref="J156:J157"/>
    <mergeCell ref="K156:K157"/>
    <mergeCell ref="L156:L157"/>
    <mergeCell ref="T161:T164"/>
    <mergeCell ref="U161:U164"/>
    <mergeCell ref="V161:V164"/>
    <mergeCell ref="C161:C164"/>
    <mergeCell ref="D161:D164"/>
    <mergeCell ref="E161:E164"/>
    <mergeCell ref="F161:F164"/>
    <mergeCell ref="G161:G164"/>
    <mergeCell ref="H161:H164"/>
    <mergeCell ref="T154:T155"/>
    <mergeCell ref="U154:U155"/>
    <mergeCell ref="N159:N160"/>
    <mergeCell ref="A159:A160"/>
    <mergeCell ref="B159:B160"/>
    <mergeCell ref="C159:C160"/>
    <mergeCell ref="D159:D160"/>
    <mergeCell ref="E159:E160"/>
    <mergeCell ref="F159:F160"/>
    <mergeCell ref="G159:G160"/>
    <mergeCell ref="H159:H160"/>
    <mergeCell ref="M159:M160"/>
    <mergeCell ref="O159:O160"/>
    <mergeCell ref="P159:P160"/>
    <mergeCell ref="Q159:Q160"/>
    <mergeCell ref="R159:R160"/>
    <mergeCell ref="S159:S160"/>
    <mergeCell ref="T159:T160"/>
    <mergeCell ref="H156:H157"/>
    <mergeCell ref="N156:N157"/>
    <mergeCell ref="M156:M157"/>
    <mergeCell ref="U159:U160"/>
    <mergeCell ref="L154:L155"/>
    <mergeCell ref="C156:C157"/>
    <mergeCell ref="D156:D157"/>
    <mergeCell ref="E156:E157"/>
    <mergeCell ref="F156:F157"/>
    <mergeCell ref="A154:A155"/>
    <mergeCell ref="B154:B155"/>
    <mergeCell ref="C154:C155"/>
    <mergeCell ref="D154:D155"/>
    <mergeCell ref="E154:E155"/>
    <mergeCell ref="F154:F155"/>
    <mergeCell ref="G154:G155"/>
    <mergeCell ref="H154:H155"/>
    <mergeCell ref="M154:M155"/>
    <mergeCell ref="O154:O155"/>
    <mergeCell ref="P154:P155"/>
    <mergeCell ref="Q154:Q155"/>
    <mergeCell ref="R154:R155"/>
    <mergeCell ref="S154:S155"/>
    <mergeCell ref="A165:A166"/>
    <mergeCell ref="B165:B166"/>
    <mergeCell ref="C165:C166"/>
    <mergeCell ref="D165:D166"/>
    <mergeCell ref="E165:E166"/>
    <mergeCell ref="F165:F166"/>
    <mergeCell ref="M165:M166"/>
    <mergeCell ref="R161:R164"/>
    <mergeCell ref="S161:S164"/>
    <mergeCell ref="O165:O166"/>
    <mergeCell ref="P165:P166"/>
    <mergeCell ref="Q165:Q166"/>
    <mergeCell ref="R165:R166"/>
    <mergeCell ref="N165:N166"/>
    <mergeCell ref="S165:S166"/>
    <mergeCell ref="U165:U166"/>
    <mergeCell ref="V165:V166"/>
    <mergeCell ref="R167:R170"/>
    <mergeCell ref="S167:S170"/>
    <mergeCell ref="T167:T170"/>
    <mergeCell ref="U167:U170"/>
    <mergeCell ref="V167:V170"/>
    <mergeCell ref="L177:L179"/>
    <mergeCell ref="V171:V176"/>
    <mergeCell ref="N167:N170"/>
    <mergeCell ref="N171:N176"/>
    <mergeCell ref="A167:A170"/>
    <mergeCell ref="B167:B170"/>
    <mergeCell ref="C167:C170"/>
    <mergeCell ref="D167:D170"/>
    <mergeCell ref="E167:E170"/>
    <mergeCell ref="F167:F170"/>
    <mergeCell ref="G167:G170"/>
    <mergeCell ref="H167:H170"/>
    <mergeCell ref="Q167:Q170"/>
    <mergeCell ref="A177:A179"/>
    <mergeCell ref="B177:B179"/>
    <mergeCell ref="C177:C179"/>
    <mergeCell ref="D177:D179"/>
    <mergeCell ref="E177:E179"/>
    <mergeCell ref="F177:F179"/>
    <mergeCell ref="G177:G179"/>
    <mergeCell ref="H177:H179"/>
    <mergeCell ref="N177:N179"/>
    <mergeCell ref="M177:M179"/>
    <mergeCell ref="I171:I176"/>
    <mergeCell ref="G171:G176"/>
    <mergeCell ref="A171:A176"/>
    <mergeCell ref="B171:B176"/>
    <mergeCell ref="C171:C176"/>
    <mergeCell ref="U171:U176"/>
    <mergeCell ref="D171:D176"/>
    <mergeCell ref="E171:E176"/>
    <mergeCell ref="F171:F176"/>
    <mergeCell ref="U203:U206"/>
    <mergeCell ref="V203:V206"/>
    <mergeCell ref="N196:N198"/>
    <mergeCell ref="N199:N202"/>
    <mergeCell ref="A196:A198"/>
    <mergeCell ref="B196:B198"/>
    <mergeCell ref="C196:C198"/>
    <mergeCell ref="D196:D198"/>
    <mergeCell ref="E196:E198"/>
    <mergeCell ref="F196:F198"/>
    <mergeCell ref="G196:G198"/>
    <mergeCell ref="V188:V189"/>
    <mergeCell ref="N180:N183"/>
    <mergeCell ref="N184:N187"/>
    <mergeCell ref="S177:S179"/>
    <mergeCell ref="T177:T179"/>
    <mergeCell ref="U177:U179"/>
    <mergeCell ref="V177:V179"/>
    <mergeCell ref="H196:H198"/>
    <mergeCell ref="M196:M198"/>
    <mergeCell ref="O196:O198"/>
    <mergeCell ref="P196:P198"/>
    <mergeCell ref="Q196:Q198"/>
    <mergeCell ref="R196:R198"/>
    <mergeCell ref="S196:S198"/>
    <mergeCell ref="T196:T198"/>
    <mergeCell ref="U196:U198"/>
    <mergeCell ref="A203:A206"/>
    <mergeCell ref="B203:B206"/>
    <mergeCell ref="C203:C206"/>
    <mergeCell ref="D203:D206"/>
    <mergeCell ref="E203:E206"/>
    <mergeCell ref="V196:V198"/>
    <mergeCell ref="A199:A202"/>
    <mergeCell ref="B199:B202"/>
    <mergeCell ref="C199:C202"/>
    <mergeCell ref="D199:D202"/>
    <mergeCell ref="E199:E202"/>
    <mergeCell ref="F199:F202"/>
    <mergeCell ref="G199:G202"/>
    <mergeCell ref="H199:H202"/>
    <mergeCell ref="M199:M202"/>
    <mergeCell ref="O199:O202"/>
    <mergeCell ref="P199:P202"/>
    <mergeCell ref="Q199:Q202"/>
    <mergeCell ref="R199:R202"/>
    <mergeCell ref="S199:S202"/>
    <mergeCell ref="T199:T202"/>
    <mergeCell ref="U199:U202"/>
    <mergeCell ref="V199:V202"/>
    <mergeCell ref="I196:I198"/>
    <mergeCell ref="J196:J198"/>
    <mergeCell ref="K196:K198"/>
    <mergeCell ref="L196:L198"/>
    <mergeCell ref="I199:I202"/>
    <mergeCell ref="J199:J202"/>
    <mergeCell ref="K199:K202"/>
    <mergeCell ref="U207:U211"/>
    <mergeCell ref="A214:A216"/>
    <mergeCell ref="B214:B216"/>
    <mergeCell ref="C214:C216"/>
    <mergeCell ref="D214:D216"/>
    <mergeCell ref="E214:E216"/>
    <mergeCell ref="F214:F216"/>
    <mergeCell ref="G212:G213"/>
    <mergeCell ref="H212:H213"/>
    <mergeCell ref="M212:M213"/>
    <mergeCell ref="O212:O213"/>
    <mergeCell ref="P212:P213"/>
    <mergeCell ref="Q212:Q213"/>
    <mergeCell ref="A212:A213"/>
    <mergeCell ref="B212:B213"/>
    <mergeCell ref="R212:R213"/>
    <mergeCell ref="S212:S213"/>
    <mergeCell ref="T212:T213"/>
    <mergeCell ref="I214:I216"/>
    <mergeCell ref="J214:J216"/>
    <mergeCell ref="K214:K216"/>
    <mergeCell ref="L214:L216"/>
    <mergeCell ref="R214:R216"/>
    <mergeCell ref="M214:M216"/>
    <mergeCell ref="Q214:Q216"/>
    <mergeCell ref="I207:I211"/>
    <mergeCell ref="J207:J211"/>
    <mergeCell ref="K207:K211"/>
    <mergeCell ref="L207:L211"/>
    <mergeCell ref="O203:O206"/>
    <mergeCell ref="P203:P206"/>
    <mergeCell ref="Q203:Q206"/>
    <mergeCell ref="R203:R206"/>
    <mergeCell ref="S214:S216"/>
    <mergeCell ref="T214:T216"/>
    <mergeCell ref="S203:S206"/>
    <mergeCell ref="T203:T206"/>
    <mergeCell ref="N207:N211"/>
    <mergeCell ref="N212:N213"/>
    <mergeCell ref="A207:A211"/>
    <mergeCell ref="B207:B211"/>
    <mergeCell ref="C207:C211"/>
    <mergeCell ref="D207:D211"/>
    <mergeCell ref="E207:E211"/>
    <mergeCell ref="F207:F211"/>
    <mergeCell ref="G207:G211"/>
    <mergeCell ref="H207:H211"/>
    <mergeCell ref="M207:M211"/>
    <mergeCell ref="O207:O211"/>
    <mergeCell ref="C212:C213"/>
    <mergeCell ref="P207:P211"/>
    <mergeCell ref="Q207:Q211"/>
    <mergeCell ref="R207:R211"/>
    <mergeCell ref="S207:S211"/>
    <mergeCell ref="T207:T211"/>
    <mergeCell ref="F203:F206"/>
    <mergeCell ref="G203:G206"/>
    <mergeCell ref="H203:H206"/>
    <mergeCell ref="N203:N206"/>
    <mergeCell ref="M203:M206"/>
    <mergeCell ref="I203:I206"/>
    <mergeCell ref="D217:D221"/>
    <mergeCell ref="E217:E221"/>
    <mergeCell ref="F217:F221"/>
    <mergeCell ref="I217:I221"/>
    <mergeCell ref="J217:J221"/>
    <mergeCell ref="K217:K221"/>
    <mergeCell ref="L217:L221"/>
    <mergeCell ref="U212:U213"/>
    <mergeCell ref="V212:V213"/>
    <mergeCell ref="I212:I213"/>
    <mergeCell ref="J212:J213"/>
    <mergeCell ref="K212:K213"/>
    <mergeCell ref="L212:L213"/>
    <mergeCell ref="H217:H221"/>
    <mergeCell ref="M217:M221"/>
    <mergeCell ref="O217:O221"/>
    <mergeCell ref="P217:P221"/>
    <mergeCell ref="Q217:Q221"/>
    <mergeCell ref="R217:R221"/>
    <mergeCell ref="S217:S221"/>
    <mergeCell ref="T217:T221"/>
    <mergeCell ref="U217:U221"/>
    <mergeCell ref="U214:U216"/>
    <mergeCell ref="V214:V216"/>
    <mergeCell ref="D212:D213"/>
    <mergeCell ref="E212:E213"/>
    <mergeCell ref="F212:F213"/>
    <mergeCell ref="V227:V228"/>
    <mergeCell ref="A229:A230"/>
    <mergeCell ref="B229:B230"/>
    <mergeCell ref="C229:C230"/>
    <mergeCell ref="D229:D230"/>
    <mergeCell ref="E229:E230"/>
    <mergeCell ref="F229:F230"/>
    <mergeCell ref="H229:H230"/>
    <mergeCell ref="V229:V230"/>
    <mergeCell ref="V217:V221"/>
    <mergeCell ref="A222:A225"/>
    <mergeCell ref="B222:B225"/>
    <mergeCell ref="C222:C225"/>
    <mergeCell ref="D222:D225"/>
    <mergeCell ref="E222:E225"/>
    <mergeCell ref="F222:F225"/>
    <mergeCell ref="G222:G225"/>
    <mergeCell ref="H222:H225"/>
    <mergeCell ref="M222:M225"/>
    <mergeCell ref="O222:O225"/>
    <mergeCell ref="P222:P225"/>
    <mergeCell ref="Q222:Q225"/>
    <mergeCell ref="R222:R225"/>
    <mergeCell ref="S222:S225"/>
    <mergeCell ref="T222:T225"/>
    <mergeCell ref="U222:U225"/>
    <mergeCell ref="V222:V225"/>
    <mergeCell ref="I222:I225"/>
    <mergeCell ref="A227:A228"/>
    <mergeCell ref="B227:B228"/>
    <mergeCell ref="C227:C228"/>
    <mergeCell ref="D227:D228"/>
    <mergeCell ref="R233:R234"/>
    <mergeCell ref="S233:S234"/>
    <mergeCell ref="T233:T234"/>
    <mergeCell ref="U233:U234"/>
    <mergeCell ref="A231:A232"/>
    <mergeCell ref="B231:B232"/>
    <mergeCell ref="C231:C232"/>
    <mergeCell ref="D231:D232"/>
    <mergeCell ref="E231:E232"/>
    <mergeCell ref="F231:F232"/>
    <mergeCell ref="G231:G232"/>
    <mergeCell ref="H231:H232"/>
    <mergeCell ref="G217:G221"/>
    <mergeCell ref="I229:I230"/>
    <mergeCell ref="N231:N232"/>
    <mergeCell ref="H227:H228"/>
    <mergeCell ref="M227:M228"/>
    <mergeCell ref="O227:O228"/>
    <mergeCell ref="P227:P228"/>
    <mergeCell ref="Q227:Q228"/>
    <mergeCell ref="R227:R228"/>
    <mergeCell ref="S227:S228"/>
    <mergeCell ref="T227:T228"/>
    <mergeCell ref="U227:U228"/>
    <mergeCell ref="N217:N221"/>
    <mergeCell ref="J222:J225"/>
    <mergeCell ref="K222:K225"/>
    <mergeCell ref="L222:L225"/>
    <mergeCell ref="N222:N225"/>
    <mergeCell ref="A217:A221"/>
    <mergeCell ref="B217:B221"/>
    <mergeCell ref="C217:C221"/>
    <mergeCell ref="E227:E228"/>
    <mergeCell ref="F227:F228"/>
    <mergeCell ref="G227:G228"/>
    <mergeCell ref="G229:G230"/>
    <mergeCell ref="A233:A234"/>
    <mergeCell ref="B233:B234"/>
    <mergeCell ref="C233:C234"/>
    <mergeCell ref="D233:D234"/>
    <mergeCell ref="E233:E234"/>
    <mergeCell ref="F233:F234"/>
    <mergeCell ref="G233:G234"/>
    <mergeCell ref="H233:H234"/>
    <mergeCell ref="O229:O230"/>
    <mergeCell ref="O233:O234"/>
    <mergeCell ref="I227:I228"/>
    <mergeCell ref="J227:J228"/>
    <mergeCell ref="K227:K228"/>
    <mergeCell ref="L227:L228"/>
    <mergeCell ref="J229:J230"/>
    <mergeCell ref="K229:K230"/>
    <mergeCell ref="L229:L230"/>
    <mergeCell ref="I231:I232"/>
    <mergeCell ref="J231:J232"/>
    <mergeCell ref="K231:K232"/>
    <mergeCell ref="L231:L232"/>
    <mergeCell ref="I233:I234"/>
    <mergeCell ref="J233:J234"/>
    <mergeCell ref="K233:K234"/>
    <mergeCell ref="L233:L234"/>
    <mergeCell ref="A243:A244"/>
    <mergeCell ref="B243:B244"/>
    <mergeCell ref="C243:C244"/>
    <mergeCell ref="D243:D244"/>
    <mergeCell ref="E243:E244"/>
    <mergeCell ref="F243:F244"/>
    <mergeCell ref="G243:G244"/>
    <mergeCell ref="H243:H244"/>
    <mergeCell ref="M243:M244"/>
    <mergeCell ref="O243:O244"/>
    <mergeCell ref="P243:P244"/>
    <mergeCell ref="Q243:Q244"/>
    <mergeCell ref="R243:R244"/>
    <mergeCell ref="S243:S244"/>
    <mergeCell ref="T243:T244"/>
    <mergeCell ref="U243:U244"/>
    <mergeCell ref="J243:J244"/>
    <mergeCell ref="K243:K244"/>
    <mergeCell ref="L243:L244"/>
    <mergeCell ref="B236:B238"/>
    <mergeCell ref="C236:C238"/>
    <mergeCell ref="D236:D238"/>
    <mergeCell ref="E236:E238"/>
    <mergeCell ref="AM22:AM24"/>
    <mergeCell ref="AN22:AN24"/>
    <mergeCell ref="AO22:AO24"/>
    <mergeCell ref="AP22:AP24"/>
    <mergeCell ref="AQ22:AQ24"/>
    <mergeCell ref="AR22:AR24"/>
    <mergeCell ref="N243:N244"/>
    <mergeCell ref="N20:N21"/>
    <mergeCell ref="N22:N24"/>
    <mergeCell ref="N25:N26"/>
    <mergeCell ref="N27:N28"/>
    <mergeCell ref="N29:N32"/>
    <mergeCell ref="N33:N37"/>
    <mergeCell ref="N38:N39"/>
    <mergeCell ref="N40:N41"/>
    <mergeCell ref="N55:N57"/>
    <mergeCell ref="N58:N60"/>
    <mergeCell ref="N61:N62"/>
    <mergeCell ref="N63:N67"/>
    <mergeCell ref="N68:N69"/>
    <mergeCell ref="M233:M234"/>
    <mergeCell ref="M229:M230"/>
    <mergeCell ref="G214:G216"/>
    <mergeCell ref="H214:H216"/>
    <mergeCell ref="N214:N216"/>
    <mergeCell ref="AM120:AM123"/>
    <mergeCell ref="AN120:AN123"/>
    <mergeCell ref="AO120:AO123"/>
    <mergeCell ref="AP120:AP123"/>
    <mergeCell ref="AQ120:AQ123"/>
    <mergeCell ref="AR120:AR123"/>
    <mergeCell ref="AM124:AM126"/>
    <mergeCell ref="AN124:AN126"/>
    <mergeCell ref="AO124:AO126"/>
    <mergeCell ref="AP124:AP126"/>
    <mergeCell ref="AQ124:AQ126"/>
    <mergeCell ref="AR124:AR126"/>
    <mergeCell ref="AM141:AM142"/>
    <mergeCell ref="AN141:AN142"/>
    <mergeCell ref="AO141:AO142"/>
    <mergeCell ref="AQ141:AQ142"/>
    <mergeCell ref="AP141:AP142"/>
    <mergeCell ref="AR141:AR142"/>
    <mergeCell ref="AM184:AM187"/>
    <mergeCell ref="AN184:AN187"/>
    <mergeCell ref="AO184:AO187"/>
    <mergeCell ref="AP184:AP187"/>
    <mergeCell ref="AQ184:AQ187"/>
    <mergeCell ref="AR184:AR187"/>
    <mergeCell ref="AM167:AM170"/>
    <mergeCell ref="AN167:AN170"/>
    <mergeCell ref="AO167:AO170"/>
    <mergeCell ref="AP167:AP170"/>
    <mergeCell ref="AQ167:AQ170"/>
    <mergeCell ref="AR167:AR170"/>
    <mergeCell ref="AM196:AM198"/>
    <mergeCell ref="AN196:AN198"/>
    <mergeCell ref="AO196:AO198"/>
    <mergeCell ref="AP196:AP198"/>
    <mergeCell ref="AQ196:AQ198"/>
    <mergeCell ref="AR196:AR198"/>
    <mergeCell ref="AM171:AM176"/>
    <mergeCell ref="AN171:AN176"/>
    <mergeCell ref="AO171:AO176"/>
    <mergeCell ref="AP171:AP176"/>
    <mergeCell ref="AQ171:AQ176"/>
    <mergeCell ref="AR171:AR176"/>
    <mergeCell ref="AM180:AM183"/>
    <mergeCell ref="AN180:AN183"/>
    <mergeCell ref="AO180:AO183"/>
    <mergeCell ref="AP180:AP183"/>
    <mergeCell ref="AQ180:AQ183"/>
    <mergeCell ref="AR180:AR183"/>
    <mergeCell ref="AM227:AM228"/>
    <mergeCell ref="AN227:AN228"/>
    <mergeCell ref="AO227:AO228"/>
    <mergeCell ref="AP227:AP228"/>
    <mergeCell ref="AQ227:AQ228"/>
    <mergeCell ref="AR227:AR228"/>
    <mergeCell ref="I243:I244"/>
    <mergeCell ref="U231:U232"/>
    <mergeCell ref="A246:A247"/>
    <mergeCell ref="B246:B247"/>
    <mergeCell ref="C246:C247"/>
    <mergeCell ref="D246:D247"/>
    <mergeCell ref="E246:E247"/>
    <mergeCell ref="F246:F247"/>
    <mergeCell ref="G246:G247"/>
    <mergeCell ref="H246:H247"/>
    <mergeCell ref="I246:I247"/>
    <mergeCell ref="J246:J247"/>
    <mergeCell ref="K246:K247"/>
    <mergeCell ref="L246:L247"/>
    <mergeCell ref="M246:M247"/>
    <mergeCell ref="N246:N247"/>
    <mergeCell ref="O246:O247"/>
    <mergeCell ref="P246:P247"/>
    <mergeCell ref="Q246:Q247"/>
    <mergeCell ref="R246:R247"/>
    <mergeCell ref="S246:S247"/>
    <mergeCell ref="T246:T247"/>
    <mergeCell ref="M239:M241"/>
    <mergeCell ref="N239:N241"/>
    <mergeCell ref="O239:O241"/>
    <mergeCell ref="P239:P241"/>
    <mergeCell ref="E239:E241"/>
    <mergeCell ref="F239:F241"/>
    <mergeCell ref="G239:G241"/>
    <mergeCell ref="H239:H241"/>
    <mergeCell ref="I239:I241"/>
    <mergeCell ref="J239:J241"/>
    <mergeCell ref="K239:K241"/>
    <mergeCell ref="L239:L241"/>
    <mergeCell ref="U246:U247"/>
    <mergeCell ref="V246:V247"/>
    <mergeCell ref="N188:N189"/>
    <mergeCell ref="M188:M189"/>
    <mergeCell ref="V243:V244"/>
    <mergeCell ref="V233:V234"/>
    <mergeCell ref="N233:N234"/>
    <mergeCell ref="M231:M232"/>
    <mergeCell ref="O231:O232"/>
    <mergeCell ref="P231:P232"/>
    <mergeCell ref="Q231:Q232"/>
    <mergeCell ref="R231:R232"/>
    <mergeCell ref="S231:S232"/>
    <mergeCell ref="T231:T232"/>
    <mergeCell ref="V207:V211"/>
    <mergeCell ref="O214:O216"/>
    <mergeCell ref="P214:P216"/>
    <mergeCell ref="V231:V232"/>
    <mergeCell ref="N227:N228"/>
    <mergeCell ref="N229:N230"/>
    <mergeCell ref="P229:P230"/>
    <mergeCell ref="Q229:Q230"/>
    <mergeCell ref="R229:R230"/>
    <mergeCell ref="S229:S230"/>
    <mergeCell ref="A193:A195"/>
    <mergeCell ref="B190:B192"/>
    <mergeCell ref="B193:B195"/>
    <mergeCell ref="C190:C192"/>
    <mergeCell ref="C193:C195"/>
    <mergeCell ref="D190:D192"/>
    <mergeCell ref="D193:D195"/>
    <mergeCell ref="E190:E192"/>
    <mergeCell ref="F190:F192"/>
    <mergeCell ref="G190:G192"/>
    <mergeCell ref="H190:H192"/>
    <mergeCell ref="E193:E195"/>
    <mergeCell ref="F193:F195"/>
    <mergeCell ref="G193:G195"/>
    <mergeCell ref="H193:H195"/>
    <mergeCell ref="A184:A187"/>
    <mergeCell ref="B184:B187"/>
    <mergeCell ref="C184:C187"/>
    <mergeCell ref="D184:D187"/>
    <mergeCell ref="E184:E187"/>
    <mergeCell ref="F184:F187"/>
    <mergeCell ref="G184:G187"/>
    <mergeCell ref="H184:H187"/>
    <mergeCell ref="C188:C189"/>
    <mergeCell ref="D188:D189"/>
    <mergeCell ref="E188:E189"/>
    <mergeCell ref="A188:A189"/>
    <mergeCell ref="B188:B189"/>
    <mergeCell ref="F188:F189"/>
    <mergeCell ref="G188:G189"/>
    <mergeCell ref="H188:H189"/>
    <mergeCell ref="U184:U187"/>
    <mergeCell ref="M167:M170"/>
    <mergeCell ref="O167:O170"/>
    <mergeCell ref="P167:P170"/>
    <mergeCell ref="O177:O179"/>
    <mergeCell ref="P177:P179"/>
    <mergeCell ref="Q177:Q179"/>
    <mergeCell ref="R177:R179"/>
    <mergeCell ref="C180:C183"/>
    <mergeCell ref="D180:D183"/>
    <mergeCell ref="E180:E183"/>
    <mergeCell ref="F180:F183"/>
    <mergeCell ref="G180:G183"/>
    <mergeCell ref="H180:H183"/>
    <mergeCell ref="M180:M183"/>
    <mergeCell ref="U180:U183"/>
    <mergeCell ref="A190:A192"/>
    <mergeCell ref="K188:K189"/>
    <mergeCell ref="L188:L189"/>
    <mergeCell ref="I184:I187"/>
    <mergeCell ref="J184:J187"/>
    <mergeCell ref="K184:K187"/>
    <mergeCell ref="L184:L187"/>
    <mergeCell ref="O188:O189"/>
    <mergeCell ref="P188:P189"/>
    <mergeCell ref="Q188:Q189"/>
    <mergeCell ref="R188:R189"/>
    <mergeCell ref="S188:S189"/>
    <mergeCell ref="T188:T189"/>
    <mergeCell ref="U188:U189"/>
    <mergeCell ref="B180:B183"/>
    <mergeCell ref="A180:A183"/>
    <mergeCell ref="G165:G166"/>
    <mergeCell ref="H165:H166"/>
    <mergeCell ref="O184:O187"/>
    <mergeCell ref="P184:P187"/>
    <mergeCell ref="Q184:Q187"/>
    <mergeCell ref="R184:R187"/>
    <mergeCell ref="S184:S187"/>
    <mergeCell ref="T184:T187"/>
    <mergeCell ref="O171:O176"/>
    <mergeCell ref="P171:P176"/>
    <mergeCell ref="Q171:Q176"/>
    <mergeCell ref="R171:R176"/>
    <mergeCell ref="S171:S176"/>
    <mergeCell ref="T171:T176"/>
    <mergeCell ref="K171:K176"/>
    <mergeCell ref="L171:L176"/>
    <mergeCell ref="I177:I179"/>
    <mergeCell ref="J177:J179"/>
    <mergeCell ref="K177:K179"/>
    <mergeCell ref="T165:T166"/>
    <mergeCell ref="H171:H176"/>
    <mergeCell ref="M171:M176"/>
    <mergeCell ref="Q233:Q234"/>
    <mergeCell ref="V184:V187"/>
    <mergeCell ref="I180:I183"/>
    <mergeCell ref="P193:P195"/>
    <mergeCell ref="P190:P192"/>
    <mergeCell ref="V180:V183"/>
    <mergeCell ref="M184:M187"/>
    <mergeCell ref="Q190:Q192"/>
    <mergeCell ref="R190:R192"/>
    <mergeCell ref="S190:S192"/>
    <mergeCell ref="T190:T192"/>
    <mergeCell ref="J180:J183"/>
    <mergeCell ref="K180:K183"/>
    <mergeCell ref="L180:L183"/>
    <mergeCell ref="O190:O192"/>
    <mergeCell ref="O193:O195"/>
    <mergeCell ref="R180:R183"/>
    <mergeCell ref="S180:S183"/>
    <mergeCell ref="T180:T183"/>
    <mergeCell ref="M190:M192"/>
    <mergeCell ref="M193:M195"/>
    <mergeCell ref="N190:N192"/>
    <mergeCell ref="N193:N195"/>
    <mergeCell ref="I190:I192"/>
    <mergeCell ref="J190:J192"/>
    <mergeCell ref="K190:K192"/>
    <mergeCell ref="L190:L192"/>
    <mergeCell ref="I193:I195"/>
    <mergeCell ref="J193:J195"/>
    <mergeCell ref="K193:K195"/>
    <mergeCell ref="L193:L195"/>
    <mergeCell ref="I188:I189"/>
    <mergeCell ref="N236:N238"/>
    <mergeCell ref="O236:O238"/>
    <mergeCell ref="P236:P238"/>
    <mergeCell ref="Q236:Q238"/>
    <mergeCell ref="R131:R132"/>
    <mergeCell ref="S131:S132"/>
    <mergeCell ref="T131:T132"/>
    <mergeCell ref="U131:U132"/>
    <mergeCell ref="Q131:Q132"/>
    <mergeCell ref="R239:R241"/>
    <mergeCell ref="S239:S241"/>
    <mergeCell ref="T239:T241"/>
    <mergeCell ref="U239:U241"/>
    <mergeCell ref="U190:U192"/>
    <mergeCell ref="V190:V192"/>
    <mergeCell ref="O180:O183"/>
    <mergeCell ref="P180:P183"/>
    <mergeCell ref="Q180:Q183"/>
    <mergeCell ref="R236:R238"/>
    <mergeCell ref="S236:S238"/>
    <mergeCell ref="T236:T238"/>
    <mergeCell ref="U236:U238"/>
    <mergeCell ref="V236:V238"/>
    <mergeCell ref="Q193:Q195"/>
    <mergeCell ref="R193:R195"/>
    <mergeCell ref="S193:S195"/>
    <mergeCell ref="T193:T195"/>
    <mergeCell ref="U193:U195"/>
    <mergeCell ref="V193:V195"/>
    <mergeCell ref="T229:T230"/>
    <mergeCell ref="U229:U230"/>
    <mergeCell ref="P233:P234"/>
    <mergeCell ref="S98:S100"/>
    <mergeCell ref="V239:V241"/>
    <mergeCell ref="A236:A238"/>
    <mergeCell ref="B239:B241"/>
    <mergeCell ref="C239:C241"/>
    <mergeCell ref="D239:D241"/>
    <mergeCell ref="A239:A241"/>
    <mergeCell ref="A131:A132"/>
    <mergeCell ref="B131:B132"/>
    <mergeCell ref="C131:C132"/>
    <mergeCell ref="D131:D132"/>
    <mergeCell ref="E131:E132"/>
    <mergeCell ref="F131:F132"/>
    <mergeCell ref="G131:G132"/>
    <mergeCell ref="H131:H132"/>
    <mergeCell ref="I131:I132"/>
    <mergeCell ref="J131:J132"/>
    <mergeCell ref="K131:K132"/>
    <mergeCell ref="L131:L132"/>
    <mergeCell ref="M131:M132"/>
    <mergeCell ref="N131:N132"/>
    <mergeCell ref="O131:O132"/>
    <mergeCell ref="P131:P132"/>
    <mergeCell ref="Q239:Q241"/>
    <mergeCell ref="F236:F238"/>
    <mergeCell ref="G236:G238"/>
    <mergeCell ref="H236:H238"/>
    <mergeCell ref="I236:I238"/>
    <mergeCell ref="J236:J238"/>
    <mergeCell ref="K236:K238"/>
    <mergeCell ref="L236:L238"/>
    <mergeCell ref="M236:M238"/>
  </mergeCells>
  <conditionalFormatting sqref="P13 P15 P116 P120 AG242:AG247 AG13:AG41 P95:P96 AG133:AG235 AG43:AG130">
    <cfRule type="cellIs" dxfId="193" priority="1431" stopIfTrue="1" operator="equal">
      <formula>"Muy Alta"</formula>
    </cfRule>
    <cfRule type="cellIs" dxfId="192" priority="1432" stopIfTrue="1" operator="equal">
      <formula>"Alta"</formula>
    </cfRule>
    <cfRule type="cellIs" dxfId="191" priority="1433" stopIfTrue="1" operator="equal">
      <formula>"Media"</formula>
    </cfRule>
    <cfRule type="cellIs" dxfId="190" priority="1434" stopIfTrue="1" operator="equal">
      <formula>"Baja"</formula>
    </cfRule>
    <cfRule type="cellIs" dxfId="189" priority="1435" stopIfTrue="1" operator="equal">
      <formula>"Muy Baja"</formula>
    </cfRule>
  </conditionalFormatting>
  <conditionalFormatting sqref="AI242:AI247 AI13:AI41 T95:T96 AI133:AI235 AI43:AI130">
    <cfRule type="cellIs" dxfId="188" priority="1412" stopIfTrue="1" operator="equal">
      <formula>"Catastrófico"</formula>
    </cfRule>
    <cfRule type="cellIs" dxfId="187" priority="1413" stopIfTrue="1" operator="equal">
      <formula>"Mayor"</formula>
    </cfRule>
    <cfRule type="cellIs" dxfId="186" priority="1414" stopIfTrue="1" operator="equal">
      <formula>"Moderado"</formula>
    </cfRule>
    <cfRule type="cellIs" dxfId="185" priority="1415" stopIfTrue="1" operator="equal">
      <formula>"Menor"</formula>
    </cfRule>
    <cfRule type="cellIs" dxfId="184" priority="1416" stopIfTrue="1" operator="equal">
      <formula>"Leve"</formula>
    </cfRule>
  </conditionalFormatting>
  <conditionalFormatting sqref="AK242:AK247 AK13:AK41 V95:V96 AK133:AK235 AK43:AK130">
    <cfRule type="cellIs" dxfId="183" priority="1408" stopIfTrue="1" operator="equal">
      <formula>"Extremo"</formula>
    </cfRule>
    <cfRule type="cellIs" dxfId="182" priority="1409" stopIfTrue="1" operator="equal">
      <formula>"Alto"</formula>
    </cfRule>
    <cfRule type="cellIs" dxfId="181" priority="1410" stopIfTrue="1" operator="equal">
      <formula>"Moderado"</formula>
    </cfRule>
    <cfRule type="cellIs" dxfId="180" priority="1411" stopIfTrue="1" operator="equal">
      <formula>"Bajo"</formula>
    </cfRule>
  </conditionalFormatting>
  <conditionalFormatting sqref="P33 P141">
    <cfRule type="cellIs" dxfId="179" priority="1165" stopIfTrue="1" operator="equal">
      <formula>"Muy Alta"</formula>
    </cfRule>
    <cfRule type="cellIs" dxfId="178" priority="1166" stopIfTrue="1" operator="equal">
      <formula>"Alta"</formula>
    </cfRule>
    <cfRule type="cellIs" dxfId="177" priority="1167" stopIfTrue="1" operator="equal">
      <formula>"Media"</formula>
    </cfRule>
    <cfRule type="cellIs" dxfId="176" priority="1168" stopIfTrue="1" operator="equal">
      <formula>"Baja"</formula>
    </cfRule>
    <cfRule type="cellIs" dxfId="175" priority="1169" stopIfTrue="1" operator="equal">
      <formula>"Muy Baja"</formula>
    </cfRule>
  </conditionalFormatting>
  <conditionalFormatting sqref="P17 P124 P127:P128 P131">
    <cfRule type="cellIs" dxfId="174" priority="1333" stopIfTrue="1" operator="equal">
      <formula>"Muy Alta"</formula>
    </cfRule>
    <cfRule type="cellIs" dxfId="173" priority="1334" stopIfTrue="1" operator="equal">
      <formula>"Alta"</formula>
    </cfRule>
    <cfRule type="cellIs" dxfId="172" priority="1335" stopIfTrue="1" operator="equal">
      <formula>"Media"</formula>
    </cfRule>
    <cfRule type="cellIs" dxfId="171" priority="1336" stopIfTrue="1" operator="equal">
      <formula>"Baja"</formula>
    </cfRule>
    <cfRule type="cellIs" dxfId="170" priority="1337" stopIfTrue="1" operator="equal">
      <formula>"Muy Baja"</formula>
    </cfRule>
  </conditionalFormatting>
  <conditionalFormatting sqref="P20 P133">
    <cfRule type="cellIs" dxfId="169" priority="1305" stopIfTrue="1" operator="equal">
      <formula>"Muy Alta"</formula>
    </cfRule>
    <cfRule type="cellIs" dxfId="168" priority="1306" stopIfTrue="1" operator="equal">
      <formula>"Alta"</formula>
    </cfRule>
    <cfRule type="cellIs" dxfId="167" priority="1307" stopIfTrue="1" operator="equal">
      <formula>"Media"</formula>
    </cfRule>
    <cfRule type="cellIs" dxfId="166" priority="1308" stopIfTrue="1" operator="equal">
      <formula>"Baja"</formula>
    </cfRule>
    <cfRule type="cellIs" dxfId="165" priority="1309" stopIfTrue="1" operator="equal">
      <formula>"Muy Baja"</formula>
    </cfRule>
  </conditionalFormatting>
  <conditionalFormatting sqref="P22 P135">
    <cfRule type="cellIs" dxfId="164" priority="1277" stopIfTrue="1" operator="equal">
      <formula>"Muy Alta"</formula>
    </cfRule>
    <cfRule type="cellIs" dxfId="163" priority="1278" stopIfTrue="1" operator="equal">
      <formula>"Alta"</formula>
    </cfRule>
    <cfRule type="cellIs" dxfId="162" priority="1279" stopIfTrue="1" operator="equal">
      <formula>"Media"</formula>
    </cfRule>
    <cfRule type="cellIs" dxfId="161" priority="1280" stopIfTrue="1" operator="equal">
      <formula>"Baja"</formula>
    </cfRule>
    <cfRule type="cellIs" dxfId="160" priority="1281" stopIfTrue="1" operator="equal">
      <formula>"Muy Baja"</formula>
    </cfRule>
  </conditionalFormatting>
  <conditionalFormatting sqref="P25 P136">
    <cfRule type="cellIs" dxfId="159" priority="1249" stopIfTrue="1" operator="equal">
      <formula>"Muy Alta"</formula>
    </cfRule>
    <cfRule type="cellIs" dxfId="158" priority="1250" stopIfTrue="1" operator="equal">
      <formula>"Alta"</formula>
    </cfRule>
    <cfRule type="cellIs" dxfId="157" priority="1251" stopIfTrue="1" operator="equal">
      <formula>"Media"</formula>
    </cfRule>
    <cfRule type="cellIs" dxfId="156" priority="1252" stopIfTrue="1" operator="equal">
      <formula>"Baja"</formula>
    </cfRule>
    <cfRule type="cellIs" dxfId="155" priority="1253" stopIfTrue="1" operator="equal">
      <formula>"Muy Baja"</formula>
    </cfRule>
  </conditionalFormatting>
  <conditionalFormatting sqref="P27 P138">
    <cfRule type="cellIs" dxfId="154" priority="1221" stopIfTrue="1" operator="equal">
      <formula>"Muy Alta"</formula>
    </cfRule>
    <cfRule type="cellIs" dxfId="153" priority="1222" stopIfTrue="1" operator="equal">
      <formula>"Alta"</formula>
    </cfRule>
    <cfRule type="cellIs" dxfId="152" priority="1223" stopIfTrue="1" operator="equal">
      <formula>"Media"</formula>
    </cfRule>
    <cfRule type="cellIs" dxfId="151" priority="1224" stopIfTrue="1" operator="equal">
      <formula>"Baja"</formula>
    </cfRule>
    <cfRule type="cellIs" dxfId="150" priority="1225" stopIfTrue="1" operator="equal">
      <formula>"Muy Baja"</formula>
    </cfRule>
  </conditionalFormatting>
  <conditionalFormatting sqref="P29 P140">
    <cfRule type="cellIs" dxfId="149" priority="1193" stopIfTrue="1" operator="equal">
      <formula>"Muy Alta"</formula>
    </cfRule>
    <cfRule type="cellIs" dxfId="148" priority="1194" stopIfTrue="1" operator="equal">
      <formula>"Alta"</formula>
    </cfRule>
    <cfRule type="cellIs" dxfId="147" priority="1195" stopIfTrue="1" operator="equal">
      <formula>"Media"</formula>
    </cfRule>
    <cfRule type="cellIs" dxfId="146" priority="1196" stopIfTrue="1" operator="equal">
      <formula>"Baja"</formula>
    </cfRule>
    <cfRule type="cellIs" dxfId="145" priority="1197" stopIfTrue="1" operator="equal">
      <formula>"Muy Baja"</formula>
    </cfRule>
  </conditionalFormatting>
  <conditionalFormatting sqref="P38 P40 P55 P58 P61 P63 P68 P70 P72 P75:P76 P78 P83 P85:P91 P93 P98 P101 P103 P110:P113 P143 P145 P147 P149 P152 P156 P154 P158:P159 P161 P165 P167 P171 P177 P184 P180 P188 P196 P199 P203 P207 P212 P214 P217 P222 P226:P227 P229 P231 P233 P235 P242:P243 P245:P246 P190 P193 P80:P81 P42:P46 P105:P106">
    <cfRule type="cellIs" dxfId="144" priority="1137" stopIfTrue="1" operator="equal">
      <formula>"Muy Alta"</formula>
    </cfRule>
    <cfRule type="cellIs" dxfId="143" priority="1138" stopIfTrue="1" operator="equal">
      <formula>"Alta"</formula>
    </cfRule>
    <cfRule type="cellIs" dxfId="142" priority="1139" stopIfTrue="1" operator="equal">
      <formula>"Media"</formula>
    </cfRule>
    <cfRule type="cellIs" dxfId="141" priority="1140" stopIfTrue="1" operator="equal">
      <formula>"Baja"</formula>
    </cfRule>
    <cfRule type="cellIs" dxfId="140" priority="1141" stopIfTrue="1" operator="equal">
      <formula>"Muy Baja"</formula>
    </cfRule>
  </conditionalFormatting>
  <conditionalFormatting sqref="S242:S247 S13:S46 S101:S235 S55:S98">
    <cfRule type="containsText" dxfId="139" priority="1113" stopIfTrue="1" operator="containsText" text="❌">
      <formula>NOT(ISERROR(SEARCH("❌",S13)))</formula>
    </cfRule>
  </conditionalFormatting>
  <conditionalFormatting sqref="S13 S15 S17 S20 S22 S25 S27 S29 S33 S38 S40 S55 S58 S61 S63 S68 S70 S72 S75:S76 S78 S83 S85:S91 S93 S98 S101 S103 S110:S113 S116 S120 S124 S133 S135:S136 S138 S140:S141 S143 S145 S147 S149 S152 S154 S156 S158:S159 S161 S165 S167 S171 S177 S180 S184 S188 S196 S199 S203 S207 S212 S214 S217 S222 S226:S227 S229 S231 S233 S235 S242:S243 S245:S246 S127:S128 S190 S193 S131 S80:S81 S42:S46 S95:S96 S105:S106">
    <cfRule type="cellIs" dxfId="138" priority="1430" stopIfTrue="1" operator="equal">
      <formula>"Leve"</formula>
    </cfRule>
  </conditionalFormatting>
  <conditionalFormatting sqref="T13 T15 T17 T20 T22 T25 T27 T29 T33 T38 T40 T55 T58 T61 T63 T68 T70 T72 T75:T76 T78 T83 T85:T91 T93 T98 T101 T103 T110:T113 T116 T120 T124 T133 T135:T136 T138 T140:T141 T143 T145 T147 T149 T152 T154 T156 T158:T159 T161 T165 T167 T171 T177 T180 T184 T188 T196 T199 T203 T207 T212 T214 T217 T222 T226:T227 T229 T231 T233 T235 T242:T243 T245:T246 T127:T128 T190 T193 T131 T80:T81 T42:T46 T105:T106">
    <cfRule type="cellIs" dxfId="137" priority="971" stopIfTrue="1" operator="equal">
      <formula>"Catastrófico"</formula>
    </cfRule>
    <cfRule type="cellIs" dxfId="136" priority="972" stopIfTrue="1" operator="equal">
      <formula>"Mayor"</formula>
    </cfRule>
    <cfRule type="cellIs" dxfId="135" priority="973" stopIfTrue="1" operator="equal">
      <formula>"Moderado"</formula>
    </cfRule>
    <cfRule type="cellIs" dxfId="134" priority="974" stopIfTrue="1" operator="equal">
      <formula>"Menor"</formula>
    </cfRule>
    <cfRule type="cellIs" dxfId="133" priority="975" stopIfTrue="1" operator="equal">
      <formula>"Leve"</formula>
    </cfRule>
  </conditionalFormatting>
  <conditionalFormatting sqref="V13 V15 V17 V20 V22 V25 V27 V29 V33 V38 V40 V55 V58 V61 V63 V68 V70 V72 V75:V76 V78 V83 V85:V91 V93 V98 V101 V103 V110:V113 V116 V120 V124 V133 V135:V136 V138 V140:V141 V143 V145 V147 V149 V152 V154 V156 V158:V159 V161 V165 V167 V171 V177 V180 V184 V188 V196 V199 V203 V207 V212 V214 V217 V222 V226:V227 V229 V231 V233 V235 V242:V243 V245:V246 V127:V128 V190 V193 V131 V80:V81 V42:V46 V105:V106">
    <cfRule type="cellIs" dxfId="132" priority="967" stopIfTrue="1" operator="equal">
      <formula>"Extremo"</formula>
    </cfRule>
    <cfRule type="cellIs" dxfId="131" priority="968" stopIfTrue="1" operator="equal">
      <formula>"Alto"</formula>
    </cfRule>
    <cfRule type="cellIs" dxfId="130" priority="969" stopIfTrue="1" operator="equal">
      <formula>"Moderado"</formula>
    </cfRule>
    <cfRule type="cellIs" dxfId="129" priority="970" stopIfTrue="1" operator="equal">
      <formula>"Bajo"</formula>
    </cfRule>
  </conditionalFormatting>
  <conditionalFormatting sqref="AG236:AG238">
    <cfRule type="cellIs" dxfId="128" priority="117" stopIfTrue="1" operator="equal">
      <formula>"Muy Alta"</formula>
    </cfRule>
    <cfRule type="cellIs" dxfId="127" priority="118" stopIfTrue="1" operator="equal">
      <formula>"Alta"</formula>
    </cfRule>
    <cfRule type="cellIs" dxfId="126" priority="119" stopIfTrue="1" operator="equal">
      <formula>"Media"</formula>
    </cfRule>
    <cfRule type="cellIs" dxfId="125" priority="120" stopIfTrue="1" operator="equal">
      <formula>"Baja"</formula>
    </cfRule>
    <cfRule type="cellIs" dxfId="124" priority="121" stopIfTrue="1" operator="equal">
      <formula>"Muy Baja"</formula>
    </cfRule>
  </conditionalFormatting>
  <conditionalFormatting sqref="AI236:AI238">
    <cfRule type="cellIs" dxfId="123" priority="112" stopIfTrue="1" operator="equal">
      <formula>"Catastrófico"</formula>
    </cfRule>
    <cfRule type="cellIs" dxfId="122" priority="113" stopIfTrue="1" operator="equal">
      <formula>"Mayor"</formula>
    </cfRule>
    <cfRule type="cellIs" dxfId="121" priority="114" stopIfTrue="1" operator="equal">
      <formula>"Moderado"</formula>
    </cfRule>
    <cfRule type="cellIs" dxfId="120" priority="115" stopIfTrue="1" operator="equal">
      <formula>"Menor"</formula>
    </cfRule>
    <cfRule type="cellIs" dxfId="119" priority="116" stopIfTrue="1" operator="equal">
      <formula>"Leve"</formula>
    </cfRule>
  </conditionalFormatting>
  <conditionalFormatting sqref="AK236:AK238">
    <cfRule type="cellIs" dxfId="118" priority="108" stopIfTrue="1" operator="equal">
      <formula>"Extremo"</formula>
    </cfRule>
    <cfRule type="cellIs" dxfId="117" priority="109" stopIfTrue="1" operator="equal">
      <formula>"Alto"</formula>
    </cfRule>
    <cfRule type="cellIs" dxfId="116" priority="110" stopIfTrue="1" operator="equal">
      <formula>"Moderado"</formula>
    </cfRule>
    <cfRule type="cellIs" dxfId="115" priority="111" stopIfTrue="1" operator="equal">
      <formula>"Bajo"</formula>
    </cfRule>
  </conditionalFormatting>
  <conditionalFormatting sqref="P236">
    <cfRule type="cellIs" dxfId="114" priority="103" stopIfTrue="1" operator="equal">
      <formula>"Muy Alta"</formula>
    </cfRule>
    <cfRule type="cellIs" dxfId="113" priority="104" stopIfTrue="1" operator="equal">
      <formula>"Alta"</formula>
    </cfRule>
    <cfRule type="cellIs" dxfId="112" priority="105" stopIfTrue="1" operator="equal">
      <formula>"Media"</formula>
    </cfRule>
    <cfRule type="cellIs" dxfId="111" priority="106" stopIfTrue="1" operator="equal">
      <formula>"Baja"</formula>
    </cfRule>
    <cfRule type="cellIs" dxfId="110" priority="107" stopIfTrue="1" operator="equal">
      <formula>"Muy Baja"</formula>
    </cfRule>
  </conditionalFormatting>
  <conditionalFormatting sqref="S236:S238">
    <cfRule type="containsText" dxfId="109" priority="102" stopIfTrue="1" operator="containsText" text="❌">
      <formula>NOT(ISERROR(SEARCH("❌",S236)))</formula>
    </cfRule>
  </conditionalFormatting>
  <conditionalFormatting sqref="S236">
    <cfRule type="cellIs" dxfId="108" priority="122" stopIfTrue="1" operator="equal">
      <formula>"Leve"</formula>
    </cfRule>
  </conditionalFormatting>
  <conditionalFormatting sqref="T236">
    <cfRule type="cellIs" dxfId="107" priority="97" stopIfTrue="1" operator="equal">
      <formula>"Catastrófico"</formula>
    </cfRule>
    <cfRule type="cellIs" dxfId="106" priority="98" stopIfTrue="1" operator="equal">
      <formula>"Mayor"</formula>
    </cfRule>
    <cfRule type="cellIs" dxfId="105" priority="99" stopIfTrue="1" operator="equal">
      <formula>"Moderado"</formula>
    </cfRule>
    <cfRule type="cellIs" dxfId="104" priority="100" stopIfTrue="1" operator="equal">
      <formula>"Menor"</formula>
    </cfRule>
    <cfRule type="cellIs" dxfId="103" priority="101" stopIfTrue="1" operator="equal">
      <formula>"Leve"</formula>
    </cfRule>
  </conditionalFormatting>
  <conditionalFormatting sqref="V236">
    <cfRule type="cellIs" dxfId="102" priority="93" stopIfTrue="1" operator="equal">
      <formula>"Extremo"</formula>
    </cfRule>
    <cfRule type="cellIs" dxfId="101" priority="94" stopIfTrue="1" operator="equal">
      <formula>"Alto"</formula>
    </cfRule>
    <cfRule type="cellIs" dxfId="100" priority="95" stopIfTrue="1" operator="equal">
      <formula>"Moderado"</formula>
    </cfRule>
    <cfRule type="cellIs" dxfId="99" priority="96" stopIfTrue="1" operator="equal">
      <formula>"Bajo"</formula>
    </cfRule>
  </conditionalFormatting>
  <conditionalFormatting sqref="AG239:AG241">
    <cfRule type="cellIs" dxfId="98" priority="73" stopIfTrue="1" operator="equal">
      <formula>"Muy Alta"</formula>
    </cfRule>
    <cfRule type="cellIs" dxfId="97" priority="74" stopIfTrue="1" operator="equal">
      <formula>"Alta"</formula>
    </cfRule>
    <cfRule type="cellIs" dxfId="96" priority="75" stopIfTrue="1" operator="equal">
      <formula>"Media"</formula>
    </cfRule>
    <cfRule type="cellIs" dxfId="95" priority="76" stopIfTrue="1" operator="equal">
      <formula>"Baja"</formula>
    </cfRule>
    <cfRule type="cellIs" dxfId="94" priority="77" stopIfTrue="1" operator="equal">
      <formula>"Muy Baja"</formula>
    </cfRule>
  </conditionalFormatting>
  <conditionalFormatting sqref="AI239:AI241">
    <cfRule type="cellIs" dxfId="93" priority="68" stopIfTrue="1" operator="equal">
      <formula>"Catastrófico"</formula>
    </cfRule>
    <cfRule type="cellIs" dxfId="92" priority="69" stopIfTrue="1" operator="equal">
      <formula>"Mayor"</formula>
    </cfRule>
    <cfRule type="cellIs" dxfId="91" priority="70" stopIfTrue="1" operator="equal">
      <formula>"Moderado"</formula>
    </cfRule>
    <cfRule type="cellIs" dxfId="90" priority="71" stopIfTrue="1" operator="equal">
      <formula>"Menor"</formula>
    </cfRule>
    <cfRule type="cellIs" dxfId="89" priority="72" stopIfTrue="1" operator="equal">
      <formula>"Leve"</formula>
    </cfRule>
  </conditionalFormatting>
  <conditionalFormatting sqref="AK239:AK241">
    <cfRule type="cellIs" dxfId="88" priority="64" stopIfTrue="1" operator="equal">
      <formula>"Extremo"</formula>
    </cfRule>
    <cfRule type="cellIs" dxfId="87" priority="65" stopIfTrue="1" operator="equal">
      <formula>"Alto"</formula>
    </cfRule>
    <cfRule type="cellIs" dxfId="86" priority="66" stopIfTrue="1" operator="equal">
      <formula>"Moderado"</formula>
    </cfRule>
    <cfRule type="cellIs" dxfId="85" priority="67" stopIfTrue="1" operator="equal">
      <formula>"Bajo"</formula>
    </cfRule>
  </conditionalFormatting>
  <conditionalFormatting sqref="P239">
    <cfRule type="cellIs" dxfId="84" priority="59" stopIfTrue="1" operator="equal">
      <formula>"Muy Alta"</formula>
    </cfRule>
    <cfRule type="cellIs" dxfId="83" priority="60" stopIfTrue="1" operator="equal">
      <formula>"Alta"</formula>
    </cfRule>
    <cfRule type="cellIs" dxfId="82" priority="61" stopIfTrue="1" operator="equal">
      <formula>"Media"</formula>
    </cfRule>
    <cfRule type="cellIs" dxfId="81" priority="62" stopIfTrue="1" operator="equal">
      <formula>"Baja"</formula>
    </cfRule>
    <cfRule type="cellIs" dxfId="80" priority="63" stopIfTrue="1" operator="equal">
      <formula>"Muy Baja"</formula>
    </cfRule>
  </conditionalFormatting>
  <conditionalFormatting sqref="S239:S241">
    <cfRule type="containsText" dxfId="79" priority="58" stopIfTrue="1" operator="containsText" text="❌">
      <formula>NOT(ISERROR(SEARCH("❌",S239)))</formula>
    </cfRule>
  </conditionalFormatting>
  <conditionalFormatting sqref="S239">
    <cfRule type="cellIs" dxfId="78" priority="78" stopIfTrue="1" operator="equal">
      <formula>"Leve"</formula>
    </cfRule>
  </conditionalFormatting>
  <conditionalFormatting sqref="T239">
    <cfRule type="cellIs" dxfId="77" priority="53" stopIfTrue="1" operator="equal">
      <formula>"Catastrófico"</formula>
    </cfRule>
    <cfRule type="cellIs" dxfId="76" priority="54" stopIfTrue="1" operator="equal">
      <formula>"Mayor"</formula>
    </cfRule>
    <cfRule type="cellIs" dxfId="75" priority="55" stopIfTrue="1" operator="equal">
      <formula>"Moderado"</formula>
    </cfRule>
    <cfRule type="cellIs" dxfId="74" priority="56" stopIfTrue="1" operator="equal">
      <formula>"Menor"</formula>
    </cfRule>
    <cfRule type="cellIs" dxfId="73" priority="57" stopIfTrue="1" operator="equal">
      <formula>"Leve"</formula>
    </cfRule>
  </conditionalFormatting>
  <conditionalFormatting sqref="V239">
    <cfRule type="cellIs" dxfId="72" priority="49" stopIfTrue="1" operator="equal">
      <formula>"Extremo"</formula>
    </cfRule>
    <cfRule type="cellIs" dxfId="71" priority="50" stopIfTrue="1" operator="equal">
      <formula>"Alto"</formula>
    </cfRule>
    <cfRule type="cellIs" dxfId="70" priority="51" stopIfTrue="1" operator="equal">
      <formula>"Moderado"</formula>
    </cfRule>
    <cfRule type="cellIs" dxfId="69" priority="52" stopIfTrue="1" operator="equal">
      <formula>"Bajo"</formula>
    </cfRule>
  </conditionalFormatting>
  <conditionalFormatting sqref="AG131:AG132">
    <cfRule type="cellIs" dxfId="68" priority="24" stopIfTrue="1" operator="equal">
      <formula>"Muy Alta"</formula>
    </cfRule>
    <cfRule type="cellIs" dxfId="67" priority="25" stopIfTrue="1" operator="equal">
      <formula>"Alta"</formula>
    </cfRule>
    <cfRule type="cellIs" dxfId="66" priority="26" stopIfTrue="1" operator="equal">
      <formula>"Media"</formula>
    </cfRule>
    <cfRule type="cellIs" dxfId="65" priority="27" stopIfTrue="1" operator="equal">
      <formula>"Baja"</formula>
    </cfRule>
    <cfRule type="cellIs" dxfId="64" priority="28" stopIfTrue="1" operator="equal">
      <formula>"Muy Baja"</formula>
    </cfRule>
  </conditionalFormatting>
  <conditionalFormatting sqref="AI131:AI132">
    <cfRule type="cellIs" dxfId="63" priority="19" stopIfTrue="1" operator="equal">
      <formula>"Catastrófico"</formula>
    </cfRule>
    <cfRule type="cellIs" dxfId="62" priority="20" stopIfTrue="1" operator="equal">
      <formula>"Mayor"</formula>
    </cfRule>
    <cfRule type="cellIs" dxfId="61" priority="21" stopIfTrue="1" operator="equal">
      <formula>"Moderado"</formula>
    </cfRule>
    <cfRule type="cellIs" dxfId="60" priority="22" stopIfTrue="1" operator="equal">
      <formula>"Menor"</formula>
    </cfRule>
    <cfRule type="cellIs" dxfId="59" priority="23" stopIfTrue="1" operator="equal">
      <formula>"Leve"</formula>
    </cfRule>
  </conditionalFormatting>
  <conditionalFormatting sqref="AK131:AK132">
    <cfRule type="cellIs" dxfId="58" priority="15" stopIfTrue="1" operator="equal">
      <formula>"Extremo"</formula>
    </cfRule>
    <cfRule type="cellIs" dxfId="57" priority="16" stopIfTrue="1" operator="equal">
      <formula>"Alto"</formula>
    </cfRule>
    <cfRule type="cellIs" dxfId="56" priority="17" stopIfTrue="1" operator="equal">
      <formula>"Moderado"</formula>
    </cfRule>
    <cfRule type="cellIs" dxfId="55" priority="18" stopIfTrue="1" operator="equal">
      <formula>"Bajo"</formula>
    </cfRule>
  </conditionalFormatting>
  <conditionalFormatting sqref="AG42">
    <cfRule type="cellIs" dxfId="54" priority="10" stopIfTrue="1" operator="equal">
      <formula>"Muy Alta"</formula>
    </cfRule>
    <cfRule type="cellIs" dxfId="53" priority="11" stopIfTrue="1" operator="equal">
      <formula>"Alta"</formula>
    </cfRule>
    <cfRule type="cellIs" dxfId="52" priority="12" stopIfTrue="1" operator="equal">
      <formula>"Media"</formula>
    </cfRule>
    <cfRule type="cellIs" dxfId="51" priority="13" stopIfTrue="1" operator="equal">
      <formula>"Baja"</formula>
    </cfRule>
    <cfRule type="cellIs" dxfId="50" priority="14" stopIfTrue="1" operator="equal">
      <formula>"Muy Baja"</formula>
    </cfRule>
  </conditionalFormatting>
  <conditionalFormatting sqref="AI42">
    <cfRule type="cellIs" dxfId="49" priority="5" stopIfTrue="1" operator="equal">
      <formula>"Catastrófico"</formula>
    </cfRule>
    <cfRule type="cellIs" dxfId="48" priority="6" stopIfTrue="1" operator="equal">
      <formula>"Mayor"</formula>
    </cfRule>
    <cfRule type="cellIs" dxfId="47" priority="7" stopIfTrue="1" operator="equal">
      <formula>"Moderado"</formula>
    </cfRule>
    <cfRule type="cellIs" dxfId="46" priority="8" stopIfTrue="1" operator="equal">
      <formula>"Menor"</formula>
    </cfRule>
    <cfRule type="cellIs" dxfId="45" priority="9" stopIfTrue="1" operator="equal">
      <formula>"Leve"</formula>
    </cfRule>
  </conditionalFormatting>
  <conditionalFormatting sqref="AK42">
    <cfRule type="cellIs" dxfId="44" priority="1" stopIfTrue="1" operator="equal">
      <formula>"Extremo"</formula>
    </cfRule>
    <cfRule type="cellIs" dxfId="43" priority="2" stopIfTrue="1" operator="equal">
      <formula>"Alto"</formula>
    </cfRule>
    <cfRule type="cellIs" dxfId="42" priority="3" stopIfTrue="1" operator="equal">
      <formula>"Moderado"</formula>
    </cfRule>
    <cfRule type="cellIs" dxfId="41" priority="4" stopIfTrue="1" operator="equal">
      <formula>"Bajo"</formula>
    </cfRule>
  </conditionalFormatting>
  <pageMargins left="0.70866141732283472" right="0.70866141732283472" top="0.74803149606299213" bottom="0.74803149606299213" header="0.31496062992125984" footer="0.31496062992125984"/>
  <pageSetup scale="15" fitToWidth="2" fitToHeight="20" orientation="landscape" r:id="rId1"/>
  <rowBreaks count="13" manualBreakCount="13">
    <brk id="24" min="1" max="43" man="1"/>
    <brk id="42" min="1" max="43" man="1"/>
    <brk id="54" min="1" max="43" man="1"/>
    <brk id="71" min="1" max="43" man="1"/>
    <brk id="85" max="43" man="1"/>
    <brk id="97" min="1" max="43" man="1"/>
    <brk id="115" min="1" max="43" man="1"/>
    <brk id="151" min="1" max="43" man="1"/>
    <brk id="170" min="1" max="43" man="1"/>
    <brk id="187" min="1" max="43" man="1"/>
    <brk id="206" min="1" max="43" man="1"/>
    <brk id="228" min="1" max="43" man="1"/>
    <brk id="242" min="1" max="43" man="1"/>
  </rowBreaks>
  <colBreaks count="1" manualBreakCount="1">
    <brk id="22" max="257" man="1"/>
  </colBreaks>
  <ignoredErrors>
    <ignoredError sqref="AF15 AF17 AF20 AF22 AF25 AF27 AF29 AF33 AF38 AF40 AF43 AF44 AF45 AF46 AF55 AF58 AF61 AF63 AF68 AF70 AF72 AF75 AF76 AF78 AF81 AF83 AF85 AF86 AF87 AF88 AF89 AF90 AF91 AF93 AF95 AF96 AF98 AF101 AF103 AF106 AF110 AF111 AF112 AF113 AF116 AF120 AF124 AF133 AF135 AF136 AF138 AF140 AF141 AF143 AF145 AF147 AF149 AF152 AF154 AF156 AF158 AF159 AF161 AF165 AF167 AF171 AF177 AF180 AF184 AF188 AF196 AF199 AF203 AF207 AF212 AF214 AF217 AF222 AF226 AF227 AF229 AF231 AF233 AF235 AF242 AF243"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503" id="{A09C5F6F-733E-40DA-9A0E-34C9FCA4D387}">
            <xm:f>M13='Opciones Tratamiento'!$C$11</xm:f>
            <x14:dxf>
              <fill>
                <patternFill patternType="darkGray"/>
              </fill>
            </x14:dxf>
          </x14:cfRule>
          <x14:cfRule type="expression" priority="1504" id="{46577976-4003-45B7-BD2C-6725E691A4CE}">
            <xm:f>M13='Opciones Tratamiento'!$C$10</xm:f>
            <x14:dxf>
              <fill>
                <patternFill patternType="darkGray"/>
              </fill>
            </x14:dxf>
          </x14:cfRule>
          <x14:cfRule type="expression" priority="1505" id="{49A353F6-ADF2-4B65-93C6-4AE97D972ED8}">
            <xm:f>M13='Opciones Tratamiento'!$C$7</xm:f>
            <x14:dxf>
              <fill>
                <patternFill patternType="darkGray"/>
              </fill>
            </x14:dxf>
          </x14:cfRule>
          <x14:cfRule type="expression" priority="1506" id="{23AF7F7E-8614-4ED6-96C9-4FA7C6421417}">
            <xm:f>M13='Opciones Tratamiento'!$C$6</xm:f>
            <x14:dxf>
              <fill>
                <patternFill patternType="darkGray"/>
              </fill>
            </x14:dxf>
          </x14:cfRule>
          <x14:cfRule type="expression" priority="1507" id="{A7F83DCF-1DAC-450F-9729-979E83F33745}">
            <xm:f>M13='Opciones Tratamiento'!$C$9</xm:f>
            <x14:dxf>
              <fill>
                <patternFill patternType="darkGray"/>
              </fill>
            </x14:dxf>
          </x14:cfRule>
          <x14:cfRule type="expression" priority="1508" id="{DC1A034C-4F1B-4EF9-A785-817A9B34E74A}">
            <xm:f>M13='Opciones Tratamiento'!$C$8</xm:f>
            <x14:dxf>
              <fill>
                <patternFill patternType="darkGray"/>
              </fill>
            </x14:dxf>
          </x14:cfRule>
          <x14:cfRule type="expression" priority="1509" id="{A57A189D-FAB6-4DE0-A123-BAC3D8B8E036}">
            <xm:f>M13='Opciones Tratamiento'!$C$5</xm:f>
            <x14:dxf>
              <fill>
                <patternFill patternType="darkGray"/>
              </fill>
            </x14:dxf>
          </x14:cfRule>
          <xm:sqref>N13:N28 N43:N51 N101:N247 N55:N99</xm:sqref>
        </x14:conditionalFormatting>
        <x14:conditionalFormatting xmlns:xm="http://schemas.microsoft.com/office/excel/2006/main">
          <x14:cfRule type="expression" priority="1510" id="{B522B72E-FB29-4C71-A6FD-C3693F9D0912}">
            <xm:f>M13='Opciones Tratamiento'!$C$12</xm:f>
            <x14:dxf>
              <fill>
                <patternFill patternType="darkGray">
                  <bgColor auto="1"/>
                </patternFill>
              </fill>
            </x14:dxf>
          </x14:cfRule>
          <xm:sqref>N13:N28 N43:N51 N101:N247 N55:N99</xm:sqref>
        </x14:conditionalFormatting>
        <x14:conditionalFormatting xmlns:xm="http://schemas.microsoft.com/office/excel/2006/main">
          <x14:cfRule type="expression" priority="169" id="{8CE4DD0D-FB0C-4382-937F-A39C5A4B4166}">
            <xm:f>M13='Opciones Tratamiento'!$C$18</xm:f>
            <x14:dxf>
              <fill>
                <patternFill patternType="darkGray"/>
              </fill>
            </x14:dxf>
          </x14:cfRule>
          <x14:cfRule type="expression" priority="170" id="{8B8E0C80-AA9C-4F6D-93EB-3C9181B404E5}">
            <xm:f>M13='Opciones Tratamiento'!$C$17</xm:f>
            <x14:dxf>
              <fill>
                <patternFill patternType="darkGray"/>
              </fill>
            </x14:dxf>
          </x14:cfRule>
          <x14:cfRule type="expression" priority="171" id="{CE3DBFEB-3F94-4BEA-851A-A062EE4F1804}">
            <xm:f>M13='Opciones Tratamiento'!$C$16</xm:f>
            <x14:dxf>
              <fill>
                <patternFill patternType="darkGray"/>
              </fill>
            </x14:dxf>
          </x14:cfRule>
          <x14:cfRule type="expression" priority="172" id="{E0DB60F0-8B95-480A-ABA7-09DB8FAFDB82}">
            <xm:f>M13='Opciones Tratamiento'!$C$15</xm:f>
            <x14:dxf>
              <fill>
                <patternFill patternType="darkGray"/>
              </fill>
            </x14:dxf>
          </x14:cfRule>
          <x14:cfRule type="expression" priority="173" id="{63593A40-61ED-49E1-A345-DE2A1C9F728B}">
            <xm:f>M13='Opciones Tratamiento'!$C$14</xm:f>
            <x14:dxf>
              <fill>
                <patternFill patternType="darkGray"/>
              </fill>
            </x14:dxf>
          </x14:cfRule>
          <x14:cfRule type="expression" priority="174" id="{B53650AD-C0C1-4A2F-BE44-26F5BD6C26D3}">
            <xm:f>M13='Opciones Tratamiento'!$C$13</xm:f>
            <x14:dxf>
              <fill>
                <patternFill patternType="darkGray"/>
              </fill>
            </x14:dxf>
          </x14:cfRule>
          <xm:sqref>N13:N28 N43:N51 N101:N247 N55:N99</xm:sqref>
        </x14:conditionalFormatting>
        <x14:conditionalFormatting xmlns:xm="http://schemas.microsoft.com/office/excel/2006/main">
          <x14:cfRule type="expression" priority="161" id="{02F55451-7AE7-4899-A6D8-30CB74F56DE7}">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2" id="{D3FA1C27-262B-4858-869F-0B18247CEF0C}">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3" id="{1DB62160-5D1C-4C7F-8CCE-310A928E7456}">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4" id="{BA405024-2A2A-48C3-A7F2-CB1317093C83}">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5" id="{94BC175C-1BFA-416E-A737-0A577918E9B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6" id="{1013E2C3-7987-4BC1-89DD-DBA955EFE04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7" id="{9B6D3B9A-F8F2-4321-BA39-A76A442BB2D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68" id="{195ACEBE-5FD6-4DB3-84E6-9A7CBE1CDA46}">
            <xm:f>M29='C:\Users\nicolas.corredor\OneDrive - Hospital Militar Central\Documentos\HOMIL -NCR\ADMINISTRACIÓN DE RIESGOS\2024\RIESGOS 2024\Mapa_de_Riesgos_por_Proceso_2024\[MR_Tecnologías_de_la_información_2024.xlsx]Opciones Tratamiento'!#REF!</xm:f>
            <x14:dxf>
              <fill>
                <patternFill patternType="darkGray">
                  <bgColor auto="1"/>
                </patternFill>
              </fill>
            </x14:dxf>
          </x14:cfRule>
          <xm:sqref>N29:N32</xm:sqref>
        </x14:conditionalFormatting>
        <x14:conditionalFormatting xmlns:xm="http://schemas.microsoft.com/office/excel/2006/main">
          <x14:cfRule type="expression" priority="155" id="{CAD6FA93-B1B0-460A-ADE1-963DC7AB42B0}">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6" id="{D5A53E1A-D484-47BF-854F-FD39C5B7D29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7" id="{BFC9FC19-362D-462F-8B27-FD2AE3CEDF2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8" id="{BE04C893-E075-4F9E-8248-54076C79B96E}">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9" id="{C7A7ECCF-773D-4965-B9D0-14BD42A2C054}">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0" id="{7733531A-461C-4C51-BBFF-19F62758DA6F}">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54" id="{B85F2A6A-737F-4DC5-B06F-6D55070BB6C4}">
            <xm:f>M33='C:\Users\nicolas.corredor\OneDrive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N33:N42</xm:sqref>
        </x14:conditionalFormatting>
        <x14:conditionalFormatting xmlns:xm="http://schemas.microsoft.com/office/excel/2006/main">
          <x14:cfRule type="expression" priority="147" id="{20F10899-E487-4B9D-AA2F-578D98295B3D}">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8" id="{6EF100F9-E69B-4CB8-9F7B-ED81C36F2A2C}">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9" id="{D96C9B48-7416-4522-9568-343556674F2E}">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0" id="{B4D01437-B772-4A4A-9636-A6D4AFA541BA}">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1" id="{03B9EBBE-51D7-4013-B5D0-E9B10DE91068}">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2" id="{3FC8F8E6-0288-4800-99E6-14347722F7B3}">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3" id="{FA672467-34A8-4D61-A128-FB665B876991}">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N33:N42</xm:sqref>
        </x14:conditionalFormatting>
      </x14:conditionalFormattings>
    </ext>
    <ext xmlns:x14="http://schemas.microsoft.com/office/spreadsheetml/2009/9/main" uri="{CCE6A557-97BC-4b89-ADB6-D9C93CAAB3DF}">
      <x14:dataValidations xmlns:xm="http://schemas.microsoft.com/office/excel/2006/main" count="20">
        <x14:dataValidation type="list" allowBlank="1" showInputMessage="1" showErrorMessage="1">
          <x14:formula1>
            <xm:f>'Opciones Tratamiento'!$B$4:$B$7</xm:f>
          </x14:formula1>
          <xm:sqref>E46:E51 E105 E13:E21</xm:sqref>
        </x14:dataValidation>
        <x14:dataValidation type="list" allowBlank="1" showInputMessage="1" showErrorMessage="1">
          <x14:formula1>
            <xm:f>'Opciones Tratamiento'!$D$4:$D$17</xm:f>
          </x14:formula1>
          <xm:sqref>R13:R51 R101:R247 R55:R99</xm:sqref>
        </x14:dataValidation>
        <x14:dataValidation type="list" allowBlank="1" showInputMessage="1" showErrorMessage="1">
          <x14:formula1>
            <xm:f>'Opciones Tratamiento'!$B$34:$B$49</xm:f>
          </x14:formula1>
          <xm:sqref>AR17:AR18 AR22 C101:C135 C13:C28 E43:E45 C43:C51 C68:C75 E68:E75 C239 E133:E135 E167:E195 C167:C195 E242:E247 E229:E235 C242:C247 C229:C236 E80:E99 E101:E104 E106:E126 E22:E27 C78:C99</xm:sqref>
        </x14:dataValidation>
        <x14:dataValidation type="list" allowBlank="1" showInputMessage="1" showErrorMessage="1">
          <x14:formula1>
            <xm:f>'Opciones Tratamiento'!$C$27:$C$29</xm:f>
          </x14:formula1>
          <xm:sqref>AR35:AR37 AR40 AR177:AR179 AR13:AR16 AR19:AR21 AR25:AR32 AR124 AR188:AR195 AR199:AR226 AR229:AR245 AR127:AR141 AR143:AR167 AR43:AR120</xm:sqref>
        </x14:dataValidation>
        <x14:dataValidation type="list" allowBlank="1" showInputMessage="1" showErrorMessage="1">
          <x14:formula1>
            <xm:f>'Opciones Tratamiento'!$C$4:$C$23</xm:f>
          </x14:formula1>
          <xm:sqref>M13:M51 M101:M127 M133:M247 M55:M99</xm:sqref>
        </x14:dataValidation>
        <x14:dataValidation type="list" allowBlank="1" showInputMessage="1" showErrorMessage="1">
          <x14:formula1>
            <xm:f>'[3]Opciones Tratamiento'!#REF!</xm:f>
          </x14:formula1>
          <xm:sqref>AR33:AR34 AR38:AR39 C29:C42 E29:E42</xm:sqref>
        </x14:dataValidation>
        <x14:dataValidation type="list" allowBlank="1" showInputMessage="1" showErrorMessage="1">
          <x14:formula1>
            <xm:f>'[4]Opciones Tratamiento'!#REF!</xm:f>
          </x14:formula1>
          <xm:sqref>C55:C67 E55:E67 E76:E79 C76:C77</xm:sqref>
        </x14:dataValidation>
        <x14:dataValidation type="list" allowBlank="1" showInputMessage="1" showErrorMessage="1">
          <x14:formula1>
            <xm:f>'[5]Opciones Tratamiento'!#REF!</xm:f>
          </x14:formula1>
          <xm:sqref>E236:E241 E136:E166 C136:C166</xm:sqref>
        </x14:dataValidation>
        <x14:dataValidation type="list" allowBlank="1" showInputMessage="1" showErrorMessage="1">
          <x14:formula1>
            <xm:f>'[6]Opciones Tratamiento'!#REF!</xm:f>
          </x14:formula1>
          <xm:sqref>AR171 AR180 AR184</xm:sqref>
        </x14:dataValidation>
        <x14:dataValidation type="list" allowBlank="1" showInputMessage="1" showErrorMessage="1">
          <x14:formula1>
            <xm:f>'[7]Opciones Tratamiento'!#REF!</xm:f>
          </x14:formula1>
          <xm:sqref>AR196 AR227</xm:sqref>
        </x14:dataValidation>
        <x14:dataValidation type="list" allowBlank="1" showInputMessage="1" showErrorMessage="1">
          <x14:formula1>
            <xm:f>'[8]Opciones Tratamiento'!#REF!</xm:f>
          </x14:formula1>
          <xm:sqref>AR246:AR247</xm:sqref>
        </x14:dataValidation>
        <x14:dataValidation type="list" allowBlank="1" showInputMessage="1" showErrorMessage="1">
          <x14:formula1>
            <xm:f>'[9]Opciones Tratamiento'!#REF!</xm:f>
          </x14:formula1>
          <xm:sqref>E127:E132 M128:M132</xm:sqref>
        </x14:dataValidation>
        <x14:dataValidation type="list" allowBlank="1" showInputMessage="1" showErrorMessage="1">
          <x14:formula1>
            <xm:f>'[10]Opciones Tratamiento'!#REF!</xm:f>
          </x14:formula1>
          <xm:sqref>C196:C228 E196:E228</xm:sqref>
        </x14:dataValidation>
        <x14:dataValidation type="list" allowBlank="1" showInputMessage="1" showErrorMessage="1">
          <x14:formula1>
            <xm:f>'[11]Opciones Tratamiento'!#REF!</xm:f>
          </x14:formula1>
          <xm:sqref>AR42</xm:sqref>
        </x14:dataValidation>
        <x14:dataValidation type="list" allowBlank="1" showInputMessage="1" showErrorMessage="1">
          <x14:formula1>
            <xm:f>'Tabla Valoración controles'!$D$4:$D$6</xm:f>
          </x14:formula1>
          <xm:sqref>Z13:Z247</xm:sqref>
        </x14:dataValidation>
        <x14:dataValidation type="list" allowBlank="1" showInputMessage="1" showErrorMessage="1">
          <x14:formula1>
            <xm:f>'Tabla Valoración controles'!$D$7:$D$8</xm:f>
          </x14:formula1>
          <xm:sqref>AA13:AA247</xm:sqref>
        </x14:dataValidation>
        <x14:dataValidation type="list" allowBlank="1" showInputMessage="1" showErrorMessage="1">
          <x14:formula1>
            <xm:f>'Tabla Valoración controles'!$D$9:$D$10</xm:f>
          </x14:formula1>
          <xm:sqref>AC13:AC247</xm:sqref>
        </x14:dataValidation>
        <x14:dataValidation type="list" allowBlank="1" showInputMessage="1" showErrorMessage="1">
          <x14:formula1>
            <xm:f>'Tabla Valoración controles'!$D$11:$D$12</xm:f>
          </x14:formula1>
          <xm:sqref>AD13:AD247</xm:sqref>
        </x14:dataValidation>
        <x14:dataValidation type="list" allowBlank="1" showInputMessage="1" showErrorMessage="1">
          <x14:formula1>
            <xm:f>'Opciones Tratamiento'!$B$27:$B$31</xm:f>
          </x14:formula1>
          <xm:sqref>AL13:AL247</xm:sqref>
        </x14:dataValidation>
        <x14:dataValidation type="list" allowBlank="1" showInputMessage="1" showErrorMessage="1">
          <x14:formula1>
            <xm:f>'Tabla Valoración controles'!$D$13:$D$14</xm:f>
          </x14:formula1>
          <xm:sqref>AE13:AE247</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BR71"/>
  <sheetViews>
    <sheetView view="pageBreakPreview" topLeftCell="A7" zoomScale="40" zoomScaleNormal="40" zoomScaleSheetLayoutView="40" workbookViewId="0">
      <selection activeCell="D10" sqref="D10:D11"/>
    </sheetView>
  </sheetViews>
  <sheetFormatPr baseColWidth="10" defaultColWidth="11.42578125" defaultRowHeight="16.5" x14ac:dyDescent="0.25"/>
  <cols>
    <col min="1" max="1" width="81.42578125" style="233" customWidth="1"/>
    <col min="2" max="2" width="22.28515625" style="233" bestFit="1" customWidth="1"/>
    <col min="3" max="3" width="100.28515625" style="233" customWidth="1"/>
    <col min="4" max="4" width="90.5703125" style="233" customWidth="1"/>
    <col min="5" max="5" width="42.28515625" style="233" customWidth="1"/>
    <col min="6" max="6" width="91" style="233" customWidth="1"/>
    <col min="7" max="8" width="48.140625" style="233" customWidth="1"/>
    <col min="9" max="10" width="90.85546875" style="233" customWidth="1"/>
    <col min="11" max="11" width="48.28515625" style="233" customWidth="1"/>
    <col min="12" max="12" width="35.42578125" style="233" customWidth="1"/>
    <col min="13" max="13" width="68.85546875" style="233" customWidth="1"/>
    <col min="14" max="14" width="20.42578125" style="233" customWidth="1"/>
    <col min="15" max="15" width="35.85546875" style="233" customWidth="1"/>
    <col min="16" max="16384" width="11.42578125" style="233"/>
  </cols>
  <sheetData>
    <row r="1" spans="1:70" s="222" customFormat="1" ht="24" thickBot="1" x14ac:dyDescent="0.3">
      <c r="A1" s="220"/>
      <c r="B1" s="220"/>
      <c r="C1" s="220"/>
      <c r="D1" s="220"/>
      <c r="E1" s="220"/>
      <c r="F1" s="220"/>
      <c r="G1" s="220"/>
      <c r="H1" s="220"/>
      <c r="I1" s="220"/>
      <c r="J1" s="220"/>
      <c r="K1" s="220"/>
      <c r="L1" s="220"/>
      <c r="M1" s="220"/>
      <c r="N1" s="221"/>
      <c r="O1" s="221"/>
      <c r="P1" s="221"/>
      <c r="Q1" s="221"/>
      <c r="R1" s="221"/>
      <c r="S1" s="221"/>
      <c r="T1" s="221"/>
      <c r="U1" s="221"/>
      <c r="V1" s="221"/>
      <c r="W1" s="221"/>
      <c r="X1" s="221"/>
      <c r="Y1" s="221"/>
      <c r="Z1" s="221"/>
      <c r="AA1" s="221"/>
      <c r="AB1" s="221"/>
      <c r="AC1" s="221"/>
      <c r="AD1" s="221"/>
      <c r="AE1" s="221"/>
      <c r="AF1" s="221"/>
      <c r="AG1" s="221"/>
      <c r="AH1" s="221"/>
      <c r="AI1" s="221"/>
      <c r="AJ1" s="221"/>
      <c r="AK1" s="221"/>
      <c r="AL1" s="221"/>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row>
    <row r="2" spans="1:70" s="222" customFormat="1" ht="70.5" customHeight="1" x14ac:dyDescent="0.25">
      <c r="A2" s="417" t="s">
        <v>60</v>
      </c>
      <c r="B2" s="418"/>
      <c r="C2" s="418"/>
      <c r="D2" s="435" t="s">
        <v>106</v>
      </c>
      <c r="E2" s="436"/>
      <c r="F2" s="436"/>
      <c r="G2" s="436"/>
      <c r="H2" s="436"/>
      <c r="I2" s="436"/>
      <c r="J2" s="436"/>
      <c r="K2" s="436"/>
      <c r="L2" s="437"/>
      <c r="M2" s="419" t="s">
        <v>107</v>
      </c>
      <c r="N2" s="221"/>
      <c r="O2" s="221"/>
      <c r="P2" s="221"/>
      <c r="Q2" s="221"/>
      <c r="R2" s="221"/>
      <c r="S2" s="221"/>
      <c r="T2" s="221"/>
      <c r="U2" s="221"/>
      <c r="V2" s="221"/>
      <c r="W2" s="221"/>
      <c r="X2" s="221"/>
      <c r="Y2" s="221"/>
      <c r="Z2" s="221"/>
      <c r="AA2" s="221"/>
      <c r="AB2" s="221"/>
      <c r="AC2" s="221"/>
      <c r="AD2" s="221"/>
      <c r="AE2" s="221"/>
      <c r="AF2" s="221"/>
      <c r="AG2" s="221"/>
      <c r="AH2" s="221"/>
      <c r="AI2" s="221"/>
      <c r="AJ2" s="221"/>
      <c r="AK2" s="221"/>
      <c r="AL2" s="221"/>
      <c r="AM2" s="221"/>
      <c r="AN2" s="221"/>
      <c r="AO2" s="221"/>
      <c r="AP2" s="221"/>
      <c r="AQ2" s="221"/>
      <c r="AR2" s="221"/>
      <c r="AS2" s="221"/>
      <c r="AT2" s="221"/>
      <c r="AU2" s="221"/>
      <c r="AV2" s="221"/>
      <c r="AW2" s="221"/>
      <c r="AX2" s="221"/>
      <c r="AY2" s="221"/>
      <c r="AZ2" s="221"/>
      <c r="BA2" s="221"/>
      <c r="BB2" s="221"/>
      <c r="BC2" s="221"/>
      <c r="BD2" s="221"/>
      <c r="BE2" s="221"/>
      <c r="BF2" s="221"/>
      <c r="BG2" s="221"/>
      <c r="BH2" s="221"/>
      <c r="BI2" s="221"/>
      <c r="BJ2" s="221"/>
      <c r="BK2" s="221"/>
      <c r="BL2" s="221"/>
      <c r="BM2" s="221"/>
      <c r="BN2" s="221"/>
      <c r="BO2" s="221"/>
      <c r="BP2" s="221"/>
      <c r="BQ2" s="221"/>
      <c r="BR2" s="221"/>
    </row>
    <row r="3" spans="1:70" s="222" customFormat="1" ht="34.5" customHeight="1" x14ac:dyDescent="0.25">
      <c r="A3" s="421"/>
      <c r="B3" s="422"/>
      <c r="C3" s="422"/>
      <c r="D3" s="429" t="s">
        <v>63</v>
      </c>
      <c r="E3" s="430"/>
      <c r="F3" s="430"/>
      <c r="G3" s="430"/>
      <c r="H3" s="430"/>
      <c r="I3" s="430"/>
      <c r="J3" s="430"/>
      <c r="K3" s="430"/>
      <c r="L3" s="431"/>
      <c r="M3" s="420"/>
      <c r="N3" s="223"/>
      <c r="O3" s="223"/>
      <c r="P3" s="223"/>
      <c r="Q3" s="223"/>
      <c r="R3" s="223"/>
      <c r="S3" s="223"/>
      <c r="T3" s="223"/>
      <c r="X3" s="221"/>
      <c r="Y3" s="221"/>
      <c r="Z3" s="221"/>
      <c r="AA3" s="221"/>
      <c r="AB3" s="221"/>
      <c r="AC3" s="221"/>
      <c r="AD3" s="221"/>
      <c r="AE3" s="221"/>
      <c r="AF3" s="221"/>
      <c r="AG3" s="221"/>
      <c r="AH3" s="221"/>
      <c r="AI3" s="221"/>
      <c r="AJ3" s="221"/>
      <c r="AK3" s="221"/>
      <c r="AL3" s="221"/>
      <c r="AM3" s="221"/>
      <c r="AN3" s="221"/>
      <c r="AO3" s="221"/>
      <c r="AP3" s="221"/>
      <c r="AQ3" s="221"/>
      <c r="AR3" s="221"/>
      <c r="AS3" s="221"/>
      <c r="AT3" s="221"/>
      <c r="AU3" s="221"/>
      <c r="AV3" s="221"/>
      <c r="AW3" s="221"/>
      <c r="AX3" s="221"/>
      <c r="AY3" s="221"/>
      <c r="AZ3" s="221"/>
      <c r="BA3" s="221"/>
      <c r="BB3" s="221"/>
      <c r="BC3" s="221"/>
      <c r="BD3" s="221"/>
      <c r="BE3" s="221"/>
      <c r="BF3" s="221"/>
      <c r="BG3" s="221"/>
      <c r="BH3" s="221"/>
      <c r="BI3" s="221"/>
      <c r="BJ3" s="221"/>
      <c r="BK3" s="221"/>
      <c r="BL3" s="221"/>
      <c r="BM3" s="221"/>
      <c r="BN3" s="221"/>
      <c r="BO3" s="221"/>
      <c r="BP3" s="221"/>
      <c r="BQ3" s="221"/>
      <c r="BR3" s="221"/>
    </row>
    <row r="4" spans="1:70" s="222" customFormat="1" ht="34.5" customHeight="1" x14ac:dyDescent="0.25">
      <c r="A4" s="421"/>
      <c r="B4" s="422"/>
      <c r="C4" s="422"/>
      <c r="D4" s="432"/>
      <c r="E4" s="433"/>
      <c r="F4" s="433"/>
      <c r="G4" s="433"/>
      <c r="H4" s="433"/>
      <c r="I4" s="433"/>
      <c r="J4" s="433"/>
      <c r="K4" s="433"/>
      <c r="L4" s="434"/>
      <c r="M4" s="224" t="s">
        <v>64</v>
      </c>
      <c r="N4" s="221"/>
      <c r="P4" s="225"/>
      <c r="Q4" s="225"/>
      <c r="R4" s="225"/>
      <c r="S4" s="225"/>
      <c r="T4" s="225"/>
      <c r="U4" s="225"/>
      <c r="V4" s="225"/>
      <c r="W4" s="225"/>
      <c r="X4" s="221"/>
      <c r="Y4" s="221"/>
      <c r="Z4" s="221"/>
      <c r="AA4" s="221"/>
      <c r="AB4" s="221"/>
      <c r="AC4" s="221"/>
      <c r="AD4" s="221"/>
      <c r="AE4" s="221"/>
      <c r="AF4" s="221"/>
      <c r="AG4" s="221"/>
      <c r="AH4" s="221"/>
      <c r="AI4" s="221"/>
      <c r="AJ4" s="221"/>
      <c r="AK4" s="221"/>
      <c r="AL4" s="221"/>
      <c r="AM4" s="221"/>
      <c r="AN4" s="221"/>
      <c r="AO4" s="221"/>
      <c r="AP4" s="221"/>
      <c r="AQ4" s="221"/>
      <c r="AR4" s="221"/>
      <c r="AS4" s="221"/>
      <c r="AT4" s="221"/>
      <c r="AU4" s="221"/>
      <c r="AV4" s="221"/>
      <c r="AW4" s="221"/>
      <c r="AX4" s="221"/>
      <c r="AY4" s="221"/>
      <c r="AZ4" s="221"/>
      <c r="BA4" s="221"/>
      <c r="BB4" s="221"/>
      <c r="BC4" s="221"/>
      <c r="BD4" s="221"/>
      <c r="BE4" s="221"/>
      <c r="BF4" s="221"/>
      <c r="BG4" s="221"/>
      <c r="BH4" s="221"/>
      <c r="BI4" s="221"/>
      <c r="BJ4" s="221"/>
      <c r="BK4" s="221"/>
      <c r="BL4" s="221"/>
      <c r="BM4" s="221"/>
      <c r="BN4" s="221"/>
      <c r="BO4" s="221"/>
      <c r="BP4" s="221"/>
      <c r="BQ4" s="221"/>
      <c r="BR4" s="221"/>
    </row>
    <row r="5" spans="1:70" s="222" customFormat="1" ht="34.5" customHeight="1" x14ac:dyDescent="0.25">
      <c r="A5" s="421"/>
      <c r="B5" s="422"/>
      <c r="C5" s="422"/>
      <c r="D5" s="441" t="s">
        <v>65</v>
      </c>
      <c r="E5" s="442"/>
      <c r="F5" s="442"/>
      <c r="G5" s="442"/>
      <c r="H5" s="442"/>
      <c r="I5" s="442"/>
      <c r="J5" s="442"/>
      <c r="K5" s="442"/>
      <c r="L5" s="443"/>
      <c r="M5" s="224" t="s">
        <v>108</v>
      </c>
      <c r="N5" s="221"/>
      <c r="P5" s="225"/>
      <c r="Q5" s="225"/>
      <c r="R5" s="225"/>
      <c r="S5" s="225"/>
      <c r="T5" s="225"/>
      <c r="U5" s="225"/>
      <c r="V5" s="225"/>
      <c r="W5" s="225"/>
      <c r="X5" s="221"/>
      <c r="Y5" s="221"/>
      <c r="Z5" s="221"/>
      <c r="AA5" s="221"/>
      <c r="AB5" s="221"/>
      <c r="AC5" s="221"/>
      <c r="AD5" s="221"/>
      <c r="AE5" s="221"/>
      <c r="AF5" s="221"/>
      <c r="AG5" s="221"/>
      <c r="AH5" s="221"/>
      <c r="AI5" s="221"/>
      <c r="AJ5" s="221"/>
      <c r="AK5" s="221"/>
      <c r="AL5" s="221"/>
      <c r="AM5" s="221"/>
      <c r="AN5" s="221"/>
      <c r="AO5" s="221"/>
      <c r="AP5" s="221"/>
      <c r="AQ5" s="221"/>
      <c r="AR5" s="221"/>
      <c r="AS5" s="221"/>
      <c r="AT5" s="221"/>
      <c r="AU5" s="221"/>
      <c r="AV5" s="221"/>
      <c r="AW5" s="221"/>
      <c r="AX5" s="221"/>
      <c r="AY5" s="221"/>
      <c r="AZ5" s="221"/>
      <c r="BA5" s="221"/>
      <c r="BB5" s="221"/>
      <c r="BC5" s="221"/>
      <c r="BD5" s="221"/>
      <c r="BE5" s="221"/>
      <c r="BF5" s="221"/>
      <c r="BG5" s="221"/>
      <c r="BH5" s="221"/>
      <c r="BI5" s="221"/>
      <c r="BJ5" s="221"/>
      <c r="BK5" s="221"/>
      <c r="BL5" s="221"/>
      <c r="BM5" s="221"/>
      <c r="BN5" s="221"/>
      <c r="BO5" s="221"/>
      <c r="BP5" s="221"/>
      <c r="BQ5" s="221"/>
      <c r="BR5" s="221"/>
    </row>
    <row r="6" spans="1:70" s="222" customFormat="1" ht="34.5" customHeight="1" x14ac:dyDescent="0.25">
      <c r="A6" s="421"/>
      <c r="B6" s="422"/>
      <c r="C6" s="422"/>
      <c r="D6" s="438" t="s">
        <v>67</v>
      </c>
      <c r="E6" s="439"/>
      <c r="F6" s="439"/>
      <c r="G6" s="439"/>
      <c r="H6" s="439"/>
      <c r="I6" s="439"/>
      <c r="J6" s="439"/>
      <c r="K6" s="439"/>
      <c r="L6" s="440"/>
      <c r="M6" s="224" t="s">
        <v>68</v>
      </c>
      <c r="N6" s="221"/>
      <c r="P6" s="226"/>
      <c r="Q6" s="226"/>
      <c r="R6" s="226"/>
      <c r="S6" s="226"/>
      <c r="T6" s="226"/>
      <c r="U6" s="226"/>
      <c r="V6" s="226"/>
      <c r="W6" s="226"/>
      <c r="X6" s="221"/>
      <c r="Y6" s="221"/>
      <c r="Z6" s="221"/>
      <c r="AA6" s="221"/>
      <c r="AB6" s="221"/>
      <c r="AC6" s="221"/>
      <c r="AD6" s="221"/>
      <c r="AE6" s="221"/>
      <c r="AF6" s="221"/>
      <c r="AG6" s="221"/>
      <c r="AH6" s="221"/>
      <c r="AI6" s="221"/>
      <c r="AJ6" s="221"/>
      <c r="AK6" s="221"/>
      <c r="AL6" s="221"/>
      <c r="AM6" s="221"/>
      <c r="AN6" s="221"/>
      <c r="AO6" s="221"/>
      <c r="AP6" s="221"/>
      <c r="AQ6" s="221"/>
      <c r="AR6" s="221"/>
      <c r="AS6" s="221"/>
      <c r="AT6" s="221"/>
      <c r="AU6" s="221"/>
      <c r="AV6" s="221"/>
      <c r="AW6" s="221"/>
      <c r="AX6" s="221"/>
      <c r="AY6" s="221"/>
      <c r="AZ6" s="221"/>
      <c r="BA6" s="221"/>
      <c r="BB6" s="221"/>
      <c r="BC6" s="221"/>
      <c r="BD6" s="221"/>
      <c r="BE6" s="221"/>
      <c r="BF6" s="221"/>
      <c r="BG6" s="221"/>
      <c r="BH6" s="221"/>
      <c r="BI6" s="221"/>
      <c r="BJ6" s="221"/>
      <c r="BK6" s="221"/>
      <c r="BL6" s="221"/>
      <c r="BM6" s="221"/>
      <c r="BN6" s="221"/>
      <c r="BO6" s="221"/>
      <c r="BP6" s="221"/>
      <c r="BQ6" s="221"/>
      <c r="BR6" s="221"/>
    </row>
    <row r="7" spans="1:70" s="222" customFormat="1" ht="33" customHeight="1" thickBot="1" x14ac:dyDescent="0.3">
      <c r="A7" s="423"/>
      <c r="B7" s="424"/>
      <c r="C7" s="424"/>
      <c r="D7" s="424"/>
      <c r="E7" s="424"/>
      <c r="F7" s="424"/>
      <c r="G7" s="424"/>
      <c r="H7" s="424"/>
      <c r="I7" s="424"/>
      <c r="J7" s="424"/>
      <c r="K7" s="424"/>
      <c r="L7" s="424"/>
      <c r="M7" s="425"/>
      <c r="N7" s="221"/>
      <c r="O7" s="226"/>
      <c r="P7" s="226"/>
      <c r="Q7" s="226"/>
      <c r="R7" s="226"/>
      <c r="S7" s="226"/>
      <c r="T7" s="226"/>
      <c r="U7" s="226"/>
      <c r="V7" s="226"/>
      <c r="W7" s="226"/>
      <c r="X7" s="221"/>
      <c r="Y7" s="221"/>
      <c r="Z7" s="221"/>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1"/>
      <c r="AY7" s="221"/>
      <c r="AZ7" s="221"/>
      <c r="BA7" s="221"/>
      <c r="BB7" s="221"/>
      <c r="BC7" s="221"/>
      <c r="BD7" s="221"/>
      <c r="BE7" s="221"/>
      <c r="BF7" s="221"/>
      <c r="BG7" s="221"/>
      <c r="BH7" s="221"/>
      <c r="BI7" s="221"/>
      <c r="BJ7" s="221"/>
      <c r="BK7" s="221"/>
      <c r="BL7" s="221"/>
      <c r="BM7" s="221"/>
      <c r="BN7" s="221"/>
      <c r="BO7" s="221"/>
      <c r="BP7" s="221"/>
      <c r="BQ7" s="221"/>
      <c r="BR7" s="221"/>
    </row>
    <row r="8" spans="1:70" s="222" customFormat="1" ht="29.25" customHeight="1" x14ac:dyDescent="0.25">
      <c r="A8" s="227"/>
      <c r="B8" s="220"/>
      <c r="C8" s="228"/>
      <c r="D8" s="228"/>
      <c r="E8" s="228"/>
      <c r="F8" s="228"/>
      <c r="G8" s="228"/>
      <c r="H8" s="228"/>
      <c r="I8" s="228"/>
      <c r="J8" s="228"/>
      <c r="K8" s="228"/>
      <c r="L8" s="228"/>
      <c r="M8" s="228"/>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1"/>
      <c r="AP8" s="221"/>
      <c r="AQ8" s="221"/>
      <c r="AR8" s="221"/>
      <c r="AS8" s="221"/>
      <c r="AT8" s="221"/>
      <c r="AU8" s="221"/>
      <c r="AV8" s="221"/>
      <c r="AW8" s="221"/>
      <c r="AX8" s="221"/>
      <c r="AY8" s="221"/>
      <c r="AZ8" s="221"/>
      <c r="BA8" s="221"/>
      <c r="BB8" s="221"/>
      <c r="BC8" s="221"/>
      <c r="BD8" s="221"/>
      <c r="BE8" s="221"/>
      <c r="BF8" s="221"/>
      <c r="BG8" s="221"/>
      <c r="BH8" s="221"/>
      <c r="BI8" s="221"/>
      <c r="BJ8" s="221"/>
      <c r="BK8" s="221"/>
      <c r="BL8" s="221"/>
      <c r="BM8" s="221"/>
      <c r="BN8" s="221"/>
      <c r="BO8" s="221"/>
      <c r="BP8" s="221"/>
      <c r="BQ8" s="221"/>
      <c r="BR8" s="221"/>
    </row>
    <row r="9" spans="1:70" s="222" customFormat="1" ht="177" customHeight="1" x14ac:dyDescent="0.25">
      <c r="A9" s="426" t="s">
        <v>922</v>
      </c>
      <c r="B9" s="427"/>
      <c r="C9" s="427"/>
      <c r="D9" s="427"/>
      <c r="E9" s="427"/>
      <c r="F9" s="427"/>
      <c r="G9" s="427"/>
      <c r="H9" s="427"/>
      <c r="I9" s="427"/>
      <c r="J9" s="427"/>
      <c r="K9" s="427"/>
      <c r="L9" s="427"/>
      <c r="M9" s="427"/>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1"/>
      <c r="AP9" s="221"/>
      <c r="AQ9" s="221"/>
      <c r="AR9" s="221"/>
      <c r="AS9" s="221"/>
      <c r="AT9" s="221"/>
      <c r="AU9" s="221"/>
      <c r="AV9" s="221"/>
      <c r="AW9" s="221"/>
      <c r="AX9" s="221"/>
      <c r="AY9" s="221"/>
      <c r="AZ9" s="221"/>
      <c r="BA9" s="221"/>
      <c r="BB9" s="221"/>
      <c r="BC9" s="221"/>
      <c r="BD9" s="221"/>
      <c r="BE9" s="221"/>
      <c r="BF9" s="221"/>
      <c r="BG9" s="221"/>
      <c r="BH9" s="221"/>
      <c r="BI9" s="221"/>
      <c r="BJ9" s="221"/>
      <c r="BK9" s="221"/>
      <c r="BL9" s="221"/>
      <c r="BM9" s="221"/>
      <c r="BN9" s="221"/>
      <c r="BO9" s="221"/>
      <c r="BP9" s="221"/>
      <c r="BQ9" s="221"/>
      <c r="BR9" s="221"/>
    </row>
    <row r="10" spans="1:70" s="222" customFormat="1" ht="106.5" customHeight="1" x14ac:dyDescent="0.25">
      <c r="A10" s="428" t="s">
        <v>109</v>
      </c>
      <c r="B10" s="428" t="s">
        <v>110</v>
      </c>
      <c r="C10" s="428"/>
      <c r="D10" s="428" t="s">
        <v>111</v>
      </c>
      <c r="E10" s="428" t="s">
        <v>112</v>
      </c>
      <c r="F10" s="428" t="s">
        <v>113</v>
      </c>
      <c r="G10" s="428"/>
      <c r="H10" s="428"/>
      <c r="I10" s="428"/>
      <c r="J10" s="428"/>
      <c r="K10" s="428"/>
      <c r="L10" s="428"/>
      <c r="M10" s="428"/>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1"/>
      <c r="AP10" s="221"/>
      <c r="AQ10" s="221"/>
      <c r="AR10" s="221"/>
      <c r="AS10" s="221"/>
      <c r="AT10" s="221"/>
      <c r="AU10" s="221"/>
      <c r="AV10" s="221"/>
      <c r="AW10" s="221"/>
      <c r="AX10" s="221"/>
      <c r="AY10" s="221"/>
      <c r="AZ10" s="221"/>
      <c r="BA10" s="221"/>
      <c r="BB10" s="221"/>
      <c r="BC10" s="221"/>
      <c r="BD10" s="221"/>
      <c r="BE10" s="221"/>
      <c r="BF10" s="221"/>
      <c r="BG10" s="221"/>
      <c r="BH10" s="221"/>
      <c r="BI10" s="221"/>
      <c r="BJ10" s="221"/>
      <c r="BK10" s="221"/>
      <c r="BL10" s="221"/>
      <c r="BM10" s="221"/>
      <c r="BN10" s="221"/>
      <c r="BO10" s="221"/>
      <c r="BP10" s="221"/>
      <c r="BQ10" s="221"/>
      <c r="BR10" s="221"/>
    </row>
    <row r="11" spans="1:70" s="222" customFormat="1" ht="206.25" customHeight="1" x14ac:dyDescent="0.25">
      <c r="A11" s="428"/>
      <c r="B11" s="229" t="s">
        <v>114</v>
      </c>
      <c r="C11" s="229" t="s">
        <v>21</v>
      </c>
      <c r="D11" s="428"/>
      <c r="E11" s="428"/>
      <c r="F11" s="229" t="s">
        <v>115</v>
      </c>
      <c r="G11" s="229" t="s">
        <v>116</v>
      </c>
      <c r="H11" s="229" t="s">
        <v>117</v>
      </c>
      <c r="I11" s="229" t="s">
        <v>118</v>
      </c>
      <c r="J11" s="229" t="s">
        <v>119</v>
      </c>
      <c r="K11" s="229" t="s">
        <v>93</v>
      </c>
      <c r="L11" s="229" t="s">
        <v>120</v>
      </c>
      <c r="M11" s="229" t="s">
        <v>121</v>
      </c>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1"/>
      <c r="AP11" s="221"/>
      <c r="AQ11" s="221"/>
      <c r="AR11" s="221"/>
      <c r="AS11" s="221"/>
      <c r="AT11" s="221"/>
      <c r="AU11" s="221"/>
      <c r="AV11" s="221"/>
      <c r="AW11" s="221"/>
      <c r="AX11" s="221"/>
      <c r="AY11" s="221"/>
      <c r="AZ11" s="221"/>
      <c r="BA11" s="221"/>
      <c r="BB11" s="221"/>
      <c r="BC11" s="221"/>
      <c r="BD11" s="221"/>
      <c r="BE11" s="221"/>
      <c r="BF11" s="221"/>
      <c r="BG11" s="221"/>
      <c r="BH11" s="221"/>
      <c r="BI11" s="221"/>
      <c r="BJ11" s="221"/>
      <c r="BK11" s="221"/>
      <c r="BL11" s="221"/>
      <c r="BM11" s="221"/>
      <c r="BN11" s="221"/>
      <c r="BO11" s="221"/>
      <c r="BP11" s="221"/>
      <c r="BQ11" s="221"/>
      <c r="BR11" s="221"/>
    </row>
    <row r="12" spans="1:70" s="231" customFormat="1" ht="92.25" customHeight="1" x14ac:dyDescent="0.25">
      <c r="A12" s="413" t="str">
        <f>A9</f>
        <v>MATRIZ DE MONITOREO DE RIESGOS I TRIMESTRE
(ENERO - MARZO)</v>
      </c>
      <c r="B12" s="414" t="str">
        <f>'Mapa final'!B13</f>
        <v>GBG_02</v>
      </c>
      <c r="C12" s="415"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16"/>
      <c r="E12" s="416"/>
      <c r="F12" s="412" t="str">
        <f t="shared" ref="F12:M12" si="0">IFERROR(IF($E12="","No",IF($E12="No","No"," "))," ")</f>
        <v>No</v>
      </c>
      <c r="G12" s="412" t="str">
        <f t="shared" si="0"/>
        <v>No</v>
      </c>
      <c r="H12" s="412" t="str">
        <f t="shared" si="0"/>
        <v>No</v>
      </c>
      <c r="I12" s="412" t="str">
        <f t="shared" si="0"/>
        <v>No</v>
      </c>
      <c r="J12" s="412" t="str">
        <f t="shared" si="0"/>
        <v>No</v>
      </c>
      <c r="K12" s="412" t="str">
        <f t="shared" si="0"/>
        <v>No</v>
      </c>
      <c r="L12" s="412" t="str">
        <f t="shared" si="0"/>
        <v>No</v>
      </c>
      <c r="M12" s="412" t="str">
        <f t="shared" si="0"/>
        <v>No</v>
      </c>
      <c r="N12" s="230"/>
      <c r="O12" s="230"/>
      <c r="P12" s="230"/>
      <c r="Q12" s="230"/>
      <c r="R12" s="230"/>
      <c r="S12" s="230"/>
      <c r="T12" s="230"/>
      <c r="U12" s="230"/>
      <c r="V12" s="230"/>
      <c r="W12" s="230"/>
      <c r="X12" s="230"/>
      <c r="Y12" s="230"/>
      <c r="Z12" s="230"/>
      <c r="AA12" s="230"/>
      <c r="AB12" s="230"/>
      <c r="AC12" s="230"/>
      <c r="AD12" s="230"/>
      <c r="AE12" s="230"/>
      <c r="AF12" s="230"/>
      <c r="AG12" s="230"/>
      <c r="AH12" s="230"/>
      <c r="AI12" s="230"/>
      <c r="AJ12" s="230"/>
      <c r="AK12" s="230"/>
      <c r="AL12" s="230"/>
      <c r="AM12" s="230"/>
      <c r="AN12" s="230"/>
      <c r="AO12" s="230"/>
      <c r="AP12" s="230"/>
      <c r="AQ12" s="230"/>
      <c r="AR12" s="230"/>
      <c r="AS12" s="230"/>
      <c r="AT12" s="230"/>
      <c r="AU12" s="230"/>
      <c r="AV12" s="230"/>
      <c r="AW12" s="230"/>
      <c r="AX12" s="230"/>
      <c r="AY12" s="230"/>
      <c r="AZ12" s="230"/>
      <c r="BA12" s="230"/>
      <c r="BB12" s="230"/>
      <c r="BC12" s="230"/>
      <c r="BD12" s="230"/>
      <c r="BE12" s="230"/>
      <c r="BF12" s="230"/>
      <c r="BG12" s="230"/>
      <c r="BH12" s="230"/>
      <c r="BI12" s="230"/>
      <c r="BJ12" s="230"/>
      <c r="BK12" s="230"/>
      <c r="BL12" s="230"/>
      <c r="BM12" s="230"/>
      <c r="BN12" s="230"/>
      <c r="BO12" s="230"/>
      <c r="BP12" s="230"/>
      <c r="BQ12" s="230"/>
      <c r="BR12" s="230"/>
    </row>
    <row r="13" spans="1:70" s="231" customFormat="1" ht="92.25" customHeight="1" x14ac:dyDescent="0.25">
      <c r="A13" s="413"/>
      <c r="B13" s="414"/>
      <c r="C13" s="415"/>
      <c r="D13" s="416"/>
      <c r="E13" s="416"/>
      <c r="F13" s="412"/>
      <c r="G13" s="412"/>
      <c r="H13" s="412"/>
      <c r="I13" s="412"/>
      <c r="J13" s="412"/>
      <c r="K13" s="412"/>
      <c r="L13" s="412"/>
      <c r="M13" s="412"/>
      <c r="N13" s="230"/>
      <c r="O13" s="230"/>
      <c r="P13" s="230"/>
      <c r="Q13" s="230"/>
      <c r="R13" s="230"/>
      <c r="S13" s="230"/>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c r="AW13" s="230"/>
      <c r="AX13" s="230"/>
      <c r="AY13" s="230"/>
      <c r="AZ13" s="230"/>
      <c r="BA13" s="230"/>
      <c r="BB13" s="230"/>
      <c r="BC13" s="230"/>
      <c r="BD13" s="230"/>
      <c r="BE13" s="230"/>
      <c r="BF13" s="230"/>
      <c r="BG13" s="230"/>
      <c r="BH13" s="230"/>
      <c r="BI13" s="230"/>
      <c r="BJ13" s="230"/>
      <c r="BK13" s="230"/>
      <c r="BL13" s="230"/>
      <c r="BM13" s="230"/>
      <c r="BN13" s="230"/>
      <c r="BO13" s="230"/>
      <c r="BP13" s="230"/>
      <c r="BQ13" s="230"/>
      <c r="BR13" s="230"/>
    </row>
    <row r="14" spans="1:70" s="231" customFormat="1" ht="92.25" customHeight="1" x14ac:dyDescent="0.25">
      <c r="A14" s="413"/>
      <c r="B14" s="414"/>
      <c r="C14" s="415"/>
      <c r="D14" s="416"/>
      <c r="E14" s="416"/>
      <c r="F14" s="412"/>
      <c r="G14" s="412"/>
      <c r="H14" s="412"/>
      <c r="I14" s="412"/>
      <c r="J14" s="412"/>
      <c r="K14" s="412"/>
      <c r="L14" s="412"/>
      <c r="M14" s="412"/>
      <c r="N14" s="230"/>
      <c r="O14" s="230"/>
      <c r="P14" s="230"/>
      <c r="Q14" s="230"/>
      <c r="R14" s="230"/>
      <c r="S14" s="230"/>
      <c r="T14" s="230"/>
      <c r="U14" s="230"/>
      <c r="V14" s="230"/>
      <c r="W14" s="230"/>
      <c r="X14" s="230"/>
      <c r="Y14" s="230"/>
      <c r="Z14" s="230"/>
      <c r="AA14" s="230"/>
      <c r="AB14" s="230"/>
      <c r="AC14" s="230"/>
      <c r="AD14" s="230"/>
      <c r="AE14" s="230"/>
      <c r="AF14" s="230"/>
      <c r="AG14" s="230"/>
      <c r="AH14" s="230"/>
      <c r="AI14" s="230"/>
      <c r="AJ14" s="230"/>
      <c r="AK14" s="230"/>
      <c r="AL14" s="230"/>
      <c r="AM14" s="230"/>
      <c r="AN14" s="230"/>
      <c r="AO14" s="230"/>
      <c r="AP14" s="230"/>
      <c r="AQ14" s="230"/>
      <c r="AR14" s="230"/>
      <c r="AS14" s="230"/>
      <c r="AT14" s="230"/>
      <c r="AU14" s="230"/>
      <c r="AV14" s="230"/>
      <c r="AW14" s="230"/>
      <c r="AX14" s="230"/>
      <c r="AY14" s="230"/>
      <c r="AZ14" s="230"/>
      <c r="BA14" s="230"/>
      <c r="BB14" s="230"/>
      <c r="BC14" s="230"/>
      <c r="BD14" s="230"/>
      <c r="BE14" s="230"/>
      <c r="BF14" s="230"/>
      <c r="BG14" s="230"/>
      <c r="BH14" s="230"/>
      <c r="BI14" s="230"/>
      <c r="BJ14" s="230"/>
      <c r="BK14" s="230"/>
      <c r="BL14" s="230"/>
      <c r="BM14" s="230"/>
      <c r="BN14" s="230"/>
      <c r="BO14" s="230"/>
      <c r="BP14" s="230"/>
      <c r="BQ14" s="230"/>
      <c r="BR14" s="230"/>
    </row>
    <row r="15" spans="1:70" s="231" customFormat="1" ht="92.25" customHeight="1" x14ac:dyDescent="0.25">
      <c r="A15" s="413"/>
      <c r="B15" s="414" t="str">
        <f>'Mapa final'!$B$15</f>
        <v>GBG_03</v>
      </c>
      <c r="C15" s="415" t="str">
        <f>'Mapa final'!$H$15</f>
        <v>Posibilidad de afectación económica y reputacional por demandas legales y sanciones, debido a la omisión de la declaración de impedimento o recusación ante la posibilidad real o aparente de un conflicto de interés.</v>
      </c>
      <c r="D15" s="416"/>
      <c r="E15" s="416"/>
      <c r="F15" s="412" t="str">
        <f t="shared" ref="F15:M39" si="1">IFERROR(IF($E15="","No",IF($E15="No","No"," "))," ")</f>
        <v>No</v>
      </c>
      <c r="G15" s="412" t="str">
        <f t="shared" si="1"/>
        <v>No</v>
      </c>
      <c r="H15" s="412" t="str">
        <f t="shared" si="1"/>
        <v>No</v>
      </c>
      <c r="I15" s="412" t="str">
        <f t="shared" si="1"/>
        <v>No</v>
      </c>
      <c r="J15" s="412" t="str">
        <f t="shared" si="1"/>
        <v>No</v>
      </c>
      <c r="K15" s="412" t="str">
        <f t="shared" si="1"/>
        <v>No</v>
      </c>
      <c r="L15" s="412" t="str">
        <f t="shared" si="1"/>
        <v>No</v>
      </c>
      <c r="M15" s="412" t="str">
        <f t="shared" si="1"/>
        <v>No</v>
      </c>
      <c r="N15" s="230"/>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c r="AW15" s="230"/>
      <c r="AX15" s="230"/>
      <c r="AY15" s="230"/>
      <c r="AZ15" s="230"/>
      <c r="BA15" s="230"/>
      <c r="BB15" s="230"/>
      <c r="BC15" s="230"/>
      <c r="BD15" s="230"/>
      <c r="BE15" s="230"/>
      <c r="BF15" s="230"/>
      <c r="BG15" s="230"/>
      <c r="BH15" s="230"/>
      <c r="BI15" s="230"/>
      <c r="BJ15" s="230"/>
      <c r="BK15" s="230"/>
      <c r="BL15" s="230"/>
      <c r="BM15" s="230"/>
      <c r="BN15" s="230"/>
      <c r="BO15" s="230"/>
      <c r="BP15" s="230"/>
      <c r="BQ15" s="230"/>
      <c r="BR15" s="230"/>
    </row>
    <row r="16" spans="1:70" s="231" customFormat="1" ht="92.25" customHeight="1" x14ac:dyDescent="0.25">
      <c r="A16" s="413"/>
      <c r="B16" s="414"/>
      <c r="C16" s="415"/>
      <c r="D16" s="416"/>
      <c r="E16" s="416"/>
      <c r="F16" s="412"/>
      <c r="G16" s="412"/>
      <c r="H16" s="412"/>
      <c r="I16" s="412"/>
      <c r="J16" s="412"/>
      <c r="K16" s="412"/>
      <c r="L16" s="412"/>
      <c r="M16" s="412"/>
      <c r="N16" s="230"/>
      <c r="O16" s="230"/>
      <c r="P16" s="230"/>
      <c r="Q16" s="230"/>
      <c r="R16" s="230"/>
      <c r="S16" s="230"/>
      <c r="T16" s="230"/>
      <c r="U16" s="230"/>
      <c r="V16" s="230"/>
      <c r="W16" s="230"/>
      <c r="X16" s="230"/>
      <c r="Y16" s="230"/>
      <c r="Z16" s="230"/>
      <c r="AA16" s="230"/>
      <c r="AB16" s="230"/>
      <c r="AC16" s="230"/>
      <c r="AD16" s="230"/>
      <c r="AE16" s="230"/>
      <c r="AF16" s="230"/>
      <c r="AG16" s="230"/>
      <c r="AH16" s="230"/>
      <c r="AI16" s="230"/>
      <c r="AJ16" s="230"/>
      <c r="AK16" s="230"/>
      <c r="AL16" s="230"/>
      <c r="AM16" s="230"/>
      <c r="AN16" s="230"/>
      <c r="AO16" s="230"/>
      <c r="AP16" s="230"/>
      <c r="AQ16" s="230"/>
      <c r="AR16" s="230"/>
      <c r="AS16" s="230"/>
      <c r="AT16" s="230"/>
      <c r="AU16" s="230"/>
      <c r="AV16" s="230"/>
      <c r="AW16" s="230"/>
      <c r="AX16" s="230"/>
      <c r="AY16" s="230"/>
      <c r="AZ16" s="230"/>
      <c r="BA16" s="230"/>
      <c r="BB16" s="230"/>
      <c r="BC16" s="230"/>
      <c r="BD16" s="230"/>
      <c r="BE16" s="230"/>
      <c r="BF16" s="230"/>
      <c r="BG16" s="230"/>
      <c r="BH16" s="230"/>
      <c r="BI16" s="230"/>
      <c r="BJ16" s="230"/>
      <c r="BK16" s="230"/>
      <c r="BL16" s="230"/>
      <c r="BM16" s="230"/>
      <c r="BN16" s="230"/>
      <c r="BO16" s="230"/>
      <c r="BP16" s="230"/>
      <c r="BQ16" s="230"/>
      <c r="BR16" s="230"/>
    </row>
    <row r="17" spans="1:70" s="231" customFormat="1" ht="92.25" customHeight="1" x14ac:dyDescent="0.25">
      <c r="A17" s="413"/>
      <c r="B17" s="414"/>
      <c r="C17" s="415"/>
      <c r="D17" s="416"/>
      <c r="E17" s="416"/>
      <c r="F17" s="412"/>
      <c r="G17" s="412"/>
      <c r="H17" s="412"/>
      <c r="I17" s="412"/>
      <c r="J17" s="412"/>
      <c r="K17" s="412"/>
      <c r="L17" s="412"/>
      <c r="M17" s="412"/>
      <c r="N17" s="230"/>
      <c r="O17" s="230"/>
      <c r="P17" s="230"/>
      <c r="Q17" s="230"/>
      <c r="R17" s="230"/>
      <c r="S17" s="230"/>
      <c r="T17" s="230"/>
      <c r="U17" s="230"/>
      <c r="V17" s="230"/>
      <c r="W17" s="230"/>
      <c r="X17" s="230"/>
      <c r="Y17" s="230"/>
      <c r="Z17" s="230"/>
      <c r="AA17" s="230"/>
      <c r="AB17" s="230"/>
      <c r="AC17" s="230"/>
      <c r="AD17" s="230"/>
      <c r="AE17" s="230"/>
      <c r="AF17" s="230"/>
      <c r="AG17" s="230"/>
      <c r="AH17" s="230"/>
      <c r="AI17" s="230"/>
      <c r="AJ17" s="230"/>
      <c r="AK17" s="230"/>
      <c r="AL17" s="230"/>
      <c r="AM17" s="230"/>
      <c r="AN17" s="230"/>
      <c r="AO17" s="230"/>
      <c r="AP17" s="230"/>
      <c r="AQ17" s="230"/>
      <c r="AR17" s="230"/>
      <c r="AS17" s="230"/>
      <c r="AT17" s="230"/>
      <c r="AU17" s="230"/>
      <c r="AV17" s="230"/>
      <c r="AW17" s="230"/>
      <c r="AX17" s="230"/>
      <c r="AY17" s="230"/>
      <c r="AZ17" s="230"/>
      <c r="BA17" s="230"/>
      <c r="BB17" s="230"/>
      <c r="BC17" s="230"/>
      <c r="BD17" s="230"/>
      <c r="BE17" s="230"/>
      <c r="BF17" s="230"/>
      <c r="BG17" s="230"/>
      <c r="BH17" s="230"/>
      <c r="BI17" s="230"/>
      <c r="BJ17" s="230"/>
      <c r="BK17" s="230"/>
      <c r="BL17" s="230"/>
      <c r="BM17" s="230"/>
      <c r="BN17" s="230"/>
      <c r="BO17" s="230"/>
      <c r="BP17" s="230"/>
      <c r="BQ17" s="230"/>
      <c r="BR17" s="230"/>
    </row>
    <row r="18" spans="1:70" s="231" customFormat="1" ht="92.25" customHeight="1" x14ac:dyDescent="0.25">
      <c r="A18" s="413"/>
      <c r="B18" s="414" t="str">
        <f>'Mapa final'!$B$17</f>
        <v>OAP_01</v>
      </c>
      <c r="C18" s="415" t="str">
        <f>'Mapa final'!$H$17</f>
        <v>Posibilidad de afectación económica por la no prestación integral de los servicios de salud a los usuarios del  HOMIL,  debido a la inadecuada identificación de necesidades para la adquisición de bienes y/o servicios.</v>
      </c>
      <c r="D18" s="416"/>
      <c r="E18" s="416"/>
      <c r="F18" s="412" t="str">
        <f t="shared" si="1"/>
        <v>No</v>
      </c>
      <c r="G18" s="412" t="str">
        <f t="shared" si="1"/>
        <v>No</v>
      </c>
      <c r="H18" s="412" t="str">
        <f t="shared" si="1"/>
        <v>No</v>
      </c>
      <c r="I18" s="412" t="str">
        <f t="shared" si="1"/>
        <v>No</v>
      </c>
      <c r="J18" s="412" t="str">
        <f t="shared" si="1"/>
        <v>No</v>
      </c>
      <c r="K18" s="412" t="str">
        <f t="shared" si="1"/>
        <v>No</v>
      </c>
      <c r="L18" s="412" t="str">
        <f t="shared" si="1"/>
        <v>No</v>
      </c>
      <c r="M18" s="412" t="str">
        <f t="shared" si="1"/>
        <v>No</v>
      </c>
      <c r="N18" s="230"/>
      <c r="O18" s="230"/>
      <c r="P18" s="230"/>
      <c r="Q18" s="230"/>
      <c r="R18" s="230"/>
      <c r="S18" s="230"/>
      <c r="T18" s="230"/>
      <c r="U18" s="230"/>
      <c r="V18" s="230"/>
      <c r="W18" s="230"/>
      <c r="X18" s="230"/>
      <c r="Y18" s="230"/>
      <c r="Z18" s="230"/>
      <c r="AA18" s="230"/>
      <c r="AB18" s="230"/>
      <c r="AC18" s="230"/>
      <c r="AD18" s="230"/>
      <c r="AE18" s="230"/>
      <c r="AF18" s="230"/>
      <c r="AG18" s="230"/>
      <c r="AH18" s="230"/>
      <c r="AI18" s="230"/>
      <c r="AJ18" s="230"/>
      <c r="AK18" s="230"/>
      <c r="AL18" s="230"/>
      <c r="AM18" s="230"/>
      <c r="AN18" s="230"/>
      <c r="AO18" s="230"/>
      <c r="AP18" s="230"/>
      <c r="AQ18" s="230"/>
      <c r="AR18" s="230"/>
      <c r="AS18" s="230"/>
      <c r="AT18" s="230"/>
      <c r="AU18" s="230"/>
      <c r="AV18" s="230"/>
      <c r="AW18" s="230"/>
      <c r="AX18" s="230"/>
      <c r="AY18" s="230"/>
      <c r="AZ18" s="230"/>
      <c r="BA18" s="230"/>
      <c r="BB18" s="230"/>
      <c r="BC18" s="230"/>
      <c r="BD18" s="230"/>
      <c r="BE18" s="230"/>
      <c r="BF18" s="230"/>
      <c r="BG18" s="230"/>
      <c r="BH18" s="230"/>
      <c r="BI18" s="230"/>
      <c r="BJ18" s="230"/>
      <c r="BK18" s="230"/>
      <c r="BL18" s="230"/>
      <c r="BM18" s="230"/>
      <c r="BN18" s="230"/>
      <c r="BO18" s="230"/>
      <c r="BP18" s="230"/>
      <c r="BQ18" s="230"/>
      <c r="BR18" s="230"/>
    </row>
    <row r="19" spans="1:70" s="231" customFormat="1" ht="92.25" customHeight="1" x14ac:dyDescent="0.25">
      <c r="A19" s="413"/>
      <c r="B19" s="414"/>
      <c r="C19" s="415"/>
      <c r="D19" s="416"/>
      <c r="E19" s="416"/>
      <c r="F19" s="412"/>
      <c r="G19" s="412"/>
      <c r="H19" s="412"/>
      <c r="I19" s="412"/>
      <c r="J19" s="412"/>
      <c r="K19" s="412"/>
      <c r="L19" s="412"/>
      <c r="M19" s="412"/>
      <c r="N19" s="230"/>
      <c r="O19" s="230"/>
      <c r="P19" s="230"/>
      <c r="Q19" s="230"/>
      <c r="R19" s="230"/>
      <c r="S19" s="230"/>
      <c r="T19" s="230"/>
      <c r="U19" s="230"/>
      <c r="V19" s="230"/>
      <c r="W19" s="230"/>
      <c r="X19" s="230"/>
      <c r="Y19" s="230"/>
      <c r="Z19" s="230"/>
      <c r="AA19" s="230"/>
      <c r="AB19" s="230"/>
      <c r="AC19" s="230"/>
      <c r="AD19" s="230"/>
      <c r="AE19" s="230"/>
      <c r="AF19" s="230"/>
      <c r="AG19" s="230"/>
      <c r="AH19" s="230"/>
      <c r="AI19" s="230"/>
      <c r="AJ19" s="230"/>
      <c r="AK19" s="230"/>
      <c r="AL19" s="230"/>
      <c r="AM19" s="230"/>
      <c r="AN19" s="230"/>
      <c r="AO19" s="230"/>
      <c r="AP19" s="230"/>
      <c r="AQ19" s="230"/>
      <c r="AR19" s="230"/>
      <c r="AS19" s="230"/>
      <c r="AT19" s="230"/>
      <c r="AU19" s="230"/>
      <c r="AV19" s="230"/>
      <c r="AW19" s="230"/>
      <c r="AX19" s="230"/>
      <c r="AY19" s="230"/>
      <c r="AZ19" s="230"/>
      <c r="BA19" s="230"/>
      <c r="BB19" s="230"/>
      <c r="BC19" s="230"/>
      <c r="BD19" s="230"/>
      <c r="BE19" s="230"/>
      <c r="BF19" s="230"/>
      <c r="BG19" s="230"/>
      <c r="BH19" s="230"/>
      <c r="BI19" s="230"/>
      <c r="BJ19" s="230"/>
      <c r="BK19" s="230"/>
      <c r="BL19" s="230"/>
      <c r="BM19" s="230"/>
      <c r="BN19" s="230"/>
      <c r="BO19" s="230"/>
      <c r="BP19" s="230"/>
      <c r="BQ19" s="230"/>
      <c r="BR19" s="230"/>
    </row>
    <row r="20" spans="1:70" s="231" customFormat="1" ht="92.25" customHeight="1" x14ac:dyDescent="0.25">
      <c r="A20" s="413"/>
      <c r="B20" s="414"/>
      <c r="C20" s="415"/>
      <c r="D20" s="416"/>
      <c r="E20" s="416"/>
      <c r="F20" s="412"/>
      <c r="G20" s="412"/>
      <c r="H20" s="412"/>
      <c r="I20" s="412"/>
      <c r="J20" s="412"/>
      <c r="K20" s="412"/>
      <c r="L20" s="412"/>
      <c r="M20" s="412"/>
      <c r="N20" s="230"/>
      <c r="O20" s="230"/>
      <c r="P20" s="230"/>
      <c r="Q20" s="230"/>
      <c r="R20" s="230"/>
      <c r="S20" s="230"/>
      <c r="T20" s="230"/>
      <c r="U20" s="230"/>
      <c r="V20" s="230"/>
      <c r="W20" s="230"/>
      <c r="X20" s="230"/>
      <c r="Y20" s="230"/>
      <c r="Z20" s="230"/>
      <c r="AA20" s="230"/>
      <c r="AB20" s="230"/>
      <c r="AC20" s="230"/>
      <c r="AD20" s="230"/>
      <c r="AE20" s="230"/>
      <c r="AF20" s="230"/>
      <c r="AG20" s="230"/>
      <c r="AH20" s="230"/>
      <c r="AI20" s="230"/>
      <c r="AJ20" s="230"/>
      <c r="AK20" s="230"/>
      <c r="AL20" s="230"/>
      <c r="AM20" s="230"/>
      <c r="AN20" s="230"/>
      <c r="AO20" s="230"/>
      <c r="AP20" s="230"/>
      <c r="AQ20" s="230"/>
      <c r="AR20" s="230"/>
      <c r="AS20" s="230"/>
      <c r="AT20" s="230"/>
      <c r="AU20" s="230"/>
      <c r="AV20" s="230"/>
      <c r="AW20" s="230"/>
      <c r="AX20" s="230"/>
      <c r="AY20" s="230"/>
      <c r="AZ20" s="230"/>
      <c r="BA20" s="230"/>
      <c r="BB20" s="230"/>
      <c r="BC20" s="230"/>
      <c r="BD20" s="230"/>
      <c r="BE20" s="230"/>
      <c r="BF20" s="230"/>
      <c r="BG20" s="230"/>
      <c r="BH20" s="230"/>
      <c r="BI20" s="230"/>
      <c r="BJ20" s="230"/>
      <c r="BK20" s="230"/>
      <c r="BL20" s="230"/>
      <c r="BM20" s="230"/>
      <c r="BN20" s="230"/>
      <c r="BO20" s="230"/>
      <c r="BP20" s="230"/>
      <c r="BQ20" s="230"/>
      <c r="BR20" s="230"/>
    </row>
    <row r="21" spans="1:70" s="231" customFormat="1" ht="92.25" customHeight="1" x14ac:dyDescent="0.25">
      <c r="A21" s="413"/>
      <c r="B21" s="414" t="str">
        <f>'Mapa final'!$B$20</f>
        <v>OAP_02</v>
      </c>
      <c r="C21" s="415"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16"/>
      <c r="E21" s="416"/>
      <c r="F21" s="412" t="str">
        <f t="shared" si="1"/>
        <v>No</v>
      </c>
      <c r="G21" s="412" t="str">
        <f t="shared" si="1"/>
        <v>No</v>
      </c>
      <c r="H21" s="412" t="str">
        <f t="shared" si="1"/>
        <v>No</v>
      </c>
      <c r="I21" s="412" t="str">
        <f t="shared" si="1"/>
        <v>No</v>
      </c>
      <c r="J21" s="412" t="str">
        <f t="shared" si="1"/>
        <v>No</v>
      </c>
      <c r="K21" s="412" t="str">
        <f t="shared" si="1"/>
        <v>No</v>
      </c>
      <c r="L21" s="412" t="str">
        <f t="shared" si="1"/>
        <v>No</v>
      </c>
      <c r="M21" s="412" t="str">
        <f t="shared" si="1"/>
        <v>No</v>
      </c>
      <c r="N21" s="230"/>
      <c r="O21" s="230"/>
      <c r="P21" s="230"/>
      <c r="Q21" s="230"/>
      <c r="R21" s="230"/>
      <c r="S21" s="230"/>
      <c r="T21" s="230"/>
      <c r="U21" s="230"/>
      <c r="V21" s="230"/>
      <c r="W21" s="230"/>
      <c r="X21" s="230"/>
      <c r="Y21" s="230"/>
      <c r="Z21" s="230"/>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c r="AW21" s="230"/>
      <c r="AX21" s="230"/>
      <c r="AY21" s="230"/>
      <c r="AZ21" s="230"/>
      <c r="BA21" s="230"/>
      <c r="BB21" s="230"/>
      <c r="BC21" s="230"/>
      <c r="BD21" s="230"/>
      <c r="BE21" s="230"/>
      <c r="BF21" s="230"/>
      <c r="BG21" s="230"/>
      <c r="BH21" s="230"/>
      <c r="BI21" s="230"/>
      <c r="BJ21" s="230"/>
      <c r="BK21" s="230"/>
      <c r="BL21" s="230"/>
      <c r="BM21" s="230"/>
      <c r="BN21" s="230"/>
      <c r="BO21" s="230"/>
      <c r="BP21" s="230"/>
      <c r="BQ21" s="230"/>
      <c r="BR21" s="230"/>
    </row>
    <row r="22" spans="1:70" s="231" customFormat="1" ht="92.25" customHeight="1" x14ac:dyDescent="0.25">
      <c r="A22" s="413"/>
      <c r="B22" s="414"/>
      <c r="C22" s="415"/>
      <c r="D22" s="416"/>
      <c r="E22" s="416"/>
      <c r="F22" s="412"/>
      <c r="G22" s="412"/>
      <c r="H22" s="412"/>
      <c r="I22" s="412"/>
      <c r="J22" s="412"/>
      <c r="K22" s="412"/>
      <c r="L22" s="412"/>
      <c r="M22" s="412"/>
      <c r="N22" s="230"/>
      <c r="O22" s="230"/>
      <c r="P22" s="230"/>
      <c r="Q22" s="230"/>
      <c r="R22" s="230"/>
      <c r="S22" s="230"/>
      <c r="T22" s="230"/>
      <c r="U22" s="230"/>
      <c r="V22" s="230"/>
      <c r="W22" s="230"/>
      <c r="X22" s="230"/>
      <c r="Y22" s="230"/>
      <c r="Z22" s="230"/>
      <c r="AA22" s="230"/>
      <c r="AB22" s="230"/>
      <c r="AC22" s="230"/>
      <c r="AD22" s="230"/>
      <c r="AE22" s="230"/>
      <c r="AF22" s="230"/>
      <c r="AG22" s="230"/>
      <c r="AH22" s="230"/>
      <c r="AI22" s="230"/>
      <c r="AJ22" s="230"/>
      <c r="AK22" s="230"/>
      <c r="AL22" s="230"/>
      <c r="AM22" s="230"/>
      <c r="AN22" s="230"/>
      <c r="AO22" s="230"/>
      <c r="AP22" s="230"/>
      <c r="AQ22" s="230"/>
      <c r="AR22" s="230"/>
      <c r="AS22" s="230"/>
      <c r="AT22" s="230"/>
      <c r="AU22" s="230"/>
      <c r="AV22" s="230"/>
      <c r="AW22" s="230"/>
      <c r="AX22" s="230"/>
      <c r="AY22" s="230"/>
      <c r="AZ22" s="230"/>
      <c r="BA22" s="230"/>
      <c r="BB22" s="230"/>
      <c r="BC22" s="230"/>
      <c r="BD22" s="230"/>
      <c r="BE22" s="230"/>
      <c r="BF22" s="230"/>
      <c r="BG22" s="230"/>
      <c r="BH22" s="230"/>
      <c r="BI22" s="230"/>
      <c r="BJ22" s="230"/>
      <c r="BK22" s="230"/>
      <c r="BL22" s="230"/>
      <c r="BM22" s="230"/>
      <c r="BN22" s="230"/>
      <c r="BO22" s="230"/>
      <c r="BP22" s="230"/>
      <c r="BQ22" s="230"/>
      <c r="BR22" s="230"/>
    </row>
    <row r="23" spans="1:70" s="231" customFormat="1" ht="92.25" customHeight="1" x14ac:dyDescent="0.25">
      <c r="A23" s="413"/>
      <c r="B23" s="414"/>
      <c r="C23" s="415"/>
      <c r="D23" s="416"/>
      <c r="E23" s="416"/>
      <c r="F23" s="412"/>
      <c r="G23" s="412"/>
      <c r="H23" s="412"/>
      <c r="I23" s="412"/>
      <c r="J23" s="412"/>
      <c r="K23" s="412"/>
      <c r="L23" s="412"/>
      <c r="M23" s="412"/>
      <c r="N23" s="230"/>
      <c r="O23" s="230"/>
      <c r="P23" s="230"/>
      <c r="Q23" s="230"/>
      <c r="R23" s="230"/>
      <c r="S23" s="230"/>
      <c r="T23" s="230"/>
      <c r="U23" s="230"/>
      <c r="V23" s="230"/>
      <c r="W23" s="230"/>
      <c r="X23" s="230"/>
      <c r="Y23" s="230"/>
      <c r="Z23" s="230"/>
      <c r="AA23" s="230"/>
      <c r="AB23" s="230"/>
      <c r="AC23" s="230"/>
      <c r="AD23" s="230"/>
      <c r="AE23" s="230"/>
      <c r="AF23" s="230"/>
      <c r="AG23" s="230"/>
      <c r="AH23" s="230"/>
      <c r="AI23" s="230"/>
      <c r="AJ23" s="230"/>
      <c r="AK23" s="230"/>
      <c r="AL23" s="230"/>
      <c r="AM23" s="230"/>
      <c r="AN23" s="230"/>
      <c r="AO23" s="230"/>
      <c r="AP23" s="230"/>
      <c r="AQ23" s="230"/>
      <c r="AR23" s="230"/>
      <c r="AS23" s="230"/>
      <c r="AT23" s="230"/>
      <c r="AU23" s="230"/>
      <c r="AV23" s="230"/>
      <c r="AW23" s="230"/>
      <c r="AX23" s="230"/>
      <c r="AY23" s="230"/>
      <c r="AZ23" s="230"/>
      <c r="BA23" s="230"/>
      <c r="BB23" s="230"/>
      <c r="BC23" s="230"/>
      <c r="BD23" s="230"/>
      <c r="BE23" s="230"/>
      <c r="BF23" s="230"/>
      <c r="BG23" s="230"/>
      <c r="BH23" s="230"/>
      <c r="BI23" s="230"/>
      <c r="BJ23" s="230"/>
      <c r="BK23" s="230"/>
      <c r="BL23" s="230"/>
      <c r="BM23" s="230"/>
      <c r="BN23" s="230"/>
      <c r="BO23" s="230"/>
      <c r="BP23" s="230"/>
      <c r="BQ23" s="230"/>
      <c r="BR23" s="230"/>
    </row>
    <row r="24" spans="1:70" s="231" customFormat="1" ht="92.25" customHeight="1" x14ac:dyDescent="0.25">
      <c r="A24" s="413"/>
      <c r="B24" s="414" t="str">
        <f>'Mapa final'!$B$22</f>
        <v>OAP_03</v>
      </c>
      <c r="C24" s="415"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16"/>
      <c r="E24" s="416"/>
      <c r="F24" s="412" t="str">
        <f t="shared" si="1"/>
        <v>No</v>
      </c>
      <c r="G24" s="412" t="str">
        <f t="shared" si="1"/>
        <v>No</v>
      </c>
      <c r="H24" s="412" t="str">
        <f t="shared" si="1"/>
        <v>No</v>
      </c>
      <c r="I24" s="412" t="str">
        <f t="shared" si="1"/>
        <v>No</v>
      </c>
      <c r="J24" s="412" t="str">
        <f t="shared" si="1"/>
        <v>No</v>
      </c>
      <c r="K24" s="412" t="str">
        <f t="shared" si="1"/>
        <v>No</v>
      </c>
      <c r="L24" s="412" t="str">
        <f t="shared" si="1"/>
        <v>No</v>
      </c>
      <c r="M24" s="412" t="str">
        <f t="shared" si="1"/>
        <v>No</v>
      </c>
      <c r="N24" s="230"/>
      <c r="O24" s="230"/>
      <c r="P24" s="230"/>
      <c r="Q24" s="230"/>
      <c r="R24" s="230"/>
      <c r="S24" s="230"/>
      <c r="T24" s="230"/>
      <c r="U24" s="230"/>
      <c r="V24" s="230"/>
      <c r="W24" s="230"/>
      <c r="X24" s="230"/>
      <c r="Y24" s="230"/>
      <c r="Z24" s="230"/>
      <c r="AA24" s="230"/>
      <c r="AB24" s="230"/>
      <c r="AC24" s="230"/>
      <c r="AD24" s="230"/>
      <c r="AE24" s="230"/>
      <c r="AF24" s="230"/>
      <c r="AG24" s="230"/>
      <c r="AH24" s="230"/>
      <c r="AI24" s="230"/>
      <c r="AJ24" s="230"/>
      <c r="AK24" s="230"/>
      <c r="AL24" s="230"/>
      <c r="AM24" s="230"/>
      <c r="AN24" s="230"/>
      <c r="AO24" s="230"/>
      <c r="AP24" s="230"/>
      <c r="AQ24" s="230"/>
      <c r="AR24" s="230"/>
      <c r="AS24" s="230"/>
      <c r="AT24" s="230"/>
      <c r="AU24" s="230"/>
      <c r="AV24" s="230"/>
      <c r="AW24" s="230"/>
      <c r="AX24" s="230"/>
      <c r="AY24" s="230"/>
      <c r="AZ24" s="230"/>
      <c r="BA24" s="230"/>
      <c r="BB24" s="230"/>
      <c r="BC24" s="230"/>
      <c r="BD24" s="230"/>
      <c r="BE24" s="230"/>
      <c r="BF24" s="230"/>
      <c r="BG24" s="230"/>
      <c r="BH24" s="230"/>
      <c r="BI24" s="230"/>
      <c r="BJ24" s="230"/>
      <c r="BK24" s="230"/>
      <c r="BL24" s="230"/>
      <c r="BM24" s="230"/>
      <c r="BN24" s="230"/>
      <c r="BO24" s="230"/>
      <c r="BP24" s="230"/>
      <c r="BQ24" s="230"/>
      <c r="BR24" s="230"/>
    </row>
    <row r="25" spans="1:70" s="231" customFormat="1" ht="92.25" customHeight="1" x14ac:dyDescent="0.25">
      <c r="A25" s="413"/>
      <c r="B25" s="414"/>
      <c r="C25" s="415"/>
      <c r="D25" s="416"/>
      <c r="E25" s="416"/>
      <c r="F25" s="412"/>
      <c r="G25" s="412"/>
      <c r="H25" s="412"/>
      <c r="I25" s="412"/>
      <c r="J25" s="412"/>
      <c r="K25" s="412"/>
      <c r="L25" s="412"/>
      <c r="M25" s="412"/>
      <c r="N25" s="230"/>
      <c r="O25" s="230"/>
      <c r="P25" s="230"/>
      <c r="Q25" s="230"/>
      <c r="R25" s="230"/>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c r="AW25" s="230"/>
      <c r="AX25" s="230"/>
      <c r="AY25" s="230"/>
      <c r="AZ25" s="230"/>
      <c r="BA25" s="230"/>
      <c r="BB25" s="230"/>
      <c r="BC25" s="230"/>
      <c r="BD25" s="230"/>
      <c r="BE25" s="230"/>
      <c r="BF25" s="230"/>
      <c r="BG25" s="230"/>
      <c r="BH25" s="230"/>
      <c r="BI25" s="230"/>
      <c r="BJ25" s="230"/>
      <c r="BK25" s="230"/>
      <c r="BL25" s="230"/>
      <c r="BM25" s="230"/>
      <c r="BN25" s="230"/>
      <c r="BO25" s="230"/>
      <c r="BP25" s="230"/>
      <c r="BQ25" s="230"/>
      <c r="BR25" s="230"/>
    </row>
    <row r="26" spans="1:70" s="231" customFormat="1" ht="92.25" customHeight="1" x14ac:dyDescent="0.25">
      <c r="A26" s="413"/>
      <c r="B26" s="414"/>
      <c r="C26" s="415"/>
      <c r="D26" s="416"/>
      <c r="E26" s="416"/>
      <c r="F26" s="412"/>
      <c r="G26" s="412"/>
      <c r="H26" s="412"/>
      <c r="I26" s="412"/>
      <c r="J26" s="412"/>
      <c r="K26" s="412"/>
      <c r="L26" s="412"/>
      <c r="M26" s="412"/>
      <c r="N26" s="230"/>
      <c r="O26" s="230"/>
      <c r="P26" s="230"/>
      <c r="Q26" s="230"/>
      <c r="R26" s="230"/>
      <c r="S26" s="230"/>
      <c r="T26" s="230"/>
      <c r="U26" s="230"/>
      <c r="V26" s="230"/>
      <c r="W26" s="230"/>
      <c r="X26" s="230"/>
      <c r="Y26" s="230"/>
      <c r="Z26" s="230"/>
      <c r="AA26" s="230"/>
      <c r="AB26" s="230"/>
      <c r="AC26" s="230"/>
      <c r="AD26" s="230"/>
      <c r="AE26" s="230"/>
      <c r="AF26" s="230"/>
      <c r="AG26" s="230"/>
      <c r="AH26" s="230"/>
      <c r="AI26" s="230"/>
      <c r="AJ26" s="230"/>
      <c r="AK26" s="230"/>
      <c r="AL26" s="230"/>
      <c r="AM26" s="230"/>
      <c r="AN26" s="230"/>
      <c r="AO26" s="230"/>
      <c r="AP26" s="230"/>
      <c r="AQ26" s="230"/>
      <c r="AR26" s="230"/>
      <c r="AS26" s="230"/>
      <c r="AT26" s="230"/>
      <c r="AU26" s="230"/>
      <c r="AV26" s="230"/>
      <c r="AW26" s="230"/>
      <c r="AX26" s="230"/>
      <c r="AY26" s="230"/>
      <c r="AZ26" s="230"/>
      <c r="BA26" s="230"/>
      <c r="BB26" s="230"/>
      <c r="BC26" s="230"/>
      <c r="BD26" s="230"/>
      <c r="BE26" s="230"/>
      <c r="BF26" s="230"/>
      <c r="BG26" s="230"/>
      <c r="BH26" s="230"/>
      <c r="BI26" s="230"/>
      <c r="BJ26" s="230"/>
      <c r="BK26" s="230"/>
      <c r="BL26" s="230"/>
      <c r="BM26" s="230"/>
      <c r="BN26" s="230"/>
      <c r="BO26" s="230"/>
      <c r="BP26" s="230"/>
      <c r="BQ26" s="230"/>
      <c r="BR26" s="230"/>
    </row>
    <row r="27" spans="1:70" s="231" customFormat="1" ht="92.25" customHeight="1" x14ac:dyDescent="0.25">
      <c r="A27" s="413"/>
      <c r="B27" s="414" t="str">
        <f>'Mapa final'!$B$25</f>
        <v>OAP_04</v>
      </c>
      <c r="C27" s="415"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16"/>
      <c r="E27" s="416"/>
      <c r="F27" s="412" t="str">
        <f t="shared" si="1"/>
        <v>No</v>
      </c>
      <c r="G27" s="412" t="str">
        <f t="shared" si="1"/>
        <v>No</v>
      </c>
      <c r="H27" s="412" t="str">
        <f t="shared" si="1"/>
        <v>No</v>
      </c>
      <c r="I27" s="412" t="str">
        <f t="shared" si="1"/>
        <v>No</v>
      </c>
      <c r="J27" s="412" t="str">
        <f t="shared" si="1"/>
        <v>No</v>
      </c>
      <c r="K27" s="412" t="str">
        <f t="shared" si="1"/>
        <v>No</v>
      </c>
      <c r="L27" s="412" t="str">
        <f t="shared" si="1"/>
        <v>No</v>
      </c>
      <c r="M27" s="412" t="str">
        <f t="shared" si="1"/>
        <v>No</v>
      </c>
      <c r="N27" s="230"/>
      <c r="O27" s="230"/>
      <c r="P27" s="230"/>
      <c r="Q27" s="230"/>
      <c r="R27" s="230"/>
      <c r="S27" s="230"/>
      <c r="T27" s="230"/>
      <c r="U27" s="230"/>
      <c r="V27" s="230"/>
      <c r="W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c r="AW27" s="230"/>
      <c r="AX27" s="230"/>
      <c r="AY27" s="230"/>
      <c r="AZ27" s="230"/>
      <c r="BA27" s="230"/>
      <c r="BB27" s="230"/>
      <c r="BC27" s="230"/>
      <c r="BD27" s="230"/>
      <c r="BE27" s="230"/>
      <c r="BF27" s="230"/>
      <c r="BG27" s="230"/>
      <c r="BH27" s="230"/>
      <c r="BI27" s="230"/>
      <c r="BJ27" s="230"/>
      <c r="BK27" s="230"/>
      <c r="BL27" s="230"/>
      <c r="BM27" s="230"/>
      <c r="BN27" s="230"/>
      <c r="BO27" s="230"/>
      <c r="BP27" s="230"/>
      <c r="BQ27" s="230"/>
      <c r="BR27" s="230"/>
    </row>
    <row r="28" spans="1:70" s="231" customFormat="1" ht="92.25" customHeight="1" x14ac:dyDescent="0.25">
      <c r="A28" s="413"/>
      <c r="B28" s="414"/>
      <c r="C28" s="415"/>
      <c r="D28" s="416"/>
      <c r="E28" s="416"/>
      <c r="F28" s="412"/>
      <c r="G28" s="412"/>
      <c r="H28" s="412"/>
      <c r="I28" s="412"/>
      <c r="J28" s="412"/>
      <c r="K28" s="412"/>
      <c r="L28" s="412"/>
      <c r="M28" s="412"/>
      <c r="N28" s="230"/>
      <c r="O28" s="230"/>
      <c r="P28" s="230"/>
      <c r="Q28" s="230"/>
      <c r="R28" s="230"/>
      <c r="S28" s="230"/>
      <c r="T28" s="230"/>
      <c r="U28" s="230"/>
      <c r="V28" s="230"/>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0"/>
      <c r="AT28" s="230"/>
      <c r="AU28" s="230"/>
      <c r="AV28" s="230"/>
      <c r="AW28" s="230"/>
      <c r="AX28" s="230"/>
      <c r="AY28" s="230"/>
      <c r="AZ28" s="230"/>
      <c r="BA28" s="230"/>
      <c r="BB28" s="230"/>
      <c r="BC28" s="230"/>
      <c r="BD28" s="230"/>
      <c r="BE28" s="230"/>
      <c r="BF28" s="230"/>
      <c r="BG28" s="230"/>
      <c r="BH28" s="230"/>
      <c r="BI28" s="230"/>
      <c r="BJ28" s="230"/>
      <c r="BK28" s="230"/>
      <c r="BL28" s="230"/>
      <c r="BM28" s="230"/>
      <c r="BN28" s="230"/>
      <c r="BO28" s="230"/>
      <c r="BP28" s="230"/>
      <c r="BQ28" s="230"/>
      <c r="BR28" s="230"/>
    </row>
    <row r="29" spans="1:70" s="231" customFormat="1" ht="92.25" customHeight="1" x14ac:dyDescent="0.25">
      <c r="A29" s="413"/>
      <c r="B29" s="414"/>
      <c r="C29" s="415"/>
      <c r="D29" s="416"/>
      <c r="E29" s="416"/>
      <c r="F29" s="412"/>
      <c r="G29" s="412"/>
      <c r="H29" s="412"/>
      <c r="I29" s="412"/>
      <c r="J29" s="412"/>
      <c r="K29" s="412"/>
      <c r="L29" s="412"/>
      <c r="M29" s="412"/>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c r="AW29" s="230"/>
      <c r="AX29" s="230"/>
      <c r="AY29" s="230"/>
      <c r="AZ29" s="230"/>
      <c r="BA29" s="230"/>
      <c r="BB29" s="230"/>
      <c r="BC29" s="230"/>
      <c r="BD29" s="230"/>
      <c r="BE29" s="230"/>
      <c r="BF29" s="230"/>
      <c r="BG29" s="230"/>
      <c r="BH29" s="230"/>
      <c r="BI29" s="230"/>
      <c r="BJ29" s="230"/>
      <c r="BK29" s="230"/>
      <c r="BL29" s="230"/>
      <c r="BM29" s="230"/>
      <c r="BN29" s="230"/>
      <c r="BO29" s="230"/>
      <c r="BP29" s="230"/>
      <c r="BQ29" s="230"/>
      <c r="BR29" s="230"/>
    </row>
    <row r="30" spans="1:70" s="231" customFormat="1" ht="92.25" customHeight="1" x14ac:dyDescent="0.25">
      <c r="A30" s="413"/>
      <c r="B30" s="414" t="str">
        <f>'Mapa final'!$B$27</f>
        <v>OAP_05</v>
      </c>
      <c r="C30" s="415"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16"/>
      <c r="E30" s="416"/>
      <c r="F30" s="412" t="str">
        <f t="shared" si="1"/>
        <v>No</v>
      </c>
      <c r="G30" s="412" t="str">
        <f t="shared" si="1"/>
        <v>No</v>
      </c>
      <c r="H30" s="412" t="str">
        <f t="shared" si="1"/>
        <v>No</v>
      </c>
      <c r="I30" s="412" t="str">
        <f t="shared" si="1"/>
        <v>No</v>
      </c>
      <c r="J30" s="412" t="str">
        <f t="shared" si="1"/>
        <v>No</v>
      </c>
      <c r="K30" s="412" t="str">
        <f t="shared" si="1"/>
        <v>No</v>
      </c>
      <c r="L30" s="412" t="str">
        <f t="shared" si="1"/>
        <v>No</v>
      </c>
      <c r="M30" s="412" t="str">
        <f t="shared" si="1"/>
        <v>No</v>
      </c>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0"/>
      <c r="AR30" s="230"/>
      <c r="AS30" s="230"/>
      <c r="AT30" s="230"/>
      <c r="AU30" s="230"/>
      <c r="AV30" s="230"/>
      <c r="AW30" s="230"/>
      <c r="AX30" s="230"/>
      <c r="AY30" s="230"/>
      <c r="AZ30" s="230"/>
      <c r="BA30" s="230"/>
      <c r="BB30" s="230"/>
      <c r="BC30" s="230"/>
      <c r="BD30" s="230"/>
      <c r="BE30" s="230"/>
      <c r="BF30" s="230"/>
      <c r="BG30" s="230"/>
      <c r="BH30" s="230"/>
      <c r="BI30" s="230"/>
      <c r="BJ30" s="230"/>
      <c r="BK30" s="230"/>
      <c r="BL30" s="230"/>
      <c r="BM30" s="230"/>
      <c r="BN30" s="230"/>
      <c r="BO30" s="230"/>
      <c r="BP30" s="230"/>
      <c r="BQ30" s="230"/>
      <c r="BR30" s="230"/>
    </row>
    <row r="31" spans="1:70" s="231" customFormat="1" ht="92.25" customHeight="1" x14ac:dyDescent="0.25">
      <c r="A31" s="413"/>
      <c r="B31" s="414"/>
      <c r="C31" s="415"/>
      <c r="D31" s="416"/>
      <c r="E31" s="416"/>
      <c r="F31" s="412"/>
      <c r="G31" s="412"/>
      <c r="H31" s="412"/>
      <c r="I31" s="412"/>
      <c r="J31" s="412"/>
      <c r="K31" s="412"/>
      <c r="L31" s="412"/>
      <c r="M31" s="412"/>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0"/>
      <c r="AR31" s="230"/>
      <c r="AS31" s="230"/>
      <c r="AT31" s="230"/>
      <c r="AU31" s="230"/>
      <c r="AV31" s="230"/>
      <c r="AW31" s="230"/>
      <c r="AX31" s="230"/>
      <c r="AY31" s="230"/>
      <c r="AZ31" s="230"/>
      <c r="BA31" s="230"/>
      <c r="BB31" s="230"/>
      <c r="BC31" s="230"/>
      <c r="BD31" s="230"/>
      <c r="BE31" s="230"/>
      <c r="BF31" s="230"/>
      <c r="BG31" s="230"/>
      <c r="BH31" s="230"/>
      <c r="BI31" s="230"/>
      <c r="BJ31" s="230"/>
      <c r="BK31" s="230"/>
      <c r="BL31" s="230"/>
      <c r="BM31" s="230"/>
      <c r="BN31" s="230"/>
      <c r="BO31" s="230"/>
      <c r="BP31" s="230"/>
      <c r="BQ31" s="230"/>
      <c r="BR31" s="230"/>
    </row>
    <row r="32" spans="1:70" s="231" customFormat="1" ht="92.25" customHeight="1" x14ac:dyDescent="0.25">
      <c r="A32" s="413"/>
      <c r="B32" s="414"/>
      <c r="C32" s="415"/>
      <c r="D32" s="416"/>
      <c r="E32" s="416"/>
      <c r="F32" s="412"/>
      <c r="G32" s="412"/>
      <c r="H32" s="412"/>
      <c r="I32" s="412"/>
      <c r="J32" s="412"/>
      <c r="K32" s="412"/>
      <c r="L32" s="412"/>
      <c r="M32" s="412"/>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30"/>
      <c r="AR32" s="230"/>
      <c r="AS32" s="230"/>
      <c r="AT32" s="230"/>
      <c r="AU32" s="230"/>
      <c r="AV32" s="230"/>
      <c r="AW32" s="230"/>
      <c r="AX32" s="230"/>
      <c r="AY32" s="230"/>
      <c r="AZ32" s="230"/>
      <c r="BA32" s="230"/>
      <c r="BB32" s="230"/>
      <c r="BC32" s="230"/>
      <c r="BD32" s="230"/>
      <c r="BE32" s="230"/>
      <c r="BF32" s="230"/>
      <c r="BG32" s="230"/>
      <c r="BH32" s="230"/>
      <c r="BI32" s="230"/>
      <c r="BJ32" s="230"/>
      <c r="BK32" s="230"/>
      <c r="BL32" s="230"/>
      <c r="BM32" s="230"/>
      <c r="BN32" s="230"/>
      <c r="BO32" s="230"/>
      <c r="BP32" s="230"/>
      <c r="BQ32" s="230"/>
      <c r="BR32" s="230"/>
    </row>
    <row r="33" spans="1:70" s="231" customFormat="1" ht="92.25" customHeight="1" x14ac:dyDescent="0.25">
      <c r="A33" s="413"/>
      <c r="B33" s="414" t="str">
        <f>'Mapa final'!$B$29</f>
        <v>TIN_01</v>
      </c>
      <c r="C33" s="415" t="str">
        <f>'Mapa final'!$H$29</f>
        <v>Posibilidad de afectación económica y reputacional por registro inoportuno en la Historia Clínica  del estado de salud y la atención brindada, debido a la interrupción en la prestación de los servicios tecnológicos de la entidad.</v>
      </c>
      <c r="D33" s="416"/>
      <c r="E33" s="416"/>
      <c r="F33" s="412" t="str">
        <f t="shared" si="1"/>
        <v>No</v>
      </c>
      <c r="G33" s="412" t="str">
        <f t="shared" si="1"/>
        <v>No</v>
      </c>
      <c r="H33" s="412" t="str">
        <f t="shared" si="1"/>
        <v>No</v>
      </c>
      <c r="I33" s="412" t="str">
        <f t="shared" si="1"/>
        <v>No</v>
      </c>
      <c r="J33" s="412" t="str">
        <f t="shared" si="1"/>
        <v>No</v>
      </c>
      <c r="K33" s="412" t="str">
        <f t="shared" si="1"/>
        <v>No</v>
      </c>
      <c r="L33" s="412" t="str">
        <f t="shared" si="1"/>
        <v>No</v>
      </c>
      <c r="M33" s="412" t="str">
        <f t="shared" si="1"/>
        <v>No</v>
      </c>
      <c r="N33" s="230"/>
      <c r="O33" s="230"/>
      <c r="P33" s="230"/>
      <c r="Q33" s="230"/>
      <c r="R33" s="230"/>
      <c r="S33" s="230"/>
      <c r="T33" s="230"/>
      <c r="U33" s="230"/>
      <c r="V33" s="230"/>
      <c r="W33" s="230"/>
      <c r="X33" s="230"/>
      <c r="Y33" s="230"/>
      <c r="Z33" s="230"/>
      <c r="AA33" s="230"/>
      <c r="AB33" s="230"/>
      <c r="AC33" s="230"/>
      <c r="AD33" s="230"/>
      <c r="AE33" s="230"/>
      <c r="AF33" s="230"/>
      <c r="AG33" s="230"/>
      <c r="AH33" s="230"/>
      <c r="AI33" s="230"/>
      <c r="AJ33" s="230"/>
      <c r="AK33" s="230"/>
      <c r="AL33" s="230"/>
      <c r="AM33" s="230"/>
      <c r="AN33" s="230"/>
      <c r="AO33" s="230"/>
      <c r="AP33" s="230"/>
      <c r="AQ33" s="230"/>
      <c r="AR33" s="230"/>
      <c r="AS33" s="230"/>
      <c r="AT33" s="230"/>
      <c r="AU33" s="230"/>
      <c r="AV33" s="230"/>
      <c r="AW33" s="230"/>
      <c r="AX33" s="230"/>
      <c r="AY33" s="230"/>
      <c r="AZ33" s="230"/>
      <c r="BA33" s="230"/>
      <c r="BB33" s="230"/>
      <c r="BC33" s="230"/>
      <c r="BD33" s="230"/>
      <c r="BE33" s="230"/>
      <c r="BF33" s="230"/>
      <c r="BG33" s="230"/>
      <c r="BH33" s="230"/>
      <c r="BI33" s="230"/>
      <c r="BJ33" s="230"/>
      <c r="BK33" s="230"/>
      <c r="BL33" s="230"/>
      <c r="BM33" s="230"/>
      <c r="BN33" s="230"/>
      <c r="BO33" s="230"/>
      <c r="BP33" s="230"/>
      <c r="BQ33" s="230"/>
      <c r="BR33" s="230"/>
    </row>
    <row r="34" spans="1:70" s="231" customFormat="1" ht="92.25" customHeight="1" x14ac:dyDescent="0.25">
      <c r="A34" s="413"/>
      <c r="B34" s="414"/>
      <c r="C34" s="415"/>
      <c r="D34" s="416"/>
      <c r="E34" s="416"/>
      <c r="F34" s="412"/>
      <c r="G34" s="412"/>
      <c r="H34" s="412"/>
      <c r="I34" s="412"/>
      <c r="J34" s="412"/>
      <c r="K34" s="412"/>
      <c r="L34" s="412"/>
      <c r="M34" s="412"/>
      <c r="N34" s="230"/>
      <c r="O34" s="230"/>
      <c r="P34" s="230"/>
      <c r="Q34" s="230"/>
      <c r="R34" s="230"/>
      <c r="S34" s="230"/>
      <c r="T34" s="230"/>
      <c r="U34" s="230"/>
      <c r="V34" s="230"/>
      <c r="W34" s="230"/>
      <c r="X34" s="230"/>
      <c r="Y34" s="230"/>
      <c r="Z34" s="230"/>
      <c r="AA34" s="230"/>
      <c r="AB34" s="230"/>
      <c r="AC34" s="230"/>
      <c r="AD34" s="230"/>
      <c r="AE34" s="230"/>
      <c r="AF34" s="230"/>
      <c r="AG34" s="230"/>
      <c r="AH34" s="230"/>
      <c r="AI34" s="230"/>
      <c r="AJ34" s="230"/>
      <c r="AK34" s="230"/>
      <c r="AL34" s="230"/>
      <c r="AM34" s="230"/>
      <c r="AN34" s="230"/>
      <c r="AO34" s="230"/>
      <c r="AP34" s="230"/>
      <c r="AQ34" s="230"/>
      <c r="AR34" s="230"/>
      <c r="AS34" s="230"/>
      <c r="AT34" s="230"/>
      <c r="AU34" s="230"/>
      <c r="AV34" s="230"/>
      <c r="AW34" s="230"/>
      <c r="AX34" s="230"/>
      <c r="AY34" s="230"/>
      <c r="AZ34" s="230"/>
      <c r="BA34" s="230"/>
      <c r="BB34" s="230"/>
      <c r="BC34" s="230"/>
      <c r="BD34" s="230"/>
      <c r="BE34" s="230"/>
      <c r="BF34" s="230"/>
      <c r="BG34" s="230"/>
      <c r="BH34" s="230"/>
      <c r="BI34" s="230"/>
      <c r="BJ34" s="230"/>
      <c r="BK34" s="230"/>
      <c r="BL34" s="230"/>
      <c r="BM34" s="230"/>
      <c r="BN34" s="230"/>
      <c r="BO34" s="230"/>
      <c r="BP34" s="230"/>
      <c r="BQ34" s="230"/>
      <c r="BR34" s="230"/>
    </row>
    <row r="35" spans="1:70" s="231" customFormat="1" ht="92.25" customHeight="1" x14ac:dyDescent="0.25">
      <c r="A35" s="413"/>
      <c r="B35" s="414"/>
      <c r="C35" s="415"/>
      <c r="D35" s="416"/>
      <c r="E35" s="416"/>
      <c r="F35" s="412"/>
      <c r="G35" s="412"/>
      <c r="H35" s="412"/>
      <c r="I35" s="412"/>
      <c r="J35" s="412"/>
      <c r="K35" s="412"/>
      <c r="L35" s="412"/>
      <c r="M35" s="412"/>
      <c r="N35" s="230"/>
      <c r="O35" s="230"/>
      <c r="P35" s="230"/>
      <c r="Q35" s="230"/>
      <c r="R35" s="230"/>
      <c r="S35" s="230"/>
      <c r="T35" s="230"/>
      <c r="U35" s="230"/>
      <c r="V35" s="230"/>
      <c r="W35" s="230"/>
      <c r="X35" s="230"/>
      <c r="Y35" s="230"/>
      <c r="Z35" s="230"/>
      <c r="AA35" s="230"/>
      <c r="AB35" s="230"/>
      <c r="AC35" s="230"/>
      <c r="AD35" s="230"/>
      <c r="AE35" s="230"/>
      <c r="AF35" s="230"/>
      <c r="AG35" s="230"/>
      <c r="AH35" s="230"/>
      <c r="AI35" s="230"/>
      <c r="AJ35" s="230"/>
      <c r="AK35" s="230"/>
      <c r="AL35" s="230"/>
      <c r="AM35" s="230"/>
      <c r="AN35" s="230"/>
      <c r="AO35" s="230"/>
      <c r="AP35" s="230"/>
      <c r="AQ35" s="230"/>
      <c r="AR35" s="230"/>
      <c r="AS35" s="230"/>
      <c r="AT35" s="230"/>
      <c r="AU35" s="230"/>
      <c r="AV35" s="230"/>
      <c r="AW35" s="230"/>
      <c r="AX35" s="230"/>
      <c r="AY35" s="230"/>
      <c r="AZ35" s="230"/>
      <c r="BA35" s="230"/>
      <c r="BB35" s="230"/>
      <c r="BC35" s="230"/>
      <c r="BD35" s="230"/>
      <c r="BE35" s="230"/>
      <c r="BF35" s="230"/>
      <c r="BG35" s="230"/>
      <c r="BH35" s="230"/>
      <c r="BI35" s="230"/>
      <c r="BJ35" s="230"/>
      <c r="BK35" s="230"/>
      <c r="BL35" s="230"/>
      <c r="BM35" s="230"/>
      <c r="BN35" s="230"/>
      <c r="BO35" s="230"/>
      <c r="BP35" s="230"/>
      <c r="BQ35" s="230"/>
      <c r="BR35" s="230"/>
    </row>
    <row r="36" spans="1:70" s="231" customFormat="1" ht="92.25" customHeight="1" x14ac:dyDescent="0.25">
      <c r="A36" s="413"/>
      <c r="B36" s="414" t="str">
        <f>'Mapa final'!$B$33</f>
        <v>TIN_02</v>
      </c>
      <c r="C36" s="415"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16"/>
      <c r="E36" s="416"/>
      <c r="F36" s="412" t="str">
        <f t="shared" si="1"/>
        <v>No</v>
      </c>
      <c r="G36" s="412" t="str">
        <f t="shared" si="1"/>
        <v>No</v>
      </c>
      <c r="H36" s="412" t="str">
        <f t="shared" si="1"/>
        <v>No</v>
      </c>
      <c r="I36" s="412" t="str">
        <f t="shared" si="1"/>
        <v>No</v>
      </c>
      <c r="J36" s="412" t="str">
        <f t="shared" si="1"/>
        <v>No</v>
      </c>
      <c r="K36" s="412" t="str">
        <f t="shared" si="1"/>
        <v>No</v>
      </c>
      <c r="L36" s="412" t="str">
        <f t="shared" si="1"/>
        <v>No</v>
      </c>
      <c r="M36" s="412" t="str">
        <f t="shared" si="1"/>
        <v>No</v>
      </c>
      <c r="N36" s="230"/>
      <c r="O36" s="230"/>
      <c r="P36" s="230"/>
      <c r="Q36" s="230"/>
      <c r="R36" s="230"/>
      <c r="S36" s="230"/>
      <c r="T36" s="230"/>
      <c r="U36" s="230"/>
      <c r="V36" s="230"/>
      <c r="W36" s="230"/>
      <c r="X36" s="230"/>
      <c r="Y36" s="230"/>
      <c r="Z36" s="230"/>
      <c r="AA36" s="230"/>
      <c r="AB36" s="230"/>
      <c r="AC36" s="230"/>
      <c r="AD36" s="230"/>
      <c r="AE36" s="230"/>
      <c r="AF36" s="230"/>
      <c r="AG36" s="230"/>
      <c r="AH36" s="230"/>
      <c r="AI36" s="230"/>
      <c r="AJ36" s="230"/>
      <c r="AK36" s="230"/>
      <c r="AL36" s="230"/>
      <c r="AM36" s="230"/>
      <c r="AN36" s="230"/>
      <c r="AO36" s="230"/>
      <c r="AP36" s="230"/>
      <c r="AQ36" s="230"/>
      <c r="AR36" s="230"/>
      <c r="AS36" s="230"/>
      <c r="AT36" s="230"/>
      <c r="AU36" s="230"/>
      <c r="AV36" s="230"/>
      <c r="AW36" s="230"/>
      <c r="AX36" s="230"/>
      <c r="AY36" s="230"/>
      <c r="AZ36" s="230"/>
      <c r="BA36" s="230"/>
      <c r="BB36" s="230"/>
      <c r="BC36" s="230"/>
      <c r="BD36" s="230"/>
      <c r="BE36" s="230"/>
      <c r="BF36" s="230"/>
      <c r="BG36" s="230"/>
      <c r="BH36" s="230"/>
      <c r="BI36" s="230"/>
      <c r="BJ36" s="230"/>
      <c r="BK36" s="230"/>
      <c r="BL36" s="230"/>
      <c r="BM36" s="230"/>
      <c r="BN36" s="230"/>
      <c r="BO36" s="230"/>
      <c r="BP36" s="230"/>
      <c r="BQ36" s="230"/>
      <c r="BR36" s="230"/>
    </row>
    <row r="37" spans="1:70" s="231" customFormat="1" ht="92.25" customHeight="1" x14ac:dyDescent="0.25">
      <c r="A37" s="413"/>
      <c r="B37" s="414"/>
      <c r="C37" s="415"/>
      <c r="D37" s="416"/>
      <c r="E37" s="416"/>
      <c r="F37" s="412"/>
      <c r="G37" s="412"/>
      <c r="H37" s="412"/>
      <c r="I37" s="412"/>
      <c r="J37" s="412"/>
      <c r="K37" s="412"/>
      <c r="L37" s="412"/>
      <c r="M37" s="412"/>
      <c r="N37" s="230"/>
      <c r="O37" s="230"/>
      <c r="P37" s="230"/>
      <c r="Q37" s="230"/>
      <c r="R37" s="230"/>
      <c r="S37" s="230"/>
      <c r="T37" s="230"/>
      <c r="U37" s="230"/>
      <c r="V37" s="230"/>
      <c r="W37" s="230"/>
      <c r="X37" s="230"/>
      <c r="Y37" s="230"/>
      <c r="Z37" s="230"/>
      <c r="AA37" s="230"/>
      <c r="AB37" s="230"/>
      <c r="AC37" s="230"/>
      <c r="AD37" s="230"/>
      <c r="AE37" s="230"/>
      <c r="AF37" s="230"/>
      <c r="AG37" s="230"/>
      <c r="AH37" s="230"/>
      <c r="AI37" s="230"/>
      <c r="AJ37" s="230"/>
      <c r="AK37" s="230"/>
      <c r="AL37" s="230"/>
      <c r="AM37" s="230"/>
      <c r="AN37" s="230"/>
      <c r="AO37" s="230"/>
      <c r="AP37" s="230"/>
      <c r="AQ37" s="230"/>
      <c r="AR37" s="230"/>
      <c r="AS37" s="230"/>
      <c r="AT37" s="230"/>
      <c r="AU37" s="230"/>
      <c r="AV37" s="230"/>
      <c r="AW37" s="230"/>
      <c r="AX37" s="230"/>
      <c r="AY37" s="230"/>
      <c r="AZ37" s="230"/>
      <c r="BA37" s="230"/>
      <c r="BB37" s="230"/>
      <c r="BC37" s="230"/>
      <c r="BD37" s="230"/>
      <c r="BE37" s="230"/>
      <c r="BF37" s="230"/>
      <c r="BG37" s="230"/>
      <c r="BH37" s="230"/>
      <c r="BI37" s="230"/>
      <c r="BJ37" s="230"/>
      <c r="BK37" s="230"/>
      <c r="BL37" s="230"/>
      <c r="BM37" s="230"/>
      <c r="BN37" s="230"/>
      <c r="BO37" s="230"/>
      <c r="BP37" s="230"/>
      <c r="BQ37" s="230"/>
      <c r="BR37" s="230"/>
    </row>
    <row r="38" spans="1:70" s="231" customFormat="1" ht="92.25" customHeight="1" x14ac:dyDescent="0.25">
      <c r="A38" s="413"/>
      <c r="B38" s="414"/>
      <c r="C38" s="415"/>
      <c r="D38" s="416"/>
      <c r="E38" s="416"/>
      <c r="F38" s="412"/>
      <c r="G38" s="412"/>
      <c r="H38" s="412"/>
      <c r="I38" s="412"/>
      <c r="J38" s="412"/>
      <c r="K38" s="412"/>
      <c r="L38" s="412"/>
      <c r="M38" s="412"/>
      <c r="N38" s="230"/>
      <c r="O38" s="230"/>
      <c r="P38" s="230"/>
      <c r="Q38" s="230"/>
      <c r="R38" s="230"/>
      <c r="S38" s="230"/>
      <c r="T38" s="230"/>
      <c r="U38" s="230"/>
      <c r="V38" s="230"/>
      <c r="W38" s="230"/>
      <c r="X38" s="230"/>
      <c r="Y38" s="230"/>
      <c r="Z38" s="230"/>
      <c r="AA38" s="230"/>
      <c r="AB38" s="230"/>
      <c r="AC38" s="230"/>
      <c r="AD38" s="230"/>
      <c r="AE38" s="230"/>
      <c r="AF38" s="230"/>
      <c r="AG38" s="230"/>
      <c r="AH38" s="230"/>
      <c r="AI38" s="230"/>
      <c r="AJ38" s="230"/>
      <c r="AK38" s="230"/>
      <c r="AL38" s="230"/>
      <c r="AM38" s="230"/>
      <c r="AN38" s="230"/>
      <c r="AO38" s="230"/>
      <c r="AP38" s="230"/>
      <c r="AQ38" s="230"/>
      <c r="AR38" s="230"/>
      <c r="AS38" s="230"/>
      <c r="AT38" s="230"/>
      <c r="AU38" s="230"/>
      <c r="AV38" s="230"/>
      <c r="AW38" s="230"/>
      <c r="AX38" s="230"/>
      <c r="AY38" s="230"/>
      <c r="AZ38" s="230"/>
      <c r="BA38" s="230"/>
      <c r="BB38" s="230"/>
      <c r="BC38" s="230"/>
      <c r="BD38" s="230"/>
      <c r="BE38" s="230"/>
      <c r="BF38" s="230"/>
      <c r="BG38" s="230"/>
      <c r="BH38" s="230"/>
      <c r="BI38" s="230"/>
      <c r="BJ38" s="230"/>
      <c r="BK38" s="230"/>
      <c r="BL38" s="230"/>
      <c r="BM38" s="230"/>
      <c r="BN38" s="230"/>
      <c r="BO38" s="230"/>
      <c r="BP38" s="230"/>
      <c r="BQ38" s="230"/>
      <c r="BR38" s="230"/>
    </row>
    <row r="39" spans="1:70" s="231" customFormat="1" ht="92.25" customHeight="1" x14ac:dyDescent="0.25">
      <c r="A39" s="413"/>
      <c r="B39" s="414" t="str">
        <f>'Mapa final'!$B$38</f>
        <v>TIN_03</v>
      </c>
      <c r="C39" s="415" t="str">
        <f>'Mapa final'!$H$38</f>
        <v>Posibilidad de afectación económica por no disponibilidad de la información clínica  de los usuarios del  HOMIL, debido a falta de respaldo (copias de seguridad) de la información.</v>
      </c>
      <c r="D39" s="416"/>
      <c r="E39" s="416"/>
      <c r="F39" s="412" t="str">
        <f t="shared" si="1"/>
        <v>No</v>
      </c>
      <c r="G39" s="412" t="str">
        <f t="shared" si="1"/>
        <v>No</v>
      </c>
      <c r="H39" s="412" t="str">
        <f t="shared" si="1"/>
        <v>No</v>
      </c>
      <c r="I39" s="412" t="str">
        <f t="shared" si="1"/>
        <v>No</v>
      </c>
      <c r="J39" s="412" t="str">
        <f t="shared" si="1"/>
        <v>No</v>
      </c>
      <c r="K39" s="412" t="str">
        <f t="shared" si="1"/>
        <v>No</v>
      </c>
      <c r="L39" s="412" t="str">
        <f t="shared" si="1"/>
        <v>No</v>
      </c>
      <c r="M39" s="412" t="str">
        <f t="shared" si="1"/>
        <v>No</v>
      </c>
      <c r="N39" s="230"/>
      <c r="O39" s="230"/>
      <c r="P39" s="230"/>
      <c r="Q39" s="230"/>
      <c r="R39" s="230"/>
      <c r="S39" s="230"/>
      <c r="T39" s="230"/>
      <c r="U39" s="230"/>
      <c r="V39" s="230"/>
      <c r="W39" s="230"/>
      <c r="X39" s="230"/>
      <c r="Y39" s="230"/>
      <c r="Z39" s="230"/>
      <c r="AA39" s="230"/>
      <c r="AB39" s="230"/>
      <c r="AC39" s="230"/>
      <c r="AD39" s="230"/>
      <c r="AE39" s="230"/>
      <c r="AF39" s="230"/>
      <c r="AG39" s="230"/>
      <c r="AH39" s="230"/>
      <c r="AI39" s="230"/>
      <c r="AJ39" s="230"/>
      <c r="AK39" s="230"/>
      <c r="AL39" s="230"/>
      <c r="AM39" s="230"/>
      <c r="AN39" s="230"/>
      <c r="AO39" s="230"/>
      <c r="AP39" s="230"/>
      <c r="AQ39" s="230"/>
      <c r="AR39" s="230"/>
      <c r="AS39" s="230"/>
      <c r="AT39" s="230"/>
      <c r="AU39" s="230"/>
      <c r="AV39" s="230"/>
      <c r="AW39" s="230"/>
      <c r="AX39" s="230"/>
      <c r="AY39" s="230"/>
      <c r="AZ39" s="230"/>
      <c r="BA39" s="230"/>
      <c r="BB39" s="230"/>
      <c r="BC39" s="230"/>
      <c r="BD39" s="230"/>
      <c r="BE39" s="230"/>
      <c r="BF39" s="230"/>
      <c r="BG39" s="230"/>
      <c r="BH39" s="230"/>
      <c r="BI39" s="230"/>
      <c r="BJ39" s="230"/>
      <c r="BK39" s="230"/>
      <c r="BL39" s="230"/>
      <c r="BM39" s="230"/>
      <c r="BN39" s="230"/>
      <c r="BO39" s="230"/>
      <c r="BP39" s="230"/>
      <c r="BQ39" s="230"/>
      <c r="BR39" s="230"/>
    </row>
    <row r="40" spans="1:70" s="231" customFormat="1" ht="92.25" customHeight="1" x14ac:dyDescent="0.25">
      <c r="A40" s="413"/>
      <c r="B40" s="414"/>
      <c r="C40" s="415"/>
      <c r="D40" s="416"/>
      <c r="E40" s="416"/>
      <c r="F40" s="412"/>
      <c r="G40" s="412"/>
      <c r="H40" s="412"/>
      <c r="I40" s="412"/>
      <c r="J40" s="412"/>
      <c r="K40" s="412"/>
      <c r="L40" s="412"/>
      <c r="M40" s="412"/>
      <c r="N40" s="230"/>
      <c r="O40" s="230"/>
      <c r="P40" s="230"/>
      <c r="Q40" s="230"/>
      <c r="R40" s="230"/>
      <c r="S40" s="230"/>
      <c r="T40" s="230"/>
      <c r="U40" s="230"/>
      <c r="V40" s="230"/>
      <c r="W40" s="230"/>
      <c r="X40" s="230"/>
      <c r="Y40" s="230"/>
      <c r="Z40" s="230"/>
      <c r="AA40" s="230"/>
      <c r="AB40" s="230"/>
      <c r="AC40" s="230"/>
      <c r="AD40" s="230"/>
      <c r="AE40" s="230"/>
      <c r="AF40" s="230"/>
      <c r="AG40" s="230"/>
      <c r="AH40" s="230"/>
      <c r="AI40" s="230"/>
      <c r="AJ40" s="230"/>
      <c r="AK40" s="230"/>
      <c r="AL40" s="230"/>
      <c r="AM40" s="230"/>
      <c r="AN40" s="230"/>
      <c r="AO40" s="230"/>
      <c r="AP40" s="230"/>
      <c r="AQ40" s="230"/>
      <c r="AR40" s="230"/>
      <c r="AS40" s="230"/>
      <c r="AT40" s="230"/>
      <c r="AU40" s="230"/>
      <c r="AV40" s="230"/>
      <c r="AW40" s="230"/>
      <c r="AX40" s="230"/>
      <c r="AY40" s="230"/>
      <c r="AZ40" s="230"/>
      <c r="BA40" s="230"/>
      <c r="BB40" s="230"/>
      <c r="BC40" s="230"/>
      <c r="BD40" s="230"/>
      <c r="BE40" s="230"/>
      <c r="BF40" s="230"/>
      <c r="BG40" s="230"/>
      <c r="BH40" s="230"/>
      <c r="BI40" s="230"/>
      <c r="BJ40" s="230"/>
      <c r="BK40" s="230"/>
      <c r="BL40" s="230"/>
      <c r="BM40" s="230"/>
      <c r="BN40" s="230"/>
      <c r="BO40" s="230"/>
      <c r="BP40" s="230"/>
      <c r="BQ40" s="230"/>
      <c r="BR40" s="230"/>
    </row>
    <row r="41" spans="1:70" s="231" customFormat="1" ht="92.25" customHeight="1" x14ac:dyDescent="0.25">
      <c r="A41" s="413"/>
      <c r="B41" s="414"/>
      <c r="C41" s="415"/>
      <c r="D41" s="416"/>
      <c r="E41" s="416"/>
      <c r="F41" s="412"/>
      <c r="G41" s="412"/>
      <c r="H41" s="412"/>
      <c r="I41" s="412"/>
      <c r="J41" s="412"/>
      <c r="K41" s="412"/>
      <c r="L41" s="412"/>
      <c r="M41" s="412"/>
      <c r="N41" s="230"/>
      <c r="O41" s="230"/>
      <c r="P41" s="230"/>
      <c r="Q41" s="230"/>
      <c r="R41" s="230"/>
      <c r="S41" s="230"/>
      <c r="T41" s="230"/>
      <c r="U41" s="230"/>
      <c r="V41" s="230"/>
      <c r="W41" s="230"/>
      <c r="X41" s="230"/>
      <c r="Y41" s="230"/>
      <c r="Z41" s="230"/>
      <c r="AA41" s="230"/>
      <c r="AB41" s="230"/>
      <c r="AC41" s="230"/>
      <c r="AD41" s="230"/>
      <c r="AE41" s="230"/>
      <c r="AF41" s="230"/>
      <c r="AG41" s="230"/>
      <c r="AH41" s="230"/>
      <c r="AI41" s="230"/>
      <c r="AJ41" s="230"/>
      <c r="AK41" s="230"/>
      <c r="AL41" s="230"/>
      <c r="AM41" s="230"/>
      <c r="AN41" s="230"/>
      <c r="AO41" s="230"/>
      <c r="AP41" s="230"/>
      <c r="AQ41" s="230"/>
      <c r="AR41" s="230"/>
      <c r="AS41" s="230"/>
      <c r="AT41" s="230"/>
      <c r="AU41" s="230"/>
      <c r="AV41" s="230"/>
      <c r="AW41" s="230"/>
      <c r="AX41" s="230"/>
      <c r="AY41" s="230"/>
      <c r="AZ41" s="230"/>
      <c r="BA41" s="230"/>
      <c r="BB41" s="230"/>
      <c r="BC41" s="230"/>
      <c r="BD41" s="230"/>
      <c r="BE41" s="230"/>
      <c r="BF41" s="230"/>
      <c r="BG41" s="230"/>
      <c r="BH41" s="230"/>
      <c r="BI41" s="230"/>
      <c r="BJ41" s="230"/>
      <c r="BK41" s="230"/>
      <c r="BL41" s="230"/>
      <c r="BM41" s="230"/>
      <c r="BN41" s="230"/>
      <c r="BO41" s="230"/>
      <c r="BP41" s="230"/>
      <c r="BQ41" s="230"/>
      <c r="BR41" s="230"/>
    </row>
    <row r="42" spans="1:70" ht="48.75" customHeight="1" x14ac:dyDescent="0.25">
      <c r="A42" s="413"/>
      <c r="B42" s="414"/>
      <c r="C42" s="415"/>
      <c r="D42" s="416"/>
      <c r="E42" s="416"/>
      <c r="F42" s="412" t="str">
        <f t="shared" ref="F42:M57" si="2">IFERROR(IF($E42="","No",IF($E42="No","No"," "))," ")</f>
        <v>No</v>
      </c>
      <c r="G42" s="412" t="str">
        <f t="shared" si="2"/>
        <v>No</v>
      </c>
      <c r="H42" s="412" t="str">
        <f t="shared" si="2"/>
        <v>No</v>
      </c>
      <c r="I42" s="412" t="str">
        <f t="shared" si="2"/>
        <v>No</v>
      </c>
      <c r="J42" s="412" t="str">
        <f t="shared" si="2"/>
        <v>No</v>
      </c>
      <c r="K42" s="412" t="str">
        <f t="shared" si="2"/>
        <v>No</v>
      </c>
      <c r="L42" s="412" t="str">
        <f t="shared" si="2"/>
        <v>No</v>
      </c>
      <c r="M42" s="412" t="str">
        <f t="shared" si="2"/>
        <v>No</v>
      </c>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2"/>
      <c r="AY42" s="232"/>
      <c r="AZ42" s="232"/>
      <c r="BA42" s="232"/>
      <c r="BB42" s="232"/>
      <c r="BC42" s="232"/>
      <c r="BD42" s="232"/>
      <c r="BE42" s="232"/>
      <c r="BF42" s="232"/>
      <c r="BG42" s="232"/>
      <c r="BH42" s="232"/>
      <c r="BI42" s="232"/>
      <c r="BJ42" s="232"/>
      <c r="BK42" s="232"/>
      <c r="BL42" s="232"/>
      <c r="BM42" s="232"/>
      <c r="BN42" s="232"/>
      <c r="BO42" s="232"/>
      <c r="BP42" s="232"/>
      <c r="BQ42" s="232"/>
      <c r="BR42" s="232"/>
    </row>
    <row r="43" spans="1:70" ht="48.75" customHeight="1" x14ac:dyDescent="0.25">
      <c r="A43" s="413"/>
      <c r="B43" s="414"/>
      <c r="C43" s="415"/>
      <c r="D43" s="416"/>
      <c r="E43" s="416"/>
      <c r="F43" s="412"/>
      <c r="G43" s="412"/>
      <c r="H43" s="412"/>
      <c r="I43" s="412"/>
      <c r="J43" s="412"/>
      <c r="K43" s="412"/>
      <c r="L43" s="412"/>
      <c r="M43" s="412"/>
      <c r="N43" s="232"/>
      <c r="O43" s="232"/>
      <c r="P43" s="232"/>
      <c r="Q43" s="232"/>
      <c r="R43" s="232"/>
      <c r="S43" s="232"/>
      <c r="T43" s="232"/>
      <c r="U43" s="232"/>
      <c r="V43" s="232"/>
      <c r="W43" s="232"/>
      <c r="X43" s="232"/>
      <c r="Y43" s="232"/>
      <c r="Z43" s="232"/>
      <c r="AA43" s="232"/>
      <c r="AB43" s="232"/>
      <c r="AC43" s="232"/>
      <c r="AD43" s="232"/>
      <c r="AE43" s="232"/>
      <c r="AF43" s="232"/>
      <c r="AG43" s="232"/>
      <c r="AH43" s="232"/>
      <c r="AI43" s="232"/>
      <c r="AJ43" s="232"/>
      <c r="AK43" s="232"/>
      <c r="AL43" s="232"/>
      <c r="AM43" s="232"/>
      <c r="AN43" s="232"/>
      <c r="AO43" s="232"/>
      <c r="AP43" s="232"/>
      <c r="AQ43" s="232"/>
      <c r="AR43" s="232"/>
      <c r="AS43" s="232"/>
      <c r="AT43" s="232"/>
      <c r="AU43" s="232"/>
      <c r="AV43" s="232"/>
      <c r="AW43" s="232"/>
      <c r="AX43" s="232"/>
      <c r="AY43" s="232"/>
      <c r="AZ43" s="232"/>
      <c r="BA43" s="232"/>
      <c r="BB43" s="232"/>
      <c r="BC43" s="232"/>
      <c r="BD43" s="232"/>
      <c r="BE43" s="232"/>
      <c r="BF43" s="232"/>
      <c r="BG43" s="232"/>
      <c r="BH43" s="232"/>
      <c r="BI43" s="232"/>
      <c r="BJ43" s="232"/>
      <c r="BK43" s="232"/>
      <c r="BL43" s="232"/>
      <c r="BM43" s="232"/>
      <c r="BN43" s="232"/>
      <c r="BO43" s="232"/>
      <c r="BP43" s="232"/>
      <c r="BQ43" s="232"/>
      <c r="BR43" s="232"/>
    </row>
    <row r="44" spans="1:70" ht="48.75" customHeight="1" x14ac:dyDescent="0.25">
      <c r="A44" s="413"/>
      <c r="B44" s="414"/>
      <c r="C44" s="415"/>
      <c r="D44" s="416"/>
      <c r="E44" s="416"/>
      <c r="F44" s="412"/>
      <c r="G44" s="412"/>
      <c r="H44" s="412"/>
      <c r="I44" s="412"/>
      <c r="J44" s="412"/>
      <c r="K44" s="412"/>
      <c r="L44" s="412"/>
      <c r="M44" s="412"/>
      <c r="N44" s="232"/>
      <c r="O44" s="232"/>
      <c r="P44" s="232"/>
      <c r="Q44" s="232"/>
      <c r="R44" s="232"/>
      <c r="S44" s="232"/>
      <c r="T44" s="232"/>
      <c r="U44" s="232"/>
      <c r="V44" s="232"/>
      <c r="W44" s="232"/>
      <c r="X44" s="232"/>
      <c r="Y44" s="232"/>
      <c r="Z44" s="232"/>
      <c r="AA44" s="232"/>
      <c r="AB44" s="232"/>
      <c r="AC44" s="232"/>
      <c r="AD44" s="232"/>
      <c r="AE44" s="232"/>
      <c r="AF44" s="232"/>
      <c r="AG44" s="232"/>
      <c r="AH44" s="232"/>
      <c r="AI44" s="232"/>
      <c r="AJ44" s="232"/>
      <c r="AK44" s="232"/>
      <c r="AL44" s="232"/>
      <c r="AM44" s="232"/>
      <c r="AN44" s="232"/>
      <c r="AO44" s="232"/>
      <c r="AP44" s="232"/>
      <c r="AQ44" s="232"/>
      <c r="AR44" s="232"/>
      <c r="AS44" s="232"/>
      <c r="AT44" s="232"/>
      <c r="AU44" s="232"/>
      <c r="AV44" s="232"/>
      <c r="AW44" s="232"/>
      <c r="AX44" s="232"/>
      <c r="AY44" s="232"/>
      <c r="AZ44" s="232"/>
      <c r="BA44" s="232"/>
      <c r="BB44" s="232"/>
      <c r="BC44" s="232"/>
      <c r="BD44" s="232"/>
      <c r="BE44" s="232"/>
      <c r="BF44" s="232"/>
      <c r="BG44" s="232"/>
      <c r="BH44" s="232"/>
      <c r="BI44" s="232"/>
      <c r="BJ44" s="232"/>
      <c r="BK44" s="232"/>
      <c r="BL44" s="232"/>
      <c r="BM44" s="232"/>
      <c r="BN44" s="232"/>
      <c r="BO44" s="232"/>
      <c r="BP44" s="232"/>
      <c r="BQ44" s="232"/>
      <c r="BR44" s="232"/>
    </row>
    <row r="45" spans="1:70" ht="48.75" customHeight="1" x14ac:dyDescent="0.25">
      <c r="A45" s="413"/>
      <c r="B45" s="414"/>
      <c r="C45" s="415"/>
      <c r="D45" s="416"/>
      <c r="E45" s="416"/>
      <c r="F45" s="412" t="str">
        <f t="shared" si="2"/>
        <v>No</v>
      </c>
      <c r="G45" s="412" t="str">
        <f t="shared" si="2"/>
        <v>No</v>
      </c>
      <c r="H45" s="412" t="str">
        <f t="shared" si="2"/>
        <v>No</v>
      </c>
      <c r="I45" s="412" t="str">
        <f t="shared" si="2"/>
        <v>No</v>
      </c>
      <c r="J45" s="412" t="str">
        <f t="shared" si="2"/>
        <v>No</v>
      </c>
      <c r="K45" s="412" t="str">
        <f t="shared" si="2"/>
        <v>No</v>
      </c>
      <c r="L45" s="412" t="str">
        <f t="shared" si="2"/>
        <v>No</v>
      </c>
      <c r="M45" s="412" t="str">
        <f t="shared" si="2"/>
        <v>No</v>
      </c>
      <c r="N45" s="232"/>
      <c r="O45" s="232"/>
      <c r="P45" s="232"/>
      <c r="Q45" s="232"/>
      <c r="R45" s="232"/>
      <c r="S45" s="232"/>
      <c r="T45" s="232"/>
      <c r="U45" s="232"/>
      <c r="V45" s="232"/>
      <c r="W45" s="232"/>
      <c r="X45" s="232"/>
      <c r="Y45" s="232"/>
      <c r="Z45" s="232"/>
      <c r="AA45" s="232"/>
      <c r="AB45" s="232"/>
      <c r="AC45" s="232"/>
      <c r="AD45" s="232"/>
      <c r="AE45" s="232"/>
      <c r="AF45" s="232"/>
      <c r="AG45" s="232"/>
      <c r="AH45" s="232"/>
      <c r="AI45" s="232"/>
      <c r="AJ45" s="232"/>
      <c r="AK45" s="232"/>
      <c r="AL45" s="232"/>
      <c r="AM45" s="232"/>
      <c r="AN45" s="232"/>
      <c r="AO45" s="232"/>
      <c r="AP45" s="232"/>
      <c r="AQ45" s="232"/>
      <c r="AR45" s="232"/>
      <c r="AS45" s="232"/>
      <c r="AT45" s="232"/>
      <c r="AU45" s="232"/>
      <c r="AV45" s="232"/>
      <c r="AW45" s="232"/>
      <c r="AX45" s="232"/>
      <c r="AY45" s="232"/>
      <c r="AZ45" s="232"/>
      <c r="BA45" s="232"/>
      <c r="BB45" s="232"/>
      <c r="BC45" s="232"/>
      <c r="BD45" s="232"/>
      <c r="BE45" s="232"/>
      <c r="BF45" s="232"/>
      <c r="BG45" s="232"/>
      <c r="BH45" s="232"/>
      <c r="BI45" s="232"/>
      <c r="BJ45" s="232"/>
      <c r="BK45" s="232"/>
      <c r="BL45" s="232"/>
      <c r="BM45" s="232"/>
      <c r="BN45" s="232"/>
      <c r="BO45" s="232"/>
      <c r="BP45" s="232"/>
      <c r="BQ45" s="232"/>
      <c r="BR45" s="232"/>
    </row>
    <row r="46" spans="1:70" ht="48.75" customHeight="1" x14ac:dyDescent="0.25">
      <c r="A46" s="413"/>
      <c r="B46" s="414"/>
      <c r="C46" s="415"/>
      <c r="D46" s="416"/>
      <c r="E46" s="416"/>
      <c r="F46" s="412"/>
      <c r="G46" s="412"/>
      <c r="H46" s="412"/>
      <c r="I46" s="412"/>
      <c r="J46" s="412"/>
      <c r="K46" s="412"/>
      <c r="L46" s="412"/>
      <c r="M46" s="412"/>
      <c r="N46" s="232"/>
      <c r="O46" s="232"/>
      <c r="P46" s="232"/>
      <c r="Q46" s="232"/>
      <c r="R46" s="232"/>
      <c r="S46" s="232"/>
      <c r="T46" s="232"/>
      <c r="U46" s="232"/>
      <c r="V46" s="232"/>
      <c r="W46" s="232"/>
      <c r="X46" s="232"/>
      <c r="Y46" s="232"/>
      <c r="Z46" s="232"/>
      <c r="AA46" s="232"/>
      <c r="AB46" s="232"/>
      <c r="AC46" s="232"/>
      <c r="AD46" s="232"/>
      <c r="AE46" s="232"/>
      <c r="AF46" s="232"/>
      <c r="AG46" s="232"/>
      <c r="AH46" s="232"/>
      <c r="AI46" s="232"/>
      <c r="AJ46" s="232"/>
      <c r="AK46" s="232"/>
      <c r="AL46" s="232"/>
      <c r="AM46" s="232"/>
      <c r="AN46" s="232"/>
      <c r="AO46" s="232"/>
      <c r="AP46" s="232"/>
      <c r="AQ46" s="232"/>
      <c r="AR46" s="232"/>
      <c r="AS46" s="232"/>
      <c r="AT46" s="232"/>
      <c r="AU46" s="232"/>
      <c r="AV46" s="232"/>
      <c r="AW46" s="232"/>
      <c r="AX46" s="232"/>
      <c r="AY46" s="232"/>
      <c r="AZ46" s="232"/>
      <c r="BA46" s="232"/>
      <c r="BB46" s="232"/>
      <c r="BC46" s="232"/>
      <c r="BD46" s="232"/>
      <c r="BE46" s="232"/>
      <c r="BF46" s="232"/>
      <c r="BG46" s="232"/>
      <c r="BH46" s="232"/>
      <c r="BI46" s="232"/>
      <c r="BJ46" s="232"/>
      <c r="BK46" s="232"/>
      <c r="BL46" s="232"/>
      <c r="BM46" s="232"/>
      <c r="BN46" s="232"/>
      <c r="BO46" s="232"/>
      <c r="BP46" s="232"/>
      <c r="BQ46" s="232"/>
      <c r="BR46" s="232"/>
    </row>
    <row r="47" spans="1:70" ht="48.75" customHeight="1" x14ac:dyDescent="0.25">
      <c r="A47" s="413"/>
      <c r="B47" s="414"/>
      <c r="C47" s="415"/>
      <c r="D47" s="416"/>
      <c r="E47" s="416"/>
      <c r="F47" s="412"/>
      <c r="G47" s="412"/>
      <c r="H47" s="412"/>
      <c r="I47" s="412"/>
      <c r="J47" s="412"/>
      <c r="K47" s="412"/>
      <c r="L47" s="412"/>
      <c r="M47" s="412"/>
      <c r="N47" s="232"/>
      <c r="O47" s="232"/>
      <c r="P47" s="232"/>
      <c r="Q47" s="232"/>
      <c r="R47" s="232"/>
      <c r="S47" s="232"/>
      <c r="T47" s="232"/>
      <c r="U47" s="232"/>
      <c r="V47" s="232"/>
      <c r="W47" s="232"/>
      <c r="X47" s="232"/>
      <c r="Y47" s="232"/>
      <c r="Z47" s="232"/>
      <c r="AA47" s="232"/>
      <c r="AB47" s="232"/>
      <c r="AC47" s="232"/>
      <c r="AD47" s="232"/>
      <c r="AE47" s="232"/>
      <c r="AF47" s="232"/>
      <c r="AG47" s="232"/>
      <c r="AH47" s="232"/>
      <c r="AI47" s="232"/>
      <c r="AJ47" s="232"/>
      <c r="AK47" s="232"/>
      <c r="AL47" s="232"/>
      <c r="AM47" s="232"/>
      <c r="AN47" s="232"/>
      <c r="AO47" s="232"/>
      <c r="AP47" s="232"/>
      <c r="AQ47" s="232"/>
      <c r="AR47" s="232"/>
      <c r="AS47" s="232"/>
      <c r="AT47" s="232"/>
      <c r="AU47" s="232"/>
      <c r="AV47" s="232"/>
      <c r="AW47" s="232"/>
      <c r="AX47" s="232"/>
      <c r="AY47" s="232"/>
      <c r="AZ47" s="232"/>
      <c r="BA47" s="232"/>
      <c r="BB47" s="232"/>
      <c r="BC47" s="232"/>
      <c r="BD47" s="232"/>
      <c r="BE47" s="232"/>
      <c r="BF47" s="232"/>
      <c r="BG47" s="232"/>
      <c r="BH47" s="232"/>
      <c r="BI47" s="232"/>
      <c r="BJ47" s="232"/>
      <c r="BK47" s="232"/>
      <c r="BL47" s="232"/>
      <c r="BM47" s="232"/>
      <c r="BN47" s="232"/>
      <c r="BO47" s="232"/>
      <c r="BP47" s="232"/>
      <c r="BQ47" s="232"/>
      <c r="BR47" s="232"/>
    </row>
    <row r="48" spans="1:70" ht="48.75" customHeight="1" x14ac:dyDescent="0.25">
      <c r="A48" s="413"/>
      <c r="B48" s="414"/>
      <c r="C48" s="415"/>
      <c r="D48" s="416"/>
      <c r="E48" s="416"/>
      <c r="F48" s="412" t="str">
        <f t="shared" si="2"/>
        <v>No</v>
      </c>
      <c r="G48" s="412" t="str">
        <f t="shared" si="2"/>
        <v>No</v>
      </c>
      <c r="H48" s="412" t="str">
        <f t="shared" si="2"/>
        <v>No</v>
      </c>
      <c r="I48" s="412" t="str">
        <f t="shared" si="2"/>
        <v>No</v>
      </c>
      <c r="J48" s="412" t="str">
        <f t="shared" si="2"/>
        <v>No</v>
      </c>
      <c r="K48" s="412" t="str">
        <f t="shared" si="2"/>
        <v>No</v>
      </c>
      <c r="L48" s="412" t="str">
        <f t="shared" si="2"/>
        <v>No</v>
      </c>
      <c r="M48" s="412" t="str">
        <f t="shared" si="2"/>
        <v>No</v>
      </c>
      <c r="N48" s="232"/>
      <c r="O48" s="232"/>
      <c r="P48" s="232"/>
      <c r="Q48" s="232"/>
      <c r="R48" s="232"/>
      <c r="S48" s="232"/>
      <c r="T48" s="232"/>
      <c r="U48" s="232"/>
      <c r="V48" s="232"/>
      <c r="W48" s="232"/>
      <c r="X48" s="232"/>
      <c r="Y48" s="232"/>
      <c r="Z48" s="232"/>
      <c r="AA48" s="232"/>
      <c r="AB48" s="232"/>
      <c r="AC48" s="232"/>
      <c r="AD48" s="232"/>
      <c r="AE48" s="232"/>
      <c r="AF48" s="232"/>
      <c r="AG48" s="232"/>
      <c r="AH48" s="232"/>
      <c r="AI48" s="232"/>
      <c r="AJ48" s="232"/>
      <c r="AK48" s="232"/>
      <c r="AL48" s="232"/>
      <c r="AM48" s="232"/>
      <c r="AN48" s="232"/>
      <c r="AO48" s="232"/>
      <c r="AP48" s="232"/>
      <c r="AQ48" s="232"/>
      <c r="AR48" s="232"/>
      <c r="AS48" s="232"/>
      <c r="AT48" s="232"/>
      <c r="AU48" s="232"/>
      <c r="AV48" s="232"/>
      <c r="AW48" s="232"/>
      <c r="AX48" s="232"/>
      <c r="AY48" s="232"/>
      <c r="AZ48" s="232"/>
      <c r="BA48" s="232"/>
      <c r="BB48" s="232"/>
      <c r="BC48" s="232"/>
      <c r="BD48" s="232"/>
      <c r="BE48" s="232"/>
      <c r="BF48" s="232"/>
      <c r="BG48" s="232"/>
      <c r="BH48" s="232"/>
      <c r="BI48" s="232"/>
      <c r="BJ48" s="232"/>
      <c r="BK48" s="232"/>
      <c r="BL48" s="232"/>
      <c r="BM48" s="232"/>
      <c r="BN48" s="232"/>
      <c r="BO48" s="232"/>
      <c r="BP48" s="232"/>
      <c r="BQ48" s="232"/>
      <c r="BR48" s="232"/>
    </row>
    <row r="49" spans="1:70" ht="48.75" customHeight="1" x14ac:dyDescent="0.25">
      <c r="A49" s="413"/>
      <c r="B49" s="414"/>
      <c r="C49" s="415"/>
      <c r="D49" s="416"/>
      <c r="E49" s="416"/>
      <c r="F49" s="412"/>
      <c r="G49" s="412"/>
      <c r="H49" s="412"/>
      <c r="I49" s="412"/>
      <c r="J49" s="412"/>
      <c r="K49" s="412"/>
      <c r="L49" s="412"/>
      <c r="M49" s="41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2"/>
      <c r="AY49" s="232"/>
      <c r="AZ49" s="232"/>
      <c r="BA49" s="232"/>
      <c r="BB49" s="232"/>
      <c r="BC49" s="232"/>
      <c r="BD49" s="232"/>
      <c r="BE49" s="232"/>
      <c r="BF49" s="232"/>
      <c r="BG49" s="232"/>
      <c r="BH49" s="232"/>
      <c r="BI49" s="232"/>
      <c r="BJ49" s="232"/>
      <c r="BK49" s="232"/>
      <c r="BL49" s="232"/>
      <c r="BM49" s="232"/>
      <c r="BN49" s="232"/>
      <c r="BO49" s="232"/>
      <c r="BP49" s="232"/>
      <c r="BQ49" s="232"/>
      <c r="BR49" s="232"/>
    </row>
    <row r="50" spans="1:70" ht="48.75" customHeight="1" x14ac:dyDescent="0.25">
      <c r="A50" s="413"/>
      <c r="B50" s="414"/>
      <c r="C50" s="415"/>
      <c r="D50" s="416"/>
      <c r="E50" s="416"/>
      <c r="F50" s="412"/>
      <c r="G50" s="412"/>
      <c r="H50" s="412"/>
      <c r="I50" s="412"/>
      <c r="J50" s="412"/>
      <c r="K50" s="412"/>
      <c r="L50" s="412"/>
      <c r="M50" s="412"/>
      <c r="N50" s="232"/>
      <c r="O50" s="232"/>
      <c r="P50" s="232"/>
      <c r="Q50" s="232"/>
      <c r="R50" s="232"/>
      <c r="S50" s="232"/>
      <c r="T50" s="232"/>
      <c r="U50" s="232"/>
      <c r="V50" s="232"/>
      <c r="W50" s="232"/>
      <c r="X50" s="232"/>
      <c r="Y50" s="232"/>
      <c r="Z50" s="232"/>
      <c r="AA50" s="232"/>
      <c r="AB50" s="232"/>
      <c r="AC50" s="232"/>
      <c r="AD50" s="232"/>
      <c r="AE50" s="232"/>
      <c r="AF50" s="232"/>
      <c r="AG50" s="232"/>
      <c r="AH50" s="232"/>
      <c r="AI50" s="232"/>
      <c r="AJ50" s="232"/>
      <c r="AK50" s="232"/>
      <c r="AL50" s="232"/>
      <c r="AM50" s="232"/>
      <c r="AN50" s="232"/>
      <c r="AO50" s="232"/>
      <c r="AP50" s="232"/>
      <c r="AQ50" s="232"/>
      <c r="AR50" s="232"/>
      <c r="AS50" s="232"/>
      <c r="AT50" s="232"/>
      <c r="AU50" s="232"/>
      <c r="AV50" s="232"/>
      <c r="AW50" s="232"/>
      <c r="AX50" s="232"/>
      <c r="AY50" s="232"/>
      <c r="AZ50" s="232"/>
      <c r="BA50" s="232"/>
      <c r="BB50" s="232"/>
      <c r="BC50" s="232"/>
      <c r="BD50" s="232"/>
      <c r="BE50" s="232"/>
      <c r="BF50" s="232"/>
      <c r="BG50" s="232"/>
      <c r="BH50" s="232"/>
      <c r="BI50" s="232"/>
      <c r="BJ50" s="232"/>
      <c r="BK50" s="232"/>
      <c r="BL50" s="232"/>
      <c r="BM50" s="232"/>
      <c r="BN50" s="232"/>
      <c r="BO50" s="232"/>
      <c r="BP50" s="232"/>
      <c r="BQ50" s="232"/>
      <c r="BR50" s="232"/>
    </row>
    <row r="51" spans="1:70" ht="48.75" customHeight="1" x14ac:dyDescent="0.25">
      <c r="A51" s="413"/>
      <c r="B51" s="414"/>
      <c r="C51" s="415"/>
      <c r="D51" s="416"/>
      <c r="E51" s="416"/>
      <c r="F51" s="412" t="str">
        <f t="shared" si="2"/>
        <v>No</v>
      </c>
      <c r="G51" s="412" t="str">
        <f t="shared" si="2"/>
        <v>No</v>
      </c>
      <c r="H51" s="412" t="str">
        <f t="shared" si="2"/>
        <v>No</v>
      </c>
      <c r="I51" s="412" t="str">
        <f t="shared" si="2"/>
        <v>No</v>
      </c>
      <c r="J51" s="412" t="str">
        <f t="shared" si="2"/>
        <v>No</v>
      </c>
      <c r="K51" s="412" t="str">
        <f t="shared" si="2"/>
        <v>No</v>
      </c>
      <c r="L51" s="412" t="str">
        <f t="shared" si="2"/>
        <v>No</v>
      </c>
      <c r="M51" s="412" t="str">
        <f t="shared" si="2"/>
        <v>No</v>
      </c>
      <c r="N51" s="232"/>
      <c r="O51" s="232"/>
      <c r="P51" s="232"/>
      <c r="Q51" s="232"/>
      <c r="R51" s="232"/>
      <c r="S51" s="232"/>
      <c r="T51" s="232"/>
      <c r="U51" s="232"/>
      <c r="V51" s="232"/>
      <c r="W51" s="232"/>
      <c r="X51" s="232"/>
      <c r="Y51" s="232"/>
      <c r="Z51" s="232"/>
      <c r="AA51" s="232"/>
      <c r="AB51" s="232"/>
      <c r="AC51" s="232"/>
      <c r="AD51" s="232"/>
      <c r="AE51" s="232"/>
      <c r="AF51" s="232"/>
      <c r="AG51" s="232"/>
      <c r="AH51" s="232"/>
      <c r="AI51" s="232"/>
      <c r="AJ51" s="232"/>
      <c r="AK51" s="232"/>
      <c r="AL51" s="232"/>
      <c r="AM51" s="232"/>
      <c r="AN51" s="232"/>
      <c r="AO51" s="232"/>
      <c r="AP51" s="232"/>
      <c r="AQ51" s="232"/>
      <c r="AR51" s="232"/>
      <c r="AS51" s="232"/>
      <c r="AT51" s="232"/>
      <c r="AU51" s="232"/>
      <c r="AV51" s="232"/>
      <c r="AW51" s="232"/>
      <c r="AX51" s="232"/>
      <c r="AY51" s="232"/>
      <c r="AZ51" s="232"/>
      <c r="BA51" s="232"/>
      <c r="BB51" s="232"/>
      <c r="BC51" s="232"/>
      <c r="BD51" s="232"/>
      <c r="BE51" s="232"/>
      <c r="BF51" s="232"/>
      <c r="BG51" s="232"/>
      <c r="BH51" s="232"/>
      <c r="BI51" s="232"/>
      <c r="BJ51" s="232"/>
      <c r="BK51" s="232"/>
      <c r="BL51" s="232"/>
      <c r="BM51" s="232"/>
      <c r="BN51" s="232"/>
      <c r="BO51" s="232"/>
      <c r="BP51" s="232"/>
      <c r="BQ51" s="232"/>
      <c r="BR51" s="232"/>
    </row>
    <row r="52" spans="1:70" ht="48.75" customHeight="1" x14ac:dyDescent="0.25">
      <c r="A52" s="413"/>
      <c r="B52" s="414"/>
      <c r="C52" s="415"/>
      <c r="D52" s="416"/>
      <c r="E52" s="416"/>
      <c r="F52" s="412"/>
      <c r="G52" s="412"/>
      <c r="H52" s="412"/>
      <c r="I52" s="412"/>
      <c r="J52" s="412"/>
      <c r="K52" s="412"/>
      <c r="L52" s="412"/>
      <c r="M52" s="412"/>
      <c r="N52" s="232"/>
      <c r="O52" s="232"/>
      <c r="P52" s="232"/>
      <c r="Q52" s="232"/>
      <c r="R52" s="232"/>
      <c r="S52" s="232"/>
      <c r="T52" s="232"/>
      <c r="U52" s="232"/>
      <c r="V52" s="232"/>
      <c r="W52" s="232"/>
      <c r="X52" s="232"/>
      <c r="Y52" s="232"/>
      <c r="Z52" s="232"/>
      <c r="AA52" s="232"/>
      <c r="AB52" s="232"/>
      <c r="AC52" s="232"/>
      <c r="AD52" s="232"/>
      <c r="AE52" s="232"/>
      <c r="AF52" s="232"/>
      <c r="AG52" s="232"/>
      <c r="AH52" s="232"/>
      <c r="AI52" s="232"/>
      <c r="AJ52" s="232"/>
      <c r="AK52" s="232"/>
      <c r="AL52" s="232"/>
      <c r="AM52" s="232"/>
      <c r="AN52" s="232"/>
      <c r="AO52" s="232"/>
      <c r="AP52" s="232"/>
      <c r="AQ52" s="232"/>
      <c r="AR52" s="232"/>
      <c r="AS52" s="232"/>
      <c r="AT52" s="232"/>
      <c r="AU52" s="232"/>
      <c r="AV52" s="232"/>
      <c r="AW52" s="232"/>
      <c r="AX52" s="232"/>
      <c r="AY52" s="232"/>
      <c r="AZ52" s="232"/>
      <c r="BA52" s="232"/>
      <c r="BB52" s="232"/>
      <c r="BC52" s="232"/>
      <c r="BD52" s="232"/>
      <c r="BE52" s="232"/>
      <c r="BF52" s="232"/>
      <c r="BG52" s="232"/>
      <c r="BH52" s="232"/>
      <c r="BI52" s="232"/>
      <c r="BJ52" s="232"/>
      <c r="BK52" s="232"/>
      <c r="BL52" s="232"/>
      <c r="BM52" s="232"/>
      <c r="BN52" s="232"/>
      <c r="BO52" s="232"/>
      <c r="BP52" s="232"/>
      <c r="BQ52" s="232"/>
      <c r="BR52" s="232"/>
    </row>
    <row r="53" spans="1:70" ht="48.75" customHeight="1" x14ac:dyDescent="0.25">
      <c r="A53" s="413"/>
      <c r="B53" s="414"/>
      <c r="C53" s="415"/>
      <c r="D53" s="416"/>
      <c r="E53" s="416"/>
      <c r="F53" s="412"/>
      <c r="G53" s="412"/>
      <c r="H53" s="412"/>
      <c r="I53" s="412"/>
      <c r="J53" s="412"/>
      <c r="K53" s="412"/>
      <c r="L53" s="412"/>
      <c r="M53" s="412"/>
      <c r="N53" s="232"/>
      <c r="O53" s="232"/>
      <c r="P53" s="232"/>
      <c r="Q53" s="232"/>
      <c r="R53" s="232"/>
      <c r="S53" s="232"/>
      <c r="T53" s="232"/>
      <c r="U53" s="232"/>
      <c r="V53" s="232"/>
      <c r="W53" s="232"/>
      <c r="X53" s="232"/>
      <c r="Y53" s="232"/>
      <c r="Z53" s="232"/>
      <c r="AA53" s="232"/>
      <c r="AB53" s="232"/>
      <c r="AC53" s="232"/>
      <c r="AD53" s="232"/>
      <c r="AE53" s="232"/>
      <c r="AF53" s="232"/>
      <c r="AG53" s="232"/>
      <c r="AH53" s="232"/>
      <c r="AI53" s="232"/>
      <c r="AJ53" s="232"/>
      <c r="AK53" s="232"/>
      <c r="AL53" s="232"/>
      <c r="AM53" s="232"/>
      <c r="AN53" s="232"/>
      <c r="AO53" s="232"/>
      <c r="AP53" s="232"/>
      <c r="AQ53" s="232"/>
      <c r="AR53" s="232"/>
      <c r="AS53" s="232"/>
      <c r="AT53" s="232"/>
      <c r="AU53" s="232"/>
      <c r="AV53" s="232"/>
      <c r="AW53" s="232"/>
      <c r="AX53" s="232"/>
      <c r="AY53" s="232"/>
      <c r="AZ53" s="232"/>
      <c r="BA53" s="232"/>
      <c r="BB53" s="232"/>
      <c r="BC53" s="232"/>
      <c r="BD53" s="232"/>
      <c r="BE53" s="232"/>
      <c r="BF53" s="232"/>
      <c r="BG53" s="232"/>
      <c r="BH53" s="232"/>
      <c r="BI53" s="232"/>
      <c r="BJ53" s="232"/>
      <c r="BK53" s="232"/>
      <c r="BL53" s="232"/>
      <c r="BM53" s="232"/>
      <c r="BN53" s="232"/>
      <c r="BO53" s="232"/>
      <c r="BP53" s="232"/>
      <c r="BQ53" s="232"/>
      <c r="BR53" s="232"/>
    </row>
    <row r="54" spans="1:70" ht="48.75" customHeight="1" x14ac:dyDescent="0.25">
      <c r="A54" s="413"/>
      <c r="B54" s="414"/>
      <c r="C54" s="415"/>
      <c r="D54" s="416"/>
      <c r="E54" s="416"/>
      <c r="F54" s="412" t="str">
        <f t="shared" si="2"/>
        <v>No</v>
      </c>
      <c r="G54" s="412" t="str">
        <f t="shared" si="2"/>
        <v>No</v>
      </c>
      <c r="H54" s="412" t="str">
        <f t="shared" si="2"/>
        <v>No</v>
      </c>
      <c r="I54" s="412" t="str">
        <f t="shared" si="2"/>
        <v>No</v>
      </c>
      <c r="J54" s="412" t="str">
        <f t="shared" si="2"/>
        <v>No</v>
      </c>
      <c r="K54" s="412" t="str">
        <f t="shared" si="2"/>
        <v>No</v>
      </c>
      <c r="L54" s="412" t="str">
        <f t="shared" si="2"/>
        <v>No</v>
      </c>
      <c r="M54" s="412" t="str">
        <f t="shared" si="2"/>
        <v>No</v>
      </c>
      <c r="N54" s="232"/>
      <c r="O54" s="232"/>
      <c r="P54" s="232"/>
      <c r="Q54" s="232"/>
      <c r="R54" s="232"/>
      <c r="S54" s="232"/>
      <c r="T54" s="232"/>
      <c r="U54" s="232"/>
      <c r="V54" s="232"/>
      <c r="W54" s="232"/>
      <c r="X54" s="232"/>
      <c r="Y54" s="232"/>
      <c r="Z54" s="232"/>
      <c r="AA54" s="232"/>
      <c r="AB54" s="232"/>
      <c r="AC54" s="232"/>
      <c r="AD54" s="232"/>
      <c r="AE54" s="232"/>
      <c r="AF54" s="232"/>
      <c r="AG54" s="232"/>
      <c r="AH54" s="232"/>
      <c r="AI54" s="232"/>
      <c r="AJ54" s="232"/>
      <c r="AK54" s="232"/>
      <c r="AL54" s="232"/>
      <c r="AM54" s="232"/>
      <c r="AN54" s="232"/>
      <c r="AO54" s="232"/>
      <c r="AP54" s="232"/>
      <c r="AQ54" s="232"/>
      <c r="AR54" s="232"/>
      <c r="AS54" s="232"/>
      <c r="AT54" s="232"/>
      <c r="AU54" s="232"/>
      <c r="AV54" s="232"/>
      <c r="AW54" s="232"/>
      <c r="AX54" s="232"/>
      <c r="AY54" s="232"/>
      <c r="AZ54" s="232"/>
      <c r="BA54" s="232"/>
      <c r="BB54" s="232"/>
      <c r="BC54" s="232"/>
      <c r="BD54" s="232"/>
      <c r="BE54" s="232"/>
      <c r="BF54" s="232"/>
      <c r="BG54" s="232"/>
      <c r="BH54" s="232"/>
      <c r="BI54" s="232"/>
      <c r="BJ54" s="232"/>
      <c r="BK54" s="232"/>
      <c r="BL54" s="232"/>
      <c r="BM54" s="232"/>
      <c r="BN54" s="232"/>
      <c r="BO54" s="232"/>
      <c r="BP54" s="232"/>
      <c r="BQ54" s="232"/>
      <c r="BR54" s="232"/>
    </row>
    <row r="55" spans="1:70" ht="48.75" customHeight="1" x14ac:dyDescent="0.25">
      <c r="A55" s="413"/>
      <c r="B55" s="414"/>
      <c r="C55" s="415"/>
      <c r="D55" s="416"/>
      <c r="E55" s="416"/>
      <c r="F55" s="412"/>
      <c r="G55" s="412"/>
      <c r="H55" s="412"/>
      <c r="I55" s="412"/>
      <c r="J55" s="412"/>
      <c r="K55" s="412"/>
      <c r="L55" s="412"/>
      <c r="M55" s="412"/>
      <c r="N55" s="232"/>
      <c r="O55" s="232"/>
      <c r="P55" s="232"/>
      <c r="Q55" s="232"/>
      <c r="R55" s="232"/>
      <c r="S55" s="232"/>
      <c r="T55" s="232"/>
      <c r="U55" s="232"/>
      <c r="V55" s="232"/>
      <c r="W55" s="232"/>
      <c r="X55" s="232"/>
      <c r="Y55" s="232"/>
      <c r="Z55" s="232"/>
      <c r="AA55" s="232"/>
      <c r="AB55" s="232"/>
      <c r="AC55" s="232"/>
      <c r="AD55" s="232"/>
      <c r="AE55" s="232"/>
      <c r="AF55" s="232"/>
      <c r="AG55" s="232"/>
      <c r="AH55" s="232"/>
      <c r="AI55" s="232"/>
      <c r="AJ55" s="232"/>
      <c r="AK55" s="232"/>
      <c r="AL55" s="232"/>
      <c r="AM55" s="232"/>
      <c r="AN55" s="232"/>
      <c r="AO55" s="232"/>
      <c r="AP55" s="232"/>
      <c r="AQ55" s="232"/>
      <c r="AR55" s="232"/>
      <c r="AS55" s="232"/>
      <c r="AT55" s="232"/>
      <c r="AU55" s="232"/>
      <c r="AV55" s="232"/>
      <c r="AW55" s="232"/>
      <c r="AX55" s="232"/>
      <c r="AY55" s="232"/>
      <c r="AZ55" s="232"/>
      <c r="BA55" s="232"/>
      <c r="BB55" s="232"/>
      <c r="BC55" s="232"/>
      <c r="BD55" s="232"/>
      <c r="BE55" s="232"/>
      <c r="BF55" s="232"/>
      <c r="BG55" s="232"/>
      <c r="BH55" s="232"/>
      <c r="BI55" s="232"/>
      <c r="BJ55" s="232"/>
      <c r="BK55" s="232"/>
      <c r="BL55" s="232"/>
      <c r="BM55" s="232"/>
      <c r="BN55" s="232"/>
      <c r="BO55" s="232"/>
      <c r="BP55" s="232"/>
      <c r="BQ55" s="232"/>
      <c r="BR55" s="232"/>
    </row>
    <row r="56" spans="1:70" ht="48.75" customHeight="1" x14ac:dyDescent="0.25">
      <c r="A56" s="413"/>
      <c r="B56" s="414"/>
      <c r="C56" s="415"/>
      <c r="D56" s="416"/>
      <c r="E56" s="416"/>
      <c r="F56" s="412"/>
      <c r="G56" s="412"/>
      <c r="H56" s="412"/>
      <c r="I56" s="412"/>
      <c r="J56" s="412"/>
      <c r="K56" s="412"/>
      <c r="L56" s="412"/>
      <c r="M56" s="41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2"/>
      <c r="AY56" s="232"/>
      <c r="AZ56" s="232"/>
      <c r="BA56" s="232"/>
      <c r="BB56" s="232"/>
      <c r="BC56" s="232"/>
      <c r="BD56" s="232"/>
      <c r="BE56" s="232"/>
      <c r="BF56" s="232"/>
      <c r="BG56" s="232"/>
      <c r="BH56" s="232"/>
      <c r="BI56" s="232"/>
      <c r="BJ56" s="232"/>
      <c r="BK56" s="232"/>
      <c r="BL56" s="232"/>
      <c r="BM56" s="232"/>
      <c r="BN56" s="232"/>
      <c r="BO56" s="232"/>
      <c r="BP56" s="232"/>
      <c r="BQ56" s="232"/>
      <c r="BR56" s="232"/>
    </row>
    <row r="57" spans="1:70" ht="48.75" customHeight="1" x14ac:dyDescent="0.25">
      <c r="A57" s="413"/>
      <c r="B57" s="414"/>
      <c r="C57" s="415"/>
      <c r="D57" s="416"/>
      <c r="E57" s="416"/>
      <c r="F57" s="412" t="str">
        <f t="shared" si="2"/>
        <v>No</v>
      </c>
      <c r="G57" s="412" t="str">
        <f t="shared" si="2"/>
        <v>No</v>
      </c>
      <c r="H57" s="412" t="str">
        <f t="shared" si="2"/>
        <v>No</v>
      </c>
      <c r="I57" s="412" t="str">
        <f t="shared" si="2"/>
        <v>No</v>
      </c>
      <c r="J57" s="412" t="str">
        <f t="shared" si="2"/>
        <v>No</v>
      </c>
      <c r="K57" s="412" t="str">
        <f t="shared" si="2"/>
        <v>No</v>
      </c>
      <c r="L57" s="412" t="str">
        <f t="shared" si="2"/>
        <v>No</v>
      </c>
      <c r="M57" s="412" t="str">
        <f t="shared" si="2"/>
        <v>No</v>
      </c>
      <c r="N57" s="232"/>
      <c r="O57" s="232"/>
      <c r="P57" s="232"/>
      <c r="Q57" s="232"/>
      <c r="R57" s="232"/>
      <c r="S57" s="232"/>
      <c r="T57" s="232"/>
      <c r="U57" s="232"/>
      <c r="V57" s="232"/>
      <c r="W57" s="232"/>
      <c r="X57" s="232"/>
      <c r="Y57" s="232"/>
      <c r="Z57" s="232"/>
      <c r="AA57" s="232"/>
      <c r="AB57" s="232"/>
      <c r="AC57" s="232"/>
      <c r="AD57" s="232"/>
      <c r="AE57" s="232"/>
      <c r="AF57" s="232"/>
      <c r="AG57" s="232"/>
      <c r="AH57" s="232"/>
      <c r="AI57" s="232"/>
      <c r="AJ57" s="232"/>
      <c r="AK57" s="232"/>
      <c r="AL57" s="232"/>
      <c r="AM57" s="232"/>
      <c r="AN57" s="232"/>
      <c r="AO57" s="232"/>
      <c r="AP57" s="232"/>
      <c r="AQ57" s="232"/>
      <c r="AR57" s="232"/>
      <c r="AS57" s="232"/>
      <c r="AT57" s="232"/>
      <c r="AU57" s="232"/>
      <c r="AV57" s="232"/>
      <c r="AW57" s="232"/>
      <c r="AX57" s="232"/>
      <c r="AY57" s="232"/>
      <c r="AZ57" s="232"/>
      <c r="BA57" s="232"/>
      <c r="BB57" s="232"/>
      <c r="BC57" s="232"/>
      <c r="BD57" s="232"/>
      <c r="BE57" s="232"/>
      <c r="BF57" s="232"/>
      <c r="BG57" s="232"/>
      <c r="BH57" s="232"/>
      <c r="BI57" s="232"/>
      <c r="BJ57" s="232"/>
      <c r="BK57" s="232"/>
      <c r="BL57" s="232"/>
      <c r="BM57" s="232"/>
      <c r="BN57" s="232"/>
      <c r="BO57" s="232"/>
      <c r="BP57" s="232"/>
      <c r="BQ57" s="232"/>
      <c r="BR57" s="232"/>
    </row>
    <row r="58" spans="1:70" ht="48.75" customHeight="1" x14ac:dyDescent="0.25">
      <c r="A58" s="413"/>
      <c r="B58" s="414"/>
      <c r="C58" s="415"/>
      <c r="D58" s="416"/>
      <c r="E58" s="416"/>
      <c r="F58" s="412"/>
      <c r="G58" s="412"/>
      <c r="H58" s="412"/>
      <c r="I58" s="412"/>
      <c r="J58" s="412"/>
      <c r="K58" s="412"/>
      <c r="L58" s="412"/>
      <c r="M58" s="412"/>
      <c r="N58" s="232"/>
      <c r="O58" s="232"/>
      <c r="P58" s="232"/>
      <c r="Q58" s="232"/>
      <c r="R58" s="232"/>
      <c r="S58" s="232"/>
      <c r="T58" s="232"/>
      <c r="U58" s="232"/>
      <c r="V58" s="232"/>
      <c r="W58" s="232"/>
      <c r="X58" s="232"/>
      <c r="Y58" s="232"/>
      <c r="Z58" s="232"/>
      <c r="AA58" s="232"/>
      <c r="AB58" s="232"/>
      <c r="AC58" s="232"/>
      <c r="AD58" s="232"/>
      <c r="AE58" s="232"/>
      <c r="AF58" s="232"/>
      <c r="AG58" s="232"/>
      <c r="AH58" s="232"/>
      <c r="AI58" s="232"/>
      <c r="AJ58" s="232"/>
      <c r="AK58" s="232"/>
      <c r="AL58" s="232"/>
      <c r="AM58" s="232"/>
      <c r="AN58" s="232"/>
      <c r="AO58" s="232"/>
      <c r="AP58" s="232"/>
      <c r="AQ58" s="232"/>
      <c r="AR58" s="232"/>
      <c r="AS58" s="232"/>
      <c r="AT58" s="232"/>
      <c r="AU58" s="232"/>
      <c r="AV58" s="232"/>
      <c r="AW58" s="232"/>
      <c r="AX58" s="232"/>
      <c r="AY58" s="232"/>
      <c r="AZ58" s="232"/>
      <c r="BA58" s="232"/>
      <c r="BB58" s="232"/>
      <c r="BC58" s="232"/>
      <c r="BD58" s="232"/>
      <c r="BE58" s="232"/>
      <c r="BF58" s="232"/>
      <c r="BG58" s="232"/>
      <c r="BH58" s="232"/>
      <c r="BI58" s="232"/>
      <c r="BJ58" s="232"/>
      <c r="BK58" s="232"/>
      <c r="BL58" s="232"/>
      <c r="BM58" s="232"/>
      <c r="BN58" s="232"/>
      <c r="BO58" s="232"/>
      <c r="BP58" s="232"/>
      <c r="BQ58" s="232"/>
      <c r="BR58" s="232"/>
    </row>
    <row r="59" spans="1:70" ht="48.75" customHeight="1" x14ac:dyDescent="0.25">
      <c r="A59" s="413"/>
      <c r="B59" s="414"/>
      <c r="C59" s="415"/>
      <c r="D59" s="416"/>
      <c r="E59" s="416"/>
      <c r="F59" s="412"/>
      <c r="G59" s="412"/>
      <c r="H59" s="412"/>
      <c r="I59" s="412"/>
      <c r="J59" s="412"/>
      <c r="K59" s="412"/>
      <c r="L59" s="412"/>
      <c r="M59" s="412"/>
      <c r="N59" s="232"/>
      <c r="O59" s="232"/>
      <c r="P59" s="232"/>
      <c r="Q59" s="232"/>
      <c r="R59" s="232"/>
      <c r="S59" s="232"/>
      <c r="T59" s="232"/>
      <c r="U59" s="232"/>
      <c r="V59" s="232"/>
      <c r="W59" s="232"/>
      <c r="X59" s="232"/>
      <c r="Y59" s="232"/>
      <c r="Z59" s="232"/>
      <c r="AA59" s="232"/>
      <c r="AB59" s="232"/>
      <c r="AC59" s="232"/>
      <c r="AD59" s="232"/>
      <c r="AE59" s="232"/>
      <c r="AF59" s="232"/>
      <c r="AG59" s="232"/>
      <c r="AH59" s="232"/>
      <c r="AI59" s="232"/>
      <c r="AJ59" s="232"/>
      <c r="AK59" s="232"/>
      <c r="AL59" s="232"/>
      <c r="AM59" s="232"/>
      <c r="AN59" s="232"/>
      <c r="AO59" s="232"/>
      <c r="AP59" s="232"/>
      <c r="AQ59" s="232"/>
      <c r="AR59" s="232"/>
      <c r="AS59" s="232"/>
      <c r="AT59" s="232"/>
      <c r="AU59" s="232"/>
      <c r="AV59" s="232"/>
      <c r="AW59" s="232"/>
      <c r="AX59" s="232"/>
      <c r="AY59" s="232"/>
      <c r="AZ59" s="232"/>
      <c r="BA59" s="232"/>
      <c r="BB59" s="232"/>
      <c r="BC59" s="232"/>
      <c r="BD59" s="232"/>
      <c r="BE59" s="232"/>
      <c r="BF59" s="232"/>
      <c r="BG59" s="232"/>
      <c r="BH59" s="232"/>
      <c r="BI59" s="232"/>
      <c r="BJ59" s="232"/>
      <c r="BK59" s="232"/>
      <c r="BL59" s="232"/>
      <c r="BM59" s="232"/>
      <c r="BN59" s="232"/>
      <c r="BO59" s="232"/>
      <c r="BP59" s="232"/>
      <c r="BQ59" s="232"/>
      <c r="BR59" s="232"/>
    </row>
    <row r="60" spans="1:70" ht="48.75" customHeight="1" x14ac:dyDescent="0.25">
      <c r="A60" s="413"/>
      <c r="B60" s="414"/>
      <c r="C60" s="415"/>
      <c r="D60" s="416"/>
      <c r="E60" s="416"/>
      <c r="F60" s="412" t="str">
        <f t="shared" ref="F60:F69" si="3">IFERROR(IF($E60="","No",IF($E60="No","No"," "))," ")</f>
        <v>No</v>
      </c>
      <c r="G60" s="412" t="str">
        <f t="shared" ref="G60:M60" si="4">IFERROR(IF($E60="","No",IF($E60="No","No"," "))," ")</f>
        <v>No</v>
      </c>
      <c r="H60" s="412" t="str">
        <f t="shared" si="4"/>
        <v>No</v>
      </c>
      <c r="I60" s="412" t="str">
        <f t="shared" si="4"/>
        <v>No</v>
      </c>
      <c r="J60" s="412" t="str">
        <f t="shared" si="4"/>
        <v>No</v>
      </c>
      <c r="K60" s="412" t="str">
        <f t="shared" si="4"/>
        <v>No</v>
      </c>
      <c r="L60" s="412" t="str">
        <f t="shared" si="4"/>
        <v>No</v>
      </c>
      <c r="M60" s="412" t="str">
        <f t="shared" si="4"/>
        <v>No</v>
      </c>
      <c r="N60" s="232"/>
      <c r="O60" s="232"/>
      <c r="P60" s="232"/>
      <c r="Q60" s="232"/>
      <c r="R60" s="232"/>
      <c r="S60" s="232"/>
      <c r="T60" s="232"/>
      <c r="U60" s="232"/>
      <c r="V60" s="232"/>
      <c r="W60" s="232"/>
      <c r="X60" s="232"/>
      <c r="Y60" s="232"/>
      <c r="Z60" s="232"/>
      <c r="AA60" s="232"/>
      <c r="AB60" s="232"/>
      <c r="AC60" s="232"/>
      <c r="AD60" s="232"/>
      <c r="AE60" s="232"/>
      <c r="AF60" s="232"/>
      <c r="AG60" s="232"/>
      <c r="AH60" s="232"/>
      <c r="AI60" s="232"/>
      <c r="AJ60" s="232"/>
      <c r="AK60" s="232"/>
      <c r="AL60" s="232"/>
      <c r="AM60" s="232"/>
      <c r="AN60" s="232"/>
      <c r="AO60" s="232"/>
      <c r="AP60" s="232"/>
      <c r="AQ60" s="232"/>
      <c r="AR60" s="232"/>
      <c r="AS60" s="232"/>
      <c r="AT60" s="232"/>
      <c r="AU60" s="232"/>
      <c r="AV60" s="232"/>
      <c r="AW60" s="232"/>
      <c r="AX60" s="232"/>
      <c r="AY60" s="232"/>
      <c r="AZ60" s="232"/>
      <c r="BA60" s="232"/>
      <c r="BB60" s="232"/>
      <c r="BC60" s="232"/>
      <c r="BD60" s="232"/>
      <c r="BE60" s="232"/>
      <c r="BF60" s="232"/>
      <c r="BG60" s="232"/>
      <c r="BH60" s="232"/>
      <c r="BI60" s="232"/>
      <c r="BJ60" s="232"/>
      <c r="BK60" s="232"/>
      <c r="BL60" s="232"/>
      <c r="BM60" s="232"/>
      <c r="BN60" s="232"/>
      <c r="BO60" s="232"/>
      <c r="BP60" s="232"/>
      <c r="BQ60" s="232"/>
      <c r="BR60" s="232"/>
    </row>
    <row r="61" spans="1:70" ht="48.75" customHeight="1" x14ac:dyDescent="0.25">
      <c r="A61" s="413"/>
      <c r="B61" s="414"/>
      <c r="C61" s="415"/>
      <c r="D61" s="416"/>
      <c r="E61" s="416"/>
      <c r="F61" s="412"/>
      <c r="G61" s="412"/>
      <c r="H61" s="412"/>
      <c r="I61" s="412"/>
      <c r="J61" s="412"/>
      <c r="K61" s="412"/>
      <c r="L61" s="412"/>
      <c r="M61" s="412"/>
      <c r="N61" s="232"/>
      <c r="O61" s="232"/>
      <c r="P61" s="232"/>
      <c r="Q61" s="232"/>
      <c r="R61" s="232"/>
      <c r="S61" s="232"/>
      <c r="T61" s="232"/>
      <c r="U61" s="232"/>
      <c r="V61" s="232"/>
      <c r="W61" s="232"/>
      <c r="X61" s="232"/>
      <c r="Y61" s="232"/>
      <c r="Z61" s="232"/>
      <c r="AA61" s="232"/>
      <c r="AB61" s="232"/>
      <c r="AC61" s="232"/>
      <c r="AD61" s="232"/>
      <c r="AE61" s="232"/>
      <c r="AF61" s="232"/>
      <c r="AG61" s="232"/>
      <c r="AH61" s="232"/>
      <c r="AI61" s="232"/>
      <c r="AJ61" s="232"/>
      <c r="AK61" s="232"/>
      <c r="AL61" s="232"/>
      <c r="AM61" s="232"/>
      <c r="AN61" s="232"/>
      <c r="AO61" s="232"/>
      <c r="AP61" s="232"/>
      <c r="AQ61" s="232"/>
      <c r="AR61" s="232"/>
      <c r="AS61" s="232"/>
      <c r="AT61" s="232"/>
      <c r="AU61" s="232"/>
      <c r="AV61" s="232"/>
      <c r="AW61" s="232"/>
      <c r="AX61" s="232"/>
      <c r="AY61" s="232"/>
      <c r="AZ61" s="232"/>
      <c r="BA61" s="232"/>
      <c r="BB61" s="232"/>
      <c r="BC61" s="232"/>
      <c r="BD61" s="232"/>
      <c r="BE61" s="232"/>
      <c r="BF61" s="232"/>
      <c r="BG61" s="232"/>
      <c r="BH61" s="232"/>
      <c r="BI61" s="232"/>
      <c r="BJ61" s="232"/>
      <c r="BK61" s="232"/>
      <c r="BL61" s="232"/>
      <c r="BM61" s="232"/>
      <c r="BN61" s="232"/>
      <c r="BO61" s="232"/>
      <c r="BP61" s="232"/>
      <c r="BQ61" s="232"/>
      <c r="BR61" s="232"/>
    </row>
    <row r="62" spans="1:70" ht="48.75" customHeight="1" x14ac:dyDescent="0.25">
      <c r="A62" s="413"/>
      <c r="B62" s="414"/>
      <c r="C62" s="415"/>
      <c r="D62" s="416"/>
      <c r="E62" s="416"/>
      <c r="F62" s="412"/>
      <c r="G62" s="412"/>
      <c r="H62" s="412"/>
      <c r="I62" s="412"/>
      <c r="J62" s="412"/>
      <c r="K62" s="412"/>
      <c r="L62" s="412"/>
      <c r="M62" s="412"/>
      <c r="N62" s="232"/>
      <c r="O62" s="232"/>
      <c r="P62" s="232"/>
      <c r="Q62" s="232"/>
      <c r="R62" s="232"/>
      <c r="S62" s="232"/>
      <c r="T62" s="232"/>
      <c r="U62" s="232"/>
      <c r="V62" s="232"/>
      <c r="W62" s="232"/>
      <c r="X62" s="232"/>
      <c r="Y62" s="232"/>
      <c r="Z62" s="232"/>
      <c r="AA62" s="232"/>
      <c r="AB62" s="232"/>
      <c r="AC62" s="232"/>
      <c r="AD62" s="232"/>
      <c r="AE62" s="232"/>
      <c r="AF62" s="232"/>
      <c r="AG62" s="232"/>
      <c r="AH62" s="232"/>
      <c r="AI62" s="232"/>
      <c r="AJ62" s="232"/>
      <c r="AK62" s="232"/>
      <c r="AL62" s="232"/>
      <c r="AM62" s="232"/>
      <c r="AN62" s="232"/>
      <c r="AO62" s="232"/>
      <c r="AP62" s="232"/>
      <c r="AQ62" s="232"/>
      <c r="AR62" s="232"/>
      <c r="AS62" s="232"/>
      <c r="AT62" s="232"/>
      <c r="AU62" s="232"/>
      <c r="AV62" s="232"/>
      <c r="AW62" s="232"/>
      <c r="AX62" s="232"/>
      <c r="AY62" s="232"/>
      <c r="AZ62" s="232"/>
      <c r="BA62" s="232"/>
      <c r="BB62" s="232"/>
      <c r="BC62" s="232"/>
      <c r="BD62" s="232"/>
      <c r="BE62" s="232"/>
      <c r="BF62" s="232"/>
      <c r="BG62" s="232"/>
      <c r="BH62" s="232"/>
      <c r="BI62" s="232"/>
      <c r="BJ62" s="232"/>
      <c r="BK62" s="232"/>
      <c r="BL62" s="232"/>
      <c r="BM62" s="232"/>
      <c r="BN62" s="232"/>
      <c r="BO62" s="232"/>
      <c r="BP62" s="232"/>
      <c r="BQ62" s="232"/>
      <c r="BR62" s="232"/>
    </row>
    <row r="63" spans="1:70" ht="48.75" customHeight="1" x14ac:dyDescent="0.25">
      <c r="A63" s="413"/>
      <c r="B63" s="414"/>
      <c r="C63" s="415"/>
      <c r="D63" s="416"/>
      <c r="E63" s="416"/>
      <c r="F63" s="412" t="str">
        <f t="shared" si="3"/>
        <v>No</v>
      </c>
      <c r="G63" s="412" t="str">
        <f t="shared" ref="G63:M63" si="5">IFERROR(IF($E63="","No",IF($E63="No","No"," "))," ")</f>
        <v>No</v>
      </c>
      <c r="H63" s="412" t="str">
        <f t="shared" si="5"/>
        <v>No</v>
      </c>
      <c r="I63" s="412" t="str">
        <f t="shared" si="5"/>
        <v>No</v>
      </c>
      <c r="J63" s="412" t="str">
        <f t="shared" si="5"/>
        <v>No</v>
      </c>
      <c r="K63" s="412" t="str">
        <f t="shared" si="5"/>
        <v>No</v>
      </c>
      <c r="L63" s="412" t="str">
        <f t="shared" si="5"/>
        <v>No</v>
      </c>
      <c r="M63" s="412" t="str">
        <f t="shared" si="5"/>
        <v>No</v>
      </c>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2"/>
      <c r="AY63" s="232"/>
      <c r="AZ63" s="232"/>
      <c r="BA63" s="232"/>
      <c r="BB63" s="232"/>
      <c r="BC63" s="232"/>
      <c r="BD63" s="232"/>
      <c r="BE63" s="232"/>
      <c r="BF63" s="232"/>
      <c r="BG63" s="232"/>
      <c r="BH63" s="232"/>
      <c r="BI63" s="232"/>
      <c r="BJ63" s="232"/>
      <c r="BK63" s="232"/>
      <c r="BL63" s="232"/>
      <c r="BM63" s="232"/>
      <c r="BN63" s="232"/>
      <c r="BO63" s="232"/>
      <c r="BP63" s="232"/>
      <c r="BQ63" s="232"/>
      <c r="BR63" s="232"/>
    </row>
    <row r="64" spans="1:70" ht="48.75" customHeight="1" x14ac:dyDescent="0.25">
      <c r="A64" s="413"/>
      <c r="B64" s="414"/>
      <c r="C64" s="415"/>
      <c r="D64" s="416"/>
      <c r="E64" s="416"/>
      <c r="F64" s="412"/>
      <c r="G64" s="412"/>
      <c r="H64" s="412"/>
      <c r="I64" s="412"/>
      <c r="J64" s="412"/>
      <c r="K64" s="412"/>
      <c r="L64" s="412"/>
      <c r="M64" s="412"/>
      <c r="N64" s="232"/>
      <c r="O64" s="232"/>
      <c r="P64" s="232"/>
      <c r="Q64" s="232"/>
      <c r="R64" s="232"/>
      <c r="S64" s="232"/>
      <c r="T64" s="232"/>
      <c r="U64" s="232"/>
      <c r="V64" s="232"/>
      <c r="W64" s="232"/>
      <c r="X64" s="232"/>
      <c r="Y64" s="232"/>
      <c r="Z64" s="232"/>
      <c r="AA64" s="232"/>
      <c r="AB64" s="232"/>
      <c r="AC64" s="232"/>
      <c r="AD64" s="232"/>
      <c r="AE64" s="232"/>
      <c r="AF64" s="232"/>
      <c r="AG64" s="232"/>
      <c r="AH64" s="232"/>
      <c r="AI64" s="232"/>
      <c r="AJ64" s="232"/>
      <c r="AK64" s="232"/>
      <c r="AL64" s="232"/>
      <c r="AM64" s="232"/>
      <c r="AN64" s="232"/>
      <c r="AO64" s="232"/>
      <c r="AP64" s="232"/>
      <c r="AQ64" s="232"/>
      <c r="AR64" s="232"/>
      <c r="AS64" s="232"/>
      <c r="AT64" s="232"/>
      <c r="AU64" s="232"/>
      <c r="AV64" s="232"/>
      <c r="AW64" s="232"/>
      <c r="AX64" s="232"/>
      <c r="AY64" s="232"/>
      <c r="AZ64" s="232"/>
      <c r="BA64" s="232"/>
      <c r="BB64" s="232"/>
      <c r="BC64" s="232"/>
      <c r="BD64" s="232"/>
      <c r="BE64" s="232"/>
      <c r="BF64" s="232"/>
      <c r="BG64" s="232"/>
      <c r="BH64" s="232"/>
      <c r="BI64" s="232"/>
      <c r="BJ64" s="232"/>
      <c r="BK64" s="232"/>
      <c r="BL64" s="232"/>
      <c r="BM64" s="232"/>
      <c r="BN64" s="232"/>
      <c r="BO64" s="232"/>
      <c r="BP64" s="232"/>
      <c r="BQ64" s="232"/>
      <c r="BR64" s="232"/>
    </row>
    <row r="65" spans="1:70" ht="48.75" customHeight="1" x14ac:dyDescent="0.25">
      <c r="A65" s="413"/>
      <c r="B65" s="414"/>
      <c r="C65" s="415"/>
      <c r="D65" s="416"/>
      <c r="E65" s="416"/>
      <c r="F65" s="412"/>
      <c r="G65" s="412"/>
      <c r="H65" s="412"/>
      <c r="I65" s="412"/>
      <c r="J65" s="412"/>
      <c r="K65" s="412"/>
      <c r="L65" s="412"/>
      <c r="M65" s="41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32"/>
      <c r="BF65" s="232"/>
      <c r="BG65" s="232"/>
      <c r="BH65" s="232"/>
      <c r="BI65" s="232"/>
      <c r="BJ65" s="232"/>
      <c r="BK65" s="232"/>
      <c r="BL65" s="232"/>
      <c r="BM65" s="232"/>
      <c r="BN65" s="232"/>
      <c r="BO65" s="232"/>
      <c r="BP65" s="232"/>
      <c r="BQ65" s="232"/>
      <c r="BR65" s="232"/>
    </row>
    <row r="66" spans="1:70" ht="48.75" customHeight="1" x14ac:dyDescent="0.25">
      <c r="A66" s="413"/>
      <c r="B66" s="414"/>
      <c r="C66" s="415"/>
      <c r="D66" s="416"/>
      <c r="E66" s="416"/>
      <c r="F66" s="412" t="str">
        <f t="shared" si="3"/>
        <v>No</v>
      </c>
      <c r="G66" s="412" t="str">
        <f t="shared" ref="G66:M66" si="6">IFERROR(IF($E66="","No",IF($E66="No","No"," "))," ")</f>
        <v>No</v>
      </c>
      <c r="H66" s="412" t="str">
        <f t="shared" si="6"/>
        <v>No</v>
      </c>
      <c r="I66" s="412" t="str">
        <f t="shared" si="6"/>
        <v>No</v>
      </c>
      <c r="J66" s="412" t="str">
        <f t="shared" si="6"/>
        <v>No</v>
      </c>
      <c r="K66" s="412" t="str">
        <f t="shared" si="6"/>
        <v>No</v>
      </c>
      <c r="L66" s="412" t="str">
        <f t="shared" si="6"/>
        <v>No</v>
      </c>
      <c r="M66" s="412" t="str">
        <f t="shared" si="6"/>
        <v>No</v>
      </c>
      <c r="N66" s="232"/>
      <c r="O66" s="232"/>
      <c r="P66" s="232"/>
      <c r="Q66" s="232"/>
      <c r="R66" s="232"/>
      <c r="S66" s="232"/>
      <c r="T66" s="232"/>
      <c r="U66" s="232"/>
      <c r="V66" s="232"/>
      <c r="W66" s="232"/>
      <c r="X66" s="232"/>
      <c r="Y66" s="232"/>
      <c r="Z66" s="232"/>
      <c r="AA66" s="232"/>
      <c r="AB66" s="232"/>
      <c r="AC66" s="232"/>
      <c r="AD66" s="232"/>
      <c r="AE66" s="232"/>
      <c r="AF66" s="232"/>
      <c r="AG66" s="232"/>
      <c r="AH66" s="232"/>
      <c r="AI66" s="232"/>
      <c r="AJ66" s="232"/>
      <c r="AK66" s="232"/>
      <c r="AL66" s="232"/>
      <c r="AM66" s="232"/>
      <c r="AN66" s="232"/>
      <c r="AO66" s="232"/>
      <c r="AP66" s="232"/>
      <c r="AQ66" s="232"/>
      <c r="AR66" s="232"/>
      <c r="AS66" s="232"/>
      <c r="AT66" s="232"/>
      <c r="AU66" s="232"/>
      <c r="AV66" s="232"/>
      <c r="AW66" s="232"/>
      <c r="AX66" s="232"/>
      <c r="AY66" s="232"/>
      <c r="AZ66" s="232"/>
      <c r="BA66" s="232"/>
      <c r="BB66" s="232"/>
      <c r="BC66" s="232"/>
      <c r="BD66" s="232"/>
      <c r="BE66" s="232"/>
      <c r="BF66" s="232"/>
      <c r="BG66" s="232"/>
      <c r="BH66" s="232"/>
      <c r="BI66" s="232"/>
      <c r="BJ66" s="232"/>
      <c r="BK66" s="232"/>
      <c r="BL66" s="232"/>
      <c r="BM66" s="232"/>
      <c r="BN66" s="232"/>
      <c r="BO66" s="232"/>
      <c r="BP66" s="232"/>
      <c r="BQ66" s="232"/>
      <c r="BR66" s="232"/>
    </row>
    <row r="67" spans="1:70" ht="48.75" customHeight="1" x14ac:dyDescent="0.25">
      <c r="A67" s="413"/>
      <c r="B67" s="414"/>
      <c r="C67" s="415"/>
      <c r="D67" s="416"/>
      <c r="E67" s="416"/>
      <c r="F67" s="412"/>
      <c r="G67" s="412"/>
      <c r="H67" s="412"/>
      <c r="I67" s="412"/>
      <c r="J67" s="412"/>
      <c r="K67" s="412"/>
      <c r="L67" s="412"/>
      <c r="M67" s="412"/>
      <c r="N67" s="232"/>
      <c r="O67" s="232"/>
      <c r="P67" s="232"/>
      <c r="Q67" s="232"/>
      <c r="R67" s="232"/>
      <c r="S67" s="232"/>
      <c r="T67" s="232"/>
      <c r="U67" s="232"/>
      <c r="V67" s="232"/>
      <c r="W67" s="232"/>
      <c r="X67" s="232"/>
      <c r="Y67" s="232"/>
      <c r="Z67" s="232"/>
      <c r="AA67" s="232"/>
      <c r="AB67" s="232"/>
      <c r="AC67" s="232"/>
      <c r="AD67" s="232"/>
      <c r="AE67" s="232"/>
      <c r="AF67" s="232"/>
      <c r="AG67" s="232"/>
      <c r="AH67" s="232"/>
      <c r="AI67" s="232"/>
      <c r="AJ67" s="232"/>
      <c r="AK67" s="232"/>
      <c r="AL67" s="232"/>
      <c r="AM67" s="232"/>
      <c r="AN67" s="232"/>
      <c r="AO67" s="232"/>
      <c r="AP67" s="232"/>
      <c r="AQ67" s="232"/>
      <c r="AR67" s="232"/>
      <c r="AS67" s="232"/>
      <c r="AT67" s="232"/>
      <c r="AU67" s="232"/>
      <c r="AV67" s="232"/>
      <c r="AW67" s="232"/>
      <c r="AX67" s="232"/>
      <c r="AY67" s="232"/>
      <c r="AZ67" s="232"/>
      <c r="BA67" s="232"/>
      <c r="BB67" s="232"/>
      <c r="BC67" s="232"/>
      <c r="BD67" s="232"/>
      <c r="BE67" s="232"/>
      <c r="BF67" s="232"/>
      <c r="BG67" s="232"/>
      <c r="BH67" s="232"/>
      <c r="BI67" s="232"/>
      <c r="BJ67" s="232"/>
      <c r="BK67" s="232"/>
      <c r="BL67" s="232"/>
      <c r="BM67" s="232"/>
      <c r="BN67" s="232"/>
      <c r="BO67" s="232"/>
      <c r="BP67" s="232"/>
      <c r="BQ67" s="232"/>
      <c r="BR67" s="232"/>
    </row>
    <row r="68" spans="1:70" ht="48.75" customHeight="1" x14ac:dyDescent="0.25">
      <c r="A68" s="413"/>
      <c r="B68" s="414"/>
      <c r="C68" s="415"/>
      <c r="D68" s="416"/>
      <c r="E68" s="416"/>
      <c r="F68" s="412"/>
      <c r="G68" s="412"/>
      <c r="H68" s="412"/>
      <c r="I68" s="412"/>
      <c r="J68" s="412"/>
      <c r="K68" s="412"/>
      <c r="L68" s="412"/>
      <c r="M68" s="412"/>
      <c r="N68" s="232"/>
      <c r="O68" s="232"/>
      <c r="P68" s="232"/>
      <c r="Q68" s="232"/>
      <c r="R68" s="232"/>
      <c r="S68" s="232"/>
      <c r="T68" s="232"/>
      <c r="U68" s="232"/>
      <c r="V68" s="232"/>
      <c r="W68" s="232"/>
      <c r="X68" s="232"/>
      <c r="Y68" s="232"/>
      <c r="Z68" s="232"/>
      <c r="AA68" s="232"/>
      <c r="AB68" s="232"/>
      <c r="AC68" s="232"/>
      <c r="AD68" s="232"/>
      <c r="AE68" s="232"/>
      <c r="AF68" s="232"/>
      <c r="AG68" s="232"/>
      <c r="AH68" s="232"/>
      <c r="AI68" s="232"/>
      <c r="AJ68" s="232"/>
      <c r="AK68" s="232"/>
      <c r="AL68" s="232"/>
      <c r="AM68" s="232"/>
      <c r="AN68" s="232"/>
      <c r="AO68" s="232"/>
      <c r="AP68" s="232"/>
      <c r="AQ68" s="232"/>
      <c r="AR68" s="232"/>
      <c r="AS68" s="232"/>
      <c r="AT68" s="232"/>
      <c r="AU68" s="232"/>
      <c r="AV68" s="232"/>
      <c r="AW68" s="232"/>
      <c r="AX68" s="232"/>
      <c r="AY68" s="232"/>
      <c r="AZ68" s="232"/>
      <c r="BA68" s="232"/>
      <c r="BB68" s="232"/>
      <c r="BC68" s="232"/>
      <c r="BD68" s="232"/>
      <c r="BE68" s="232"/>
      <c r="BF68" s="232"/>
      <c r="BG68" s="232"/>
      <c r="BH68" s="232"/>
      <c r="BI68" s="232"/>
      <c r="BJ68" s="232"/>
      <c r="BK68" s="232"/>
      <c r="BL68" s="232"/>
      <c r="BM68" s="232"/>
      <c r="BN68" s="232"/>
      <c r="BO68" s="232"/>
      <c r="BP68" s="232"/>
      <c r="BQ68" s="232"/>
      <c r="BR68" s="232"/>
    </row>
    <row r="69" spans="1:70" ht="48.75" customHeight="1" x14ac:dyDescent="0.25">
      <c r="A69" s="413"/>
      <c r="B69" s="414"/>
      <c r="C69" s="415"/>
      <c r="D69" s="416"/>
      <c r="E69" s="416"/>
      <c r="F69" s="412" t="str">
        <f t="shared" si="3"/>
        <v>No</v>
      </c>
      <c r="G69" s="412" t="str">
        <f t="shared" ref="G69:M69" si="7">IFERROR(IF($E69="","No",IF($E69="No","No"," "))," ")</f>
        <v>No</v>
      </c>
      <c r="H69" s="412" t="str">
        <f t="shared" si="7"/>
        <v>No</v>
      </c>
      <c r="I69" s="412" t="str">
        <f t="shared" si="7"/>
        <v>No</v>
      </c>
      <c r="J69" s="412" t="str">
        <f t="shared" si="7"/>
        <v>No</v>
      </c>
      <c r="K69" s="412" t="str">
        <f t="shared" si="7"/>
        <v>No</v>
      </c>
      <c r="L69" s="412" t="str">
        <f t="shared" si="7"/>
        <v>No</v>
      </c>
      <c r="M69" s="412" t="str">
        <f t="shared" si="7"/>
        <v>No</v>
      </c>
      <c r="N69" s="232"/>
      <c r="O69" s="232"/>
      <c r="P69" s="232"/>
      <c r="Q69" s="232"/>
      <c r="R69" s="232"/>
      <c r="S69" s="232"/>
      <c r="T69" s="232"/>
      <c r="U69" s="232"/>
      <c r="V69" s="232"/>
      <c r="W69" s="232"/>
      <c r="X69" s="232"/>
      <c r="Y69" s="232"/>
      <c r="Z69" s="232"/>
      <c r="AA69" s="232"/>
      <c r="AB69" s="232"/>
      <c r="AC69" s="232"/>
      <c r="AD69" s="232"/>
      <c r="AE69" s="232"/>
      <c r="AF69" s="232"/>
      <c r="AG69" s="232"/>
      <c r="AH69" s="232"/>
      <c r="AI69" s="232"/>
      <c r="AJ69" s="232"/>
      <c r="AK69" s="232"/>
      <c r="AL69" s="232"/>
      <c r="AM69" s="232"/>
      <c r="AN69" s="232"/>
      <c r="AO69" s="232"/>
      <c r="AP69" s="232"/>
      <c r="AQ69" s="232"/>
      <c r="AR69" s="232"/>
      <c r="AS69" s="232"/>
      <c r="AT69" s="232"/>
      <c r="AU69" s="232"/>
      <c r="AV69" s="232"/>
      <c r="AW69" s="232"/>
      <c r="AX69" s="232"/>
      <c r="AY69" s="232"/>
      <c r="AZ69" s="232"/>
      <c r="BA69" s="232"/>
      <c r="BB69" s="232"/>
      <c r="BC69" s="232"/>
      <c r="BD69" s="232"/>
      <c r="BE69" s="232"/>
      <c r="BF69" s="232"/>
      <c r="BG69" s="232"/>
      <c r="BH69" s="232"/>
      <c r="BI69" s="232"/>
      <c r="BJ69" s="232"/>
      <c r="BK69" s="232"/>
      <c r="BL69" s="232"/>
      <c r="BM69" s="232"/>
      <c r="BN69" s="232"/>
      <c r="BO69" s="232"/>
      <c r="BP69" s="232"/>
      <c r="BQ69" s="232"/>
      <c r="BR69" s="232"/>
    </row>
    <row r="70" spans="1:70" ht="48.75" customHeight="1" x14ac:dyDescent="0.25">
      <c r="A70" s="413"/>
      <c r="B70" s="414"/>
      <c r="C70" s="415"/>
      <c r="D70" s="416"/>
      <c r="E70" s="416"/>
      <c r="F70" s="412"/>
      <c r="G70" s="412"/>
      <c r="H70" s="412"/>
      <c r="I70" s="412"/>
      <c r="J70" s="412"/>
      <c r="K70" s="412"/>
      <c r="L70" s="412"/>
      <c r="M70" s="41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2"/>
      <c r="AY70" s="232"/>
      <c r="AZ70" s="232"/>
      <c r="BA70" s="232"/>
      <c r="BB70" s="232"/>
      <c r="BC70" s="232"/>
      <c r="BD70" s="232"/>
      <c r="BE70" s="232"/>
      <c r="BF70" s="232"/>
      <c r="BG70" s="232"/>
      <c r="BH70" s="232"/>
      <c r="BI70" s="232"/>
      <c r="BJ70" s="232"/>
      <c r="BK70" s="232"/>
      <c r="BL70" s="232"/>
      <c r="BM70" s="232"/>
      <c r="BN70" s="232"/>
      <c r="BO70" s="232"/>
      <c r="BP70" s="232"/>
      <c r="BQ70" s="232"/>
      <c r="BR70" s="232"/>
    </row>
    <row r="71" spans="1:70" ht="48.75" customHeight="1" x14ac:dyDescent="0.25">
      <c r="A71" s="413"/>
      <c r="B71" s="414"/>
      <c r="C71" s="415"/>
      <c r="D71" s="416"/>
      <c r="E71" s="416"/>
      <c r="F71" s="412"/>
      <c r="G71" s="412"/>
      <c r="H71" s="412"/>
      <c r="I71" s="412"/>
      <c r="J71" s="412"/>
      <c r="K71" s="412"/>
      <c r="L71" s="412"/>
      <c r="M71" s="412"/>
      <c r="N71" s="232"/>
      <c r="O71" s="232"/>
      <c r="P71" s="232"/>
      <c r="Q71" s="232"/>
      <c r="R71" s="232"/>
      <c r="S71" s="232"/>
      <c r="T71" s="232"/>
      <c r="U71" s="232"/>
      <c r="V71" s="232"/>
      <c r="W71" s="232"/>
      <c r="X71" s="232"/>
      <c r="Y71" s="232"/>
      <c r="Z71" s="232"/>
      <c r="AA71" s="232"/>
      <c r="AB71" s="232"/>
      <c r="AC71" s="232"/>
      <c r="AD71" s="232"/>
      <c r="AE71" s="232"/>
      <c r="AF71" s="232"/>
      <c r="AG71" s="232"/>
      <c r="AH71" s="232"/>
      <c r="AI71" s="232"/>
      <c r="AJ71" s="232"/>
      <c r="AK71" s="232"/>
      <c r="AL71" s="232"/>
      <c r="AM71" s="232"/>
      <c r="AN71" s="232"/>
      <c r="AO71" s="232"/>
      <c r="AP71" s="232"/>
      <c r="AQ71" s="232"/>
      <c r="AR71" s="232"/>
      <c r="AS71" s="232"/>
      <c r="AT71" s="232"/>
      <c r="AU71" s="232"/>
      <c r="AV71" s="232"/>
      <c r="AW71" s="232"/>
      <c r="AX71" s="232"/>
      <c r="AY71" s="232"/>
      <c r="AZ71" s="232"/>
      <c r="BA71" s="232"/>
      <c r="BB71" s="232"/>
      <c r="BC71" s="232"/>
      <c r="BD71" s="232"/>
      <c r="BE71" s="232"/>
      <c r="BF71" s="232"/>
      <c r="BG71" s="232"/>
      <c r="BH71" s="232"/>
      <c r="BI71" s="232"/>
      <c r="BJ71" s="232"/>
      <c r="BK71" s="232"/>
      <c r="BL71" s="232"/>
      <c r="BM71" s="232"/>
      <c r="BN71" s="232"/>
      <c r="BO71" s="232"/>
      <c r="BP71" s="232"/>
      <c r="BQ71" s="232"/>
      <c r="BR71" s="232"/>
    </row>
  </sheetData>
  <sheetProtection algorithmName="SHA-512" hashValue="U2yRvc1yDl20GqBPDmiGzIjd9wiCNLZ/kY1zr2x15+NU/A3PB4FDjZcOQzDGT01p5Jqu4j35jQThWDH8P+z+PQ==" saltValue="zmBxh8MPtwrTrykBZDa/Ew==" spinCount="100000" sheet="1" objects="1" scenarios="1"/>
  <mergeCells count="255">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A2:C2"/>
    <mergeCell ref="M2:M3"/>
    <mergeCell ref="A3:C6"/>
    <mergeCell ref="A7:M7"/>
    <mergeCell ref="A9:M9"/>
    <mergeCell ref="A10:A11"/>
    <mergeCell ref="E10:E11"/>
    <mergeCell ref="F10:M10"/>
    <mergeCell ref="D10:D11"/>
    <mergeCell ref="B10:C10"/>
    <mergeCell ref="D3:L4"/>
    <mergeCell ref="D2:L2"/>
    <mergeCell ref="D6:L6"/>
    <mergeCell ref="D5:L5"/>
    <mergeCell ref="G30:G32"/>
    <mergeCell ref="H30:H32"/>
    <mergeCell ref="I30:I32"/>
    <mergeCell ref="J30:J32"/>
    <mergeCell ref="K24:K26"/>
    <mergeCell ref="L24:L26"/>
    <mergeCell ref="K30:K32"/>
    <mergeCell ref="L30:L32"/>
    <mergeCell ref="B48:B50"/>
    <mergeCell ref="C48:C50"/>
    <mergeCell ref="D48:D50"/>
    <mergeCell ref="E48:E50"/>
    <mergeCell ref="B51:B53"/>
    <mergeCell ref="C51:C53"/>
    <mergeCell ref="D51:D53"/>
    <mergeCell ref="E51:E53"/>
    <mergeCell ref="B42:B44"/>
    <mergeCell ref="C42:C44"/>
    <mergeCell ref="D42:D44"/>
    <mergeCell ref="E42:E44"/>
    <mergeCell ref="B45:B47"/>
    <mergeCell ref="C45:C47"/>
    <mergeCell ref="D45:D47"/>
    <mergeCell ref="E45:E47"/>
    <mergeCell ref="C60:C62"/>
    <mergeCell ref="D60:D62"/>
    <mergeCell ref="E60:E62"/>
    <mergeCell ref="B54:B56"/>
    <mergeCell ref="C54:C56"/>
    <mergeCell ref="D54:D56"/>
    <mergeCell ref="E54:E56"/>
    <mergeCell ref="B57:B59"/>
    <mergeCell ref="C57:C59"/>
    <mergeCell ref="D57:D59"/>
    <mergeCell ref="E57:E59"/>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M66:M68"/>
    <mergeCell ref="M69:M71"/>
    <mergeCell ref="M42:M44"/>
    <mergeCell ref="M45:M47"/>
    <mergeCell ref="M48:M50"/>
    <mergeCell ref="M51:M53"/>
    <mergeCell ref="M54:M56"/>
    <mergeCell ref="M57:M59"/>
    <mergeCell ref="M60:M62"/>
    <mergeCell ref="M63:M65"/>
  </mergeCells>
  <conditionalFormatting sqref="F12:M71">
    <cfRule type="containsText" dxfId="4"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A1:BR88"/>
  <sheetViews>
    <sheetView view="pageBreakPreview" topLeftCell="A3" zoomScale="40" zoomScaleNormal="40" zoomScaleSheetLayoutView="40" workbookViewId="0">
      <selection activeCell="N12" sqref="A12:XFD4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59" customFormat="1" ht="24" thickBot="1" x14ac:dyDescent="0.4">
      <c r="A1" s="164"/>
      <c r="B1" s="164"/>
      <c r="C1" s="164"/>
      <c r="D1" s="164"/>
      <c r="E1" s="164"/>
      <c r="F1" s="164"/>
      <c r="G1" s="164"/>
      <c r="H1" s="164"/>
      <c r="I1" s="164"/>
      <c r="J1" s="164"/>
      <c r="K1" s="164"/>
      <c r="L1" s="164"/>
      <c r="M1" s="164"/>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row>
    <row r="2" spans="1:70" s="159" customFormat="1" ht="69" customHeight="1" x14ac:dyDescent="0.35">
      <c r="A2" s="464" t="s">
        <v>60</v>
      </c>
      <c r="B2" s="465"/>
      <c r="C2" s="465"/>
      <c r="D2" s="449" t="s">
        <v>106</v>
      </c>
      <c r="E2" s="450"/>
      <c r="F2" s="450"/>
      <c r="G2" s="450"/>
      <c r="H2" s="450"/>
      <c r="I2" s="450"/>
      <c r="J2" s="450"/>
      <c r="K2" s="450"/>
      <c r="L2" s="451"/>
      <c r="M2" s="466" t="s">
        <v>107</v>
      </c>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row>
    <row r="3" spans="1:70" s="159" customFormat="1" ht="40.5" customHeight="1" x14ac:dyDescent="0.35">
      <c r="A3" s="468"/>
      <c r="B3" s="469"/>
      <c r="C3" s="469"/>
      <c r="D3" s="452" t="s">
        <v>63</v>
      </c>
      <c r="E3" s="453"/>
      <c r="F3" s="453"/>
      <c r="G3" s="453"/>
      <c r="H3" s="453"/>
      <c r="I3" s="453"/>
      <c r="J3" s="453"/>
      <c r="K3" s="453"/>
      <c r="L3" s="454"/>
      <c r="M3" s="467"/>
      <c r="N3" s="160"/>
      <c r="O3" s="160"/>
      <c r="P3" s="160"/>
      <c r="Q3" s="160"/>
      <c r="R3" s="160"/>
      <c r="S3" s="160"/>
      <c r="T3" s="160"/>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row>
    <row r="4" spans="1:70" s="159" customFormat="1" ht="40.5" customHeight="1" x14ac:dyDescent="0.35">
      <c r="A4" s="468"/>
      <c r="B4" s="469"/>
      <c r="C4" s="469"/>
      <c r="D4" s="455"/>
      <c r="E4" s="456"/>
      <c r="F4" s="456"/>
      <c r="G4" s="456"/>
      <c r="H4" s="456"/>
      <c r="I4" s="456"/>
      <c r="J4" s="456"/>
      <c r="K4" s="456"/>
      <c r="L4" s="457"/>
      <c r="M4" s="165" t="s">
        <v>64</v>
      </c>
      <c r="N4" s="158"/>
      <c r="P4" s="161"/>
      <c r="Q4" s="161"/>
      <c r="R4" s="161"/>
      <c r="S4" s="161"/>
      <c r="T4" s="161"/>
      <c r="U4" s="161"/>
      <c r="V4" s="161"/>
      <c r="W4" s="161"/>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row>
    <row r="5" spans="1:70" s="159" customFormat="1" ht="40.5" customHeight="1" x14ac:dyDescent="0.35">
      <c r="A5" s="468"/>
      <c r="B5" s="469"/>
      <c r="C5" s="469"/>
      <c r="D5" s="458" t="s">
        <v>65</v>
      </c>
      <c r="E5" s="459"/>
      <c r="F5" s="459"/>
      <c r="G5" s="459"/>
      <c r="H5" s="459"/>
      <c r="I5" s="459"/>
      <c r="J5" s="459"/>
      <c r="K5" s="459"/>
      <c r="L5" s="460"/>
      <c r="M5" s="165" t="s">
        <v>108</v>
      </c>
      <c r="N5" s="158"/>
      <c r="P5" s="161"/>
      <c r="Q5" s="161"/>
      <c r="R5" s="161"/>
      <c r="S5" s="161"/>
      <c r="T5" s="161"/>
      <c r="U5" s="161"/>
      <c r="V5" s="161"/>
      <c r="W5" s="161"/>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row>
    <row r="6" spans="1:70" s="159" customFormat="1" ht="40.5" customHeight="1" x14ac:dyDescent="0.35">
      <c r="A6" s="468"/>
      <c r="B6" s="469"/>
      <c r="C6" s="469"/>
      <c r="D6" s="461" t="s">
        <v>67</v>
      </c>
      <c r="E6" s="462"/>
      <c r="F6" s="462"/>
      <c r="G6" s="462"/>
      <c r="H6" s="462"/>
      <c r="I6" s="462"/>
      <c r="J6" s="462"/>
      <c r="K6" s="462"/>
      <c r="L6" s="463"/>
      <c r="M6" s="165" t="s">
        <v>68</v>
      </c>
      <c r="N6" s="158"/>
      <c r="P6" s="162"/>
      <c r="Q6" s="162"/>
      <c r="R6" s="162"/>
      <c r="S6" s="162"/>
      <c r="T6" s="162"/>
      <c r="U6" s="162"/>
      <c r="V6" s="162"/>
      <c r="W6" s="162"/>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row>
    <row r="7" spans="1:70" s="159" customFormat="1" ht="33" customHeight="1" thickBot="1" x14ac:dyDescent="0.4">
      <c r="A7" s="470"/>
      <c r="B7" s="471"/>
      <c r="C7" s="471"/>
      <c r="D7" s="471"/>
      <c r="E7" s="471"/>
      <c r="F7" s="471"/>
      <c r="G7" s="471"/>
      <c r="H7" s="471"/>
      <c r="I7" s="471"/>
      <c r="J7" s="471"/>
      <c r="K7" s="471"/>
      <c r="L7" s="471"/>
      <c r="M7" s="472"/>
      <c r="N7" s="158"/>
      <c r="O7" s="162"/>
      <c r="P7" s="162"/>
      <c r="Q7" s="162"/>
      <c r="R7" s="162"/>
      <c r="S7" s="162"/>
      <c r="T7" s="162"/>
      <c r="U7" s="162"/>
      <c r="V7" s="162"/>
      <c r="W7" s="162"/>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row>
    <row r="8" spans="1:70" s="159" customFormat="1" ht="29.25" customHeight="1" x14ac:dyDescent="0.35">
      <c r="A8" s="166"/>
      <c r="B8" s="167"/>
      <c r="C8" s="168"/>
      <c r="D8" s="168"/>
      <c r="E8" s="168"/>
      <c r="F8" s="168"/>
      <c r="G8" s="168"/>
      <c r="H8" s="168"/>
      <c r="I8" s="168"/>
      <c r="J8" s="168"/>
      <c r="K8" s="168"/>
      <c r="L8" s="168"/>
      <c r="M8" s="168"/>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row>
    <row r="9" spans="1:70" s="159" customFormat="1" ht="177.75" customHeight="1" x14ac:dyDescent="0.35">
      <c r="A9" s="473" t="s">
        <v>923</v>
      </c>
      <c r="B9" s="474"/>
      <c r="C9" s="474"/>
      <c r="D9" s="474"/>
      <c r="E9" s="474"/>
      <c r="F9" s="474"/>
      <c r="G9" s="474"/>
      <c r="H9" s="474"/>
      <c r="I9" s="474"/>
      <c r="J9" s="474"/>
      <c r="K9" s="474"/>
      <c r="L9" s="474"/>
      <c r="M9" s="474"/>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row>
    <row r="10" spans="1:70" s="159" customFormat="1" ht="89.25" customHeight="1" x14ac:dyDescent="0.35">
      <c r="A10" s="475" t="s">
        <v>109</v>
      </c>
      <c r="B10" s="475" t="s">
        <v>110</v>
      </c>
      <c r="C10" s="475"/>
      <c r="D10" s="475" t="s">
        <v>122</v>
      </c>
      <c r="E10" s="475" t="s">
        <v>112</v>
      </c>
      <c r="F10" s="475" t="s">
        <v>113</v>
      </c>
      <c r="G10" s="475"/>
      <c r="H10" s="475"/>
      <c r="I10" s="475"/>
      <c r="J10" s="475"/>
      <c r="K10" s="475"/>
      <c r="L10" s="475"/>
      <c r="M10" s="475"/>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row>
    <row r="11" spans="1:70" s="159" customFormat="1" ht="176.25" customHeight="1" x14ac:dyDescent="0.35">
      <c r="A11" s="475"/>
      <c r="B11" s="170" t="s">
        <v>114</v>
      </c>
      <c r="C11" s="170" t="s">
        <v>21</v>
      </c>
      <c r="D11" s="475"/>
      <c r="E11" s="475"/>
      <c r="F11" s="170" t="s">
        <v>115</v>
      </c>
      <c r="G11" s="170" t="s">
        <v>123</v>
      </c>
      <c r="H11" s="170" t="s">
        <v>117</v>
      </c>
      <c r="I11" s="170" t="s">
        <v>118</v>
      </c>
      <c r="J11" s="170" t="s">
        <v>124</v>
      </c>
      <c r="K11" s="170" t="s">
        <v>93</v>
      </c>
      <c r="L11" s="170" t="s">
        <v>120</v>
      </c>
      <c r="M11" s="170" t="s">
        <v>121</v>
      </c>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row>
    <row r="12" spans="1:70" ht="117.75" customHeight="1" x14ac:dyDescent="0.3">
      <c r="A12" s="476" t="s">
        <v>125</v>
      </c>
      <c r="B12" s="414" t="str">
        <f>'Mapa final'!$B$13</f>
        <v>GBG_02</v>
      </c>
      <c r="C12" s="415"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47"/>
      <c r="E12" s="448"/>
      <c r="F12" s="444" t="str">
        <f t="shared" ref="F12:M12" si="0">IFERROR(IF($E12="","No",IF($E12="No","No"," "))," ")</f>
        <v>No</v>
      </c>
      <c r="G12" s="444" t="str">
        <f t="shared" si="0"/>
        <v>No</v>
      </c>
      <c r="H12" s="444" t="str">
        <f t="shared" si="0"/>
        <v>No</v>
      </c>
      <c r="I12" s="444" t="str">
        <f t="shared" si="0"/>
        <v>No</v>
      </c>
      <c r="J12" s="444" t="str">
        <f t="shared" si="0"/>
        <v>No</v>
      </c>
      <c r="K12" s="444" t="str">
        <f t="shared" si="0"/>
        <v>No</v>
      </c>
      <c r="L12" s="444" t="str">
        <f t="shared" si="0"/>
        <v>No</v>
      </c>
      <c r="M12" s="444" t="str">
        <f t="shared" si="0"/>
        <v>No</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row>
    <row r="13" spans="1:70" ht="117.75" customHeight="1" x14ac:dyDescent="0.3">
      <c r="A13" s="476"/>
      <c r="B13" s="414"/>
      <c r="C13" s="415"/>
      <c r="D13" s="447"/>
      <c r="E13" s="448"/>
      <c r="F13" s="444"/>
      <c r="G13" s="444"/>
      <c r="H13" s="444"/>
      <c r="I13" s="444"/>
      <c r="J13" s="444"/>
      <c r="K13" s="444"/>
      <c r="L13" s="444"/>
      <c r="M13" s="444"/>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row>
    <row r="14" spans="1:70" ht="117.75" customHeight="1" x14ac:dyDescent="0.3">
      <c r="A14" s="476"/>
      <c r="B14" s="414"/>
      <c r="C14" s="415"/>
      <c r="D14" s="447"/>
      <c r="E14" s="448"/>
      <c r="F14" s="444"/>
      <c r="G14" s="444"/>
      <c r="H14" s="444"/>
      <c r="I14" s="444"/>
      <c r="J14" s="444"/>
      <c r="K14" s="444"/>
      <c r="L14" s="444"/>
      <c r="M14" s="444"/>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c r="AO14" s="163"/>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row>
    <row r="15" spans="1:70" ht="117.75" customHeight="1" x14ac:dyDescent="0.3">
      <c r="A15" s="476"/>
      <c r="B15" s="414" t="str">
        <f>'Mapa final'!$B$15</f>
        <v>GBG_03</v>
      </c>
      <c r="C15" s="415" t="str">
        <f>'Mapa final'!$H$15</f>
        <v>Posibilidad de afectación económica y reputacional por demandas legales y sanciones, debido a la omisión de la declaración de impedimento o recusación ante la posibilidad real o aparente de un conflicto de interés.</v>
      </c>
      <c r="D15" s="447"/>
      <c r="E15" s="448"/>
      <c r="F15" s="444" t="str">
        <f t="shared" ref="F15:M39" si="1">IFERROR(IF($E15="","No",IF($E15="No","No"," "))," ")</f>
        <v>No</v>
      </c>
      <c r="G15" s="444" t="str">
        <f t="shared" si="1"/>
        <v>No</v>
      </c>
      <c r="H15" s="444" t="str">
        <f t="shared" si="1"/>
        <v>No</v>
      </c>
      <c r="I15" s="444" t="str">
        <f t="shared" si="1"/>
        <v>No</v>
      </c>
      <c r="J15" s="444" t="str">
        <f t="shared" si="1"/>
        <v>No</v>
      </c>
      <c r="K15" s="444" t="str">
        <f t="shared" si="1"/>
        <v>No</v>
      </c>
      <c r="L15" s="444" t="str">
        <f t="shared" si="1"/>
        <v>No</v>
      </c>
      <c r="M15" s="444" t="str">
        <f t="shared" si="1"/>
        <v>No</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row>
    <row r="16" spans="1:70" ht="117.75" customHeight="1" x14ac:dyDescent="0.3">
      <c r="A16" s="476"/>
      <c r="B16" s="414"/>
      <c r="C16" s="415"/>
      <c r="D16" s="447"/>
      <c r="E16" s="448"/>
      <c r="F16" s="444"/>
      <c r="G16" s="444"/>
      <c r="H16" s="444"/>
      <c r="I16" s="444"/>
      <c r="J16" s="444"/>
      <c r="K16" s="444"/>
      <c r="L16" s="444"/>
      <c r="M16" s="444"/>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row>
    <row r="17" spans="1:70" ht="117.75" customHeight="1" x14ac:dyDescent="0.3">
      <c r="A17" s="476"/>
      <c r="B17" s="414"/>
      <c r="C17" s="415"/>
      <c r="D17" s="447"/>
      <c r="E17" s="448"/>
      <c r="F17" s="444"/>
      <c r="G17" s="444"/>
      <c r="H17" s="444"/>
      <c r="I17" s="444"/>
      <c r="J17" s="444"/>
      <c r="K17" s="444"/>
      <c r="L17" s="444"/>
      <c r="M17" s="444"/>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row>
    <row r="18" spans="1:70" ht="117.75" customHeight="1" x14ac:dyDescent="0.3">
      <c r="A18" s="476"/>
      <c r="B18" s="414" t="str">
        <f>'Mapa final'!$B$17</f>
        <v>OAP_01</v>
      </c>
      <c r="C18" s="415" t="str">
        <f>'Mapa final'!$H$17</f>
        <v>Posibilidad de afectación económica por la no prestación integral de los servicios de salud a los usuarios del  HOMIL,  debido a la inadecuada identificación de necesidades para la adquisición de bienes y/o servicios.</v>
      </c>
      <c r="D18" s="447"/>
      <c r="E18" s="448"/>
      <c r="F18" s="444" t="str">
        <f t="shared" ref="F18" si="2">IFERROR(IF($E18="","No",IF($E18="No","No"," "))," ")</f>
        <v>No</v>
      </c>
      <c r="G18" s="444" t="str">
        <f t="shared" si="1"/>
        <v>No</v>
      </c>
      <c r="H18" s="444" t="str">
        <f t="shared" si="1"/>
        <v>No</v>
      </c>
      <c r="I18" s="444" t="str">
        <f t="shared" si="1"/>
        <v>No</v>
      </c>
      <c r="J18" s="444" t="str">
        <f t="shared" si="1"/>
        <v>No</v>
      </c>
      <c r="K18" s="444" t="str">
        <f t="shared" si="1"/>
        <v>No</v>
      </c>
      <c r="L18" s="444" t="str">
        <f t="shared" si="1"/>
        <v>No</v>
      </c>
      <c r="M18" s="444" t="str">
        <f t="shared" si="1"/>
        <v>No</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row>
    <row r="19" spans="1:70" ht="117.75" customHeight="1" x14ac:dyDescent="0.3">
      <c r="A19" s="476"/>
      <c r="B19" s="414"/>
      <c r="C19" s="415"/>
      <c r="D19" s="447"/>
      <c r="E19" s="448"/>
      <c r="F19" s="444"/>
      <c r="G19" s="444"/>
      <c r="H19" s="444"/>
      <c r="I19" s="444"/>
      <c r="J19" s="444"/>
      <c r="K19" s="444"/>
      <c r="L19" s="444"/>
      <c r="M19" s="444"/>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row>
    <row r="20" spans="1:70" ht="117.75" customHeight="1" x14ac:dyDescent="0.3">
      <c r="A20" s="476"/>
      <c r="B20" s="414"/>
      <c r="C20" s="415"/>
      <c r="D20" s="447"/>
      <c r="E20" s="448"/>
      <c r="F20" s="444"/>
      <c r="G20" s="444"/>
      <c r="H20" s="444"/>
      <c r="I20" s="444"/>
      <c r="J20" s="444"/>
      <c r="K20" s="444"/>
      <c r="L20" s="444"/>
      <c r="M20" s="444"/>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row>
    <row r="21" spans="1:70" ht="117.75" customHeight="1" x14ac:dyDescent="0.3">
      <c r="A21" s="476"/>
      <c r="B21" s="414" t="str">
        <f>'Mapa final'!$B$20</f>
        <v>OAP_02</v>
      </c>
      <c r="C21" s="415"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47"/>
      <c r="E21" s="448"/>
      <c r="F21" s="444" t="str">
        <f t="shared" ref="F21" si="3">IFERROR(IF($E21="","No",IF($E21="No","No"," "))," ")</f>
        <v>No</v>
      </c>
      <c r="G21" s="444" t="str">
        <f t="shared" si="1"/>
        <v>No</v>
      </c>
      <c r="H21" s="444" t="str">
        <f t="shared" si="1"/>
        <v>No</v>
      </c>
      <c r="I21" s="444" t="str">
        <f t="shared" si="1"/>
        <v>No</v>
      </c>
      <c r="J21" s="444" t="str">
        <f t="shared" si="1"/>
        <v>No</v>
      </c>
      <c r="K21" s="444" t="str">
        <f t="shared" si="1"/>
        <v>No</v>
      </c>
      <c r="L21" s="444" t="str">
        <f t="shared" si="1"/>
        <v>No</v>
      </c>
      <c r="M21" s="444" t="str">
        <f t="shared" si="1"/>
        <v>No</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row>
    <row r="22" spans="1:70" ht="117.75" customHeight="1" x14ac:dyDescent="0.3">
      <c r="A22" s="476"/>
      <c r="B22" s="414"/>
      <c r="C22" s="415"/>
      <c r="D22" s="447"/>
      <c r="E22" s="448"/>
      <c r="F22" s="444"/>
      <c r="G22" s="444"/>
      <c r="H22" s="444"/>
      <c r="I22" s="444"/>
      <c r="J22" s="444"/>
      <c r="K22" s="444"/>
      <c r="L22" s="444"/>
      <c r="M22" s="444"/>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row>
    <row r="23" spans="1:70" ht="117.75" customHeight="1" x14ac:dyDescent="0.3">
      <c r="A23" s="476"/>
      <c r="B23" s="414"/>
      <c r="C23" s="415"/>
      <c r="D23" s="447"/>
      <c r="E23" s="448"/>
      <c r="F23" s="444"/>
      <c r="G23" s="444"/>
      <c r="H23" s="444"/>
      <c r="I23" s="444"/>
      <c r="J23" s="444"/>
      <c r="K23" s="444"/>
      <c r="L23" s="444"/>
      <c r="M23" s="444"/>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row>
    <row r="24" spans="1:70" ht="117.75" customHeight="1" x14ac:dyDescent="0.3">
      <c r="A24" s="476"/>
      <c r="B24" s="414" t="str">
        <f>'Mapa final'!$B$22</f>
        <v>OAP_03</v>
      </c>
      <c r="C24" s="415"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47"/>
      <c r="E24" s="448"/>
      <c r="F24" s="444" t="str">
        <f t="shared" ref="F24" si="4">IFERROR(IF($E24="","No",IF($E24="No","No"," "))," ")</f>
        <v>No</v>
      </c>
      <c r="G24" s="444" t="str">
        <f t="shared" si="1"/>
        <v>No</v>
      </c>
      <c r="H24" s="444" t="str">
        <f t="shared" si="1"/>
        <v>No</v>
      </c>
      <c r="I24" s="444" t="str">
        <f t="shared" si="1"/>
        <v>No</v>
      </c>
      <c r="J24" s="444" t="str">
        <f t="shared" si="1"/>
        <v>No</v>
      </c>
      <c r="K24" s="444" t="str">
        <f t="shared" si="1"/>
        <v>No</v>
      </c>
      <c r="L24" s="444" t="str">
        <f t="shared" si="1"/>
        <v>No</v>
      </c>
      <c r="M24" s="444" t="str">
        <f t="shared" si="1"/>
        <v>No</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row>
    <row r="25" spans="1:70" ht="117.75" customHeight="1" x14ac:dyDescent="0.3">
      <c r="A25" s="476"/>
      <c r="B25" s="414"/>
      <c r="C25" s="415"/>
      <c r="D25" s="447"/>
      <c r="E25" s="448"/>
      <c r="F25" s="444"/>
      <c r="G25" s="444"/>
      <c r="H25" s="444"/>
      <c r="I25" s="444"/>
      <c r="J25" s="444"/>
      <c r="K25" s="444"/>
      <c r="L25" s="444"/>
      <c r="M25" s="444"/>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row>
    <row r="26" spans="1:70" ht="117.75" customHeight="1" x14ac:dyDescent="0.3">
      <c r="A26" s="476"/>
      <c r="B26" s="414"/>
      <c r="C26" s="415"/>
      <c r="D26" s="447"/>
      <c r="E26" s="448"/>
      <c r="F26" s="444"/>
      <c r="G26" s="444"/>
      <c r="H26" s="444"/>
      <c r="I26" s="444"/>
      <c r="J26" s="444"/>
      <c r="K26" s="444"/>
      <c r="L26" s="444"/>
      <c r="M26" s="444"/>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row>
    <row r="27" spans="1:70" ht="117.75" customHeight="1" x14ac:dyDescent="0.3">
      <c r="A27" s="476"/>
      <c r="B27" s="414" t="str">
        <f>'Mapa final'!$B$25</f>
        <v>OAP_04</v>
      </c>
      <c r="C27" s="415"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47"/>
      <c r="E27" s="448"/>
      <c r="F27" s="444" t="str">
        <f t="shared" ref="F27" si="5">IFERROR(IF($E27="","No",IF($E27="No","No"," "))," ")</f>
        <v>No</v>
      </c>
      <c r="G27" s="444" t="str">
        <f t="shared" si="1"/>
        <v>No</v>
      </c>
      <c r="H27" s="444" t="str">
        <f t="shared" si="1"/>
        <v>No</v>
      </c>
      <c r="I27" s="444" t="str">
        <f t="shared" si="1"/>
        <v>No</v>
      </c>
      <c r="J27" s="444" t="str">
        <f t="shared" si="1"/>
        <v>No</v>
      </c>
      <c r="K27" s="444" t="str">
        <f t="shared" si="1"/>
        <v>No</v>
      </c>
      <c r="L27" s="444" t="str">
        <f t="shared" si="1"/>
        <v>No</v>
      </c>
      <c r="M27" s="444" t="str">
        <f t="shared" si="1"/>
        <v>No</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row>
    <row r="28" spans="1:70" ht="117.75" customHeight="1" x14ac:dyDescent="0.3">
      <c r="A28" s="476"/>
      <c r="B28" s="414"/>
      <c r="C28" s="415"/>
      <c r="D28" s="447"/>
      <c r="E28" s="448"/>
      <c r="F28" s="444"/>
      <c r="G28" s="444"/>
      <c r="H28" s="444"/>
      <c r="I28" s="444"/>
      <c r="J28" s="444"/>
      <c r="K28" s="444"/>
      <c r="L28" s="444"/>
      <c r="M28" s="444"/>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row>
    <row r="29" spans="1:70" ht="117.75" customHeight="1" x14ac:dyDescent="0.3">
      <c r="A29" s="476"/>
      <c r="B29" s="414"/>
      <c r="C29" s="415"/>
      <c r="D29" s="447"/>
      <c r="E29" s="448"/>
      <c r="F29" s="444"/>
      <c r="G29" s="444"/>
      <c r="H29" s="444"/>
      <c r="I29" s="444"/>
      <c r="J29" s="444"/>
      <c r="K29" s="444"/>
      <c r="L29" s="444"/>
      <c r="M29" s="444"/>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row>
    <row r="30" spans="1:70" ht="117.75" customHeight="1" x14ac:dyDescent="0.3">
      <c r="A30" s="476"/>
      <c r="B30" s="414" t="str">
        <f>'Mapa final'!$B$27</f>
        <v>OAP_05</v>
      </c>
      <c r="C30" s="415"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47"/>
      <c r="E30" s="448"/>
      <c r="F30" s="444" t="str">
        <f t="shared" ref="F30" si="6">IFERROR(IF($E30="","No",IF($E30="No","No"," "))," ")</f>
        <v>No</v>
      </c>
      <c r="G30" s="444" t="str">
        <f t="shared" si="1"/>
        <v>No</v>
      </c>
      <c r="H30" s="444" t="str">
        <f t="shared" si="1"/>
        <v>No</v>
      </c>
      <c r="I30" s="444" t="str">
        <f t="shared" si="1"/>
        <v>No</v>
      </c>
      <c r="J30" s="444" t="str">
        <f t="shared" si="1"/>
        <v>No</v>
      </c>
      <c r="K30" s="444" t="str">
        <f t="shared" si="1"/>
        <v>No</v>
      </c>
      <c r="L30" s="444" t="str">
        <f t="shared" si="1"/>
        <v>No</v>
      </c>
      <c r="M30" s="444" t="str">
        <f t="shared" si="1"/>
        <v>No</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row>
    <row r="31" spans="1:70" ht="117.75" customHeight="1" x14ac:dyDescent="0.3">
      <c r="A31" s="476"/>
      <c r="B31" s="414"/>
      <c r="C31" s="415"/>
      <c r="D31" s="447"/>
      <c r="E31" s="448"/>
      <c r="F31" s="444"/>
      <c r="G31" s="444"/>
      <c r="H31" s="444"/>
      <c r="I31" s="444"/>
      <c r="J31" s="444"/>
      <c r="K31" s="444"/>
      <c r="L31" s="444"/>
      <c r="M31" s="444"/>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row>
    <row r="32" spans="1:70" ht="117.75" customHeight="1" x14ac:dyDescent="0.3">
      <c r="A32" s="476"/>
      <c r="B32" s="414"/>
      <c r="C32" s="415"/>
      <c r="D32" s="447"/>
      <c r="E32" s="448"/>
      <c r="F32" s="444"/>
      <c r="G32" s="444"/>
      <c r="H32" s="444"/>
      <c r="I32" s="444"/>
      <c r="J32" s="444"/>
      <c r="K32" s="444"/>
      <c r="L32" s="444"/>
      <c r="M32" s="444"/>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row>
    <row r="33" spans="1:70" ht="117.75" customHeight="1" x14ac:dyDescent="0.3">
      <c r="A33" s="476"/>
      <c r="B33" s="414" t="str">
        <f>'Mapa final'!$B$29</f>
        <v>TIN_01</v>
      </c>
      <c r="C33" s="415" t="str">
        <f>'Mapa final'!$H$29</f>
        <v>Posibilidad de afectación económica y reputacional por registro inoportuno en la Historia Clínica  del estado de salud y la atención brindada, debido a la interrupción en la prestación de los servicios tecnológicos de la entidad.</v>
      </c>
      <c r="D33" s="447"/>
      <c r="E33" s="448"/>
      <c r="F33" s="444" t="str">
        <f t="shared" ref="F33" si="7">IFERROR(IF($E33="","No",IF($E33="No","No"," "))," ")</f>
        <v>No</v>
      </c>
      <c r="G33" s="444" t="str">
        <f t="shared" si="1"/>
        <v>No</v>
      </c>
      <c r="H33" s="444" t="str">
        <f t="shared" si="1"/>
        <v>No</v>
      </c>
      <c r="I33" s="444" t="str">
        <f t="shared" si="1"/>
        <v>No</v>
      </c>
      <c r="J33" s="444" t="str">
        <f t="shared" si="1"/>
        <v>No</v>
      </c>
      <c r="K33" s="444" t="str">
        <f t="shared" si="1"/>
        <v>No</v>
      </c>
      <c r="L33" s="444" t="str">
        <f t="shared" si="1"/>
        <v>No</v>
      </c>
      <c r="M33" s="444" t="str">
        <f t="shared" si="1"/>
        <v>No</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row>
    <row r="34" spans="1:70" ht="117.75" customHeight="1" x14ac:dyDescent="0.3">
      <c r="A34" s="476"/>
      <c r="B34" s="414"/>
      <c r="C34" s="415"/>
      <c r="D34" s="447"/>
      <c r="E34" s="448"/>
      <c r="F34" s="444"/>
      <c r="G34" s="444"/>
      <c r="H34" s="444"/>
      <c r="I34" s="444"/>
      <c r="J34" s="444"/>
      <c r="K34" s="444"/>
      <c r="L34" s="444"/>
      <c r="M34" s="444"/>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row>
    <row r="35" spans="1:70" ht="117.75" customHeight="1" x14ac:dyDescent="0.3">
      <c r="A35" s="476"/>
      <c r="B35" s="414"/>
      <c r="C35" s="415"/>
      <c r="D35" s="447"/>
      <c r="E35" s="448"/>
      <c r="F35" s="444"/>
      <c r="G35" s="444"/>
      <c r="H35" s="444"/>
      <c r="I35" s="444"/>
      <c r="J35" s="444"/>
      <c r="K35" s="444"/>
      <c r="L35" s="444"/>
      <c r="M35" s="444"/>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row>
    <row r="36" spans="1:70" ht="117.75" customHeight="1" x14ac:dyDescent="0.3">
      <c r="A36" s="476"/>
      <c r="B36" s="414" t="str">
        <f>'Mapa final'!$B$33</f>
        <v>TIN_02</v>
      </c>
      <c r="C36" s="415"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47"/>
      <c r="E36" s="448"/>
      <c r="F36" s="444" t="str">
        <f t="shared" ref="F36" si="8">IFERROR(IF($E36="","No",IF($E36="No","No"," "))," ")</f>
        <v>No</v>
      </c>
      <c r="G36" s="444" t="str">
        <f t="shared" si="1"/>
        <v>No</v>
      </c>
      <c r="H36" s="444" t="str">
        <f t="shared" si="1"/>
        <v>No</v>
      </c>
      <c r="I36" s="444" t="str">
        <f t="shared" si="1"/>
        <v>No</v>
      </c>
      <c r="J36" s="444" t="str">
        <f t="shared" si="1"/>
        <v>No</v>
      </c>
      <c r="K36" s="444" t="str">
        <f t="shared" si="1"/>
        <v>No</v>
      </c>
      <c r="L36" s="444" t="str">
        <f t="shared" si="1"/>
        <v>No</v>
      </c>
      <c r="M36" s="444" t="str">
        <f t="shared" si="1"/>
        <v>No</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row>
    <row r="37" spans="1:70" ht="117.75" customHeight="1" x14ac:dyDescent="0.3">
      <c r="A37" s="476"/>
      <c r="B37" s="414"/>
      <c r="C37" s="415"/>
      <c r="D37" s="447"/>
      <c r="E37" s="448"/>
      <c r="F37" s="444"/>
      <c r="G37" s="444"/>
      <c r="H37" s="444"/>
      <c r="I37" s="444"/>
      <c r="J37" s="444"/>
      <c r="K37" s="444"/>
      <c r="L37" s="444"/>
      <c r="M37" s="444"/>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row>
    <row r="38" spans="1:70" ht="117.75" customHeight="1" x14ac:dyDescent="0.3">
      <c r="A38" s="476"/>
      <c r="B38" s="414"/>
      <c r="C38" s="415"/>
      <c r="D38" s="447"/>
      <c r="E38" s="448"/>
      <c r="F38" s="444"/>
      <c r="G38" s="444"/>
      <c r="H38" s="444"/>
      <c r="I38" s="444"/>
      <c r="J38" s="444"/>
      <c r="K38" s="444"/>
      <c r="L38" s="444"/>
      <c r="M38" s="444"/>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row>
    <row r="39" spans="1:70" ht="117.75" customHeight="1" x14ac:dyDescent="0.3">
      <c r="A39" s="476"/>
      <c r="B39" s="414" t="str">
        <f>'Mapa final'!$B$38</f>
        <v>TIN_03</v>
      </c>
      <c r="C39" s="415" t="str">
        <f>'Mapa final'!$H$38</f>
        <v>Posibilidad de afectación económica por no disponibilidad de la información clínica  de los usuarios del  HOMIL, debido a falta de respaldo (copias de seguridad) de la información.</v>
      </c>
      <c r="D39" s="447"/>
      <c r="E39" s="448"/>
      <c r="F39" s="444" t="str">
        <f t="shared" ref="F39" si="9">IFERROR(IF($E39="","No",IF($E39="No","No"," "))," ")</f>
        <v>No</v>
      </c>
      <c r="G39" s="444" t="str">
        <f t="shared" si="1"/>
        <v>No</v>
      </c>
      <c r="H39" s="444" t="str">
        <f t="shared" si="1"/>
        <v>No</v>
      </c>
      <c r="I39" s="444" t="str">
        <f t="shared" si="1"/>
        <v>No</v>
      </c>
      <c r="J39" s="444" t="str">
        <f t="shared" si="1"/>
        <v>No</v>
      </c>
      <c r="K39" s="444" t="str">
        <f t="shared" si="1"/>
        <v>No</v>
      </c>
      <c r="L39" s="444" t="str">
        <f t="shared" si="1"/>
        <v>No</v>
      </c>
      <c r="M39" s="444" t="str">
        <f t="shared" si="1"/>
        <v>No</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row>
    <row r="40" spans="1:70" ht="117.75" customHeight="1" x14ac:dyDescent="0.3">
      <c r="A40" s="476"/>
      <c r="B40" s="414"/>
      <c r="C40" s="415"/>
      <c r="D40" s="447"/>
      <c r="E40" s="448"/>
      <c r="F40" s="444"/>
      <c r="G40" s="444"/>
      <c r="H40" s="444"/>
      <c r="I40" s="444"/>
      <c r="J40" s="444"/>
      <c r="K40" s="444"/>
      <c r="L40" s="444"/>
      <c r="M40" s="444"/>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row>
    <row r="41" spans="1:70" ht="117.75" customHeight="1" x14ac:dyDescent="0.3">
      <c r="A41" s="476"/>
      <c r="B41" s="414"/>
      <c r="C41" s="415"/>
      <c r="D41" s="447"/>
      <c r="E41" s="448"/>
      <c r="F41" s="444"/>
      <c r="G41" s="444"/>
      <c r="H41" s="444"/>
      <c r="I41" s="444"/>
      <c r="J41" s="444"/>
      <c r="K41" s="444"/>
      <c r="L41" s="444"/>
      <c r="M41" s="444"/>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row>
    <row r="42" spans="1:70" ht="51.75" customHeight="1" x14ac:dyDescent="0.3">
      <c r="A42" s="476"/>
      <c r="B42" s="445"/>
      <c r="C42" s="446"/>
      <c r="D42" s="447"/>
      <c r="E42" s="448"/>
      <c r="F42" s="444" t="str">
        <f t="shared" ref="F42:M69" si="10">IFERROR(IF($E42="","No",IF($E42="No","No"," "))," ")</f>
        <v>No</v>
      </c>
      <c r="G42" s="444" t="str">
        <f t="shared" si="10"/>
        <v>No</v>
      </c>
      <c r="H42" s="444" t="str">
        <f t="shared" si="10"/>
        <v>No</v>
      </c>
      <c r="I42" s="444" t="str">
        <f t="shared" si="10"/>
        <v>No</v>
      </c>
      <c r="J42" s="444" t="str">
        <f t="shared" si="10"/>
        <v>No</v>
      </c>
      <c r="K42" s="444" t="str">
        <f t="shared" si="10"/>
        <v>No</v>
      </c>
      <c r="L42" s="444" t="str">
        <f t="shared" si="10"/>
        <v>No</v>
      </c>
      <c r="M42" s="444" t="str">
        <f t="shared" si="10"/>
        <v>No</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row>
    <row r="43" spans="1:70" ht="51.75" customHeight="1" x14ac:dyDescent="0.3">
      <c r="A43" s="476"/>
      <c r="B43" s="445"/>
      <c r="C43" s="446"/>
      <c r="D43" s="447"/>
      <c r="E43" s="448"/>
      <c r="F43" s="444"/>
      <c r="G43" s="444"/>
      <c r="H43" s="444"/>
      <c r="I43" s="444"/>
      <c r="J43" s="444"/>
      <c r="K43" s="444"/>
      <c r="L43" s="444"/>
      <c r="M43" s="444"/>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row>
    <row r="44" spans="1:70" ht="51.75" customHeight="1" x14ac:dyDescent="0.3">
      <c r="A44" s="476"/>
      <c r="B44" s="445"/>
      <c r="C44" s="446"/>
      <c r="D44" s="447"/>
      <c r="E44" s="448"/>
      <c r="F44" s="444"/>
      <c r="G44" s="444"/>
      <c r="H44" s="444"/>
      <c r="I44" s="444"/>
      <c r="J44" s="444"/>
      <c r="K44" s="444"/>
      <c r="L44" s="444"/>
      <c r="M44" s="444"/>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row>
    <row r="45" spans="1:70" ht="51.75" customHeight="1" x14ac:dyDescent="0.3">
      <c r="A45" s="476"/>
      <c r="B45" s="445"/>
      <c r="C45" s="446"/>
      <c r="D45" s="447"/>
      <c r="E45" s="448"/>
      <c r="F45" s="444" t="str">
        <f t="shared" si="10"/>
        <v>No</v>
      </c>
      <c r="G45" s="444" t="str">
        <f t="shared" si="10"/>
        <v>No</v>
      </c>
      <c r="H45" s="444" t="str">
        <f t="shared" si="10"/>
        <v>No</v>
      </c>
      <c r="I45" s="444" t="str">
        <f t="shared" si="10"/>
        <v>No</v>
      </c>
      <c r="J45" s="444" t="str">
        <f t="shared" si="10"/>
        <v>No</v>
      </c>
      <c r="K45" s="444" t="str">
        <f t="shared" si="10"/>
        <v>No</v>
      </c>
      <c r="L45" s="444" t="str">
        <f t="shared" si="10"/>
        <v>No</v>
      </c>
      <c r="M45" s="444" t="str">
        <f t="shared" si="10"/>
        <v>No</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row>
    <row r="46" spans="1:70" ht="51.75" customHeight="1" x14ac:dyDescent="0.3">
      <c r="A46" s="476"/>
      <c r="B46" s="445"/>
      <c r="C46" s="446"/>
      <c r="D46" s="447"/>
      <c r="E46" s="448"/>
      <c r="F46" s="444"/>
      <c r="G46" s="444"/>
      <c r="H46" s="444"/>
      <c r="I46" s="444"/>
      <c r="J46" s="444"/>
      <c r="K46" s="444"/>
      <c r="L46" s="444"/>
      <c r="M46" s="444"/>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row>
    <row r="47" spans="1:70" ht="51.75" customHeight="1" x14ac:dyDescent="0.3">
      <c r="A47" s="476"/>
      <c r="B47" s="445"/>
      <c r="C47" s="446"/>
      <c r="D47" s="447"/>
      <c r="E47" s="448"/>
      <c r="F47" s="444"/>
      <c r="G47" s="444"/>
      <c r="H47" s="444"/>
      <c r="I47" s="444"/>
      <c r="J47" s="444"/>
      <c r="K47" s="444"/>
      <c r="L47" s="444"/>
      <c r="M47" s="444"/>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row>
    <row r="48" spans="1:70" ht="51.75" customHeight="1" x14ac:dyDescent="0.3">
      <c r="A48" s="476"/>
      <c r="B48" s="445"/>
      <c r="C48" s="446"/>
      <c r="D48" s="447"/>
      <c r="E48" s="448"/>
      <c r="F48" s="444" t="str">
        <f t="shared" si="10"/>
        <v>No</v>
      </c>
      <c r="G48" s="444" t="str">
        <f t="shared" si="10"/>
        <v>No</v>
      </c>
      <c r="H48" s="444" t="str">
        <f t="shared" si="10"/>
        <v>No</v>
      </c>
      <c r="I48" s="444" t="str">
        <f t="shared" si="10"/>
        <v>No</v>
      </c>
      <c r="J48" s="444" t="str">
        <f t="shared" si="10"/>
        <v>No</v>
      </c>
      <c r="K48" s="444" t="str">
        <f t="shared" si="10"/>
        <v>No</v>
      </c>
      <c r="L48" s="444" t="str">
        <f t="shared" si="10"/>
        <v>No</v>
      </c>
      <c r="M48" s="444" t="str">
        <f t="shared" si="10"/>
        <v>No</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row>
    <row r="49" spans="1:70" ht="51.75" customHeight="1" x14ac:dyDescent="0.3">
      <c r="A49" s="476"/>
      <c r="B49" s="445"/>
      <c r="C49" s="446"/>
      <c r="D49" s="447"/>
      <c r="E49" s="448"/>
      <c r="F49" s="444"/>
      <c r="G49" s="444"/>
      <c r="H49" s="444"/>
      <c r="I49" s="444"/>
      <c r="J49" s="444"/>
      <c r="K49" s="444"/>
      <c r="L49" s="444"/>
      <c r="M49" s="444"/>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row>
    <row r="50" spans="1:70" ht="51.75" customHeight="1" x14ac:dyDescent="0.3">
      <c r="A50" s="476"/>
      <c r="B50" s="445"/>
      <c r="C50" s="446"/>
      <c r="D50" s="447"/>
      <c r="E50" s="448"/>
      <c r="F50" s="444"/>
      <c r="G50" s="444"/>
      <c r="H50" s="444"/>
      <c r="I50" s="444"/>
      <c r="J50" s="444"/>
      <c r="K50" s="444"/>
      <c r="L50" s="444"/>
      <c r="M50" s="444"/>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row>
    <row r="51" spans="1:70" ht="51.75" customHeight="1" x14ac:dyDescent="0.3">
      <c r="A51" s="476"/>
      <c r="B51" s="445"/>
      <c r="C51" s="446"/>
      <c r="D51" s="447"/>
      <c r="E51" s="448"/>
      <c r="F51" s="444" t="str">
        <f t="shared" si="10"/>
        <v>No</v>
      </c>
      <c r="G51" s="444" t="str">
        <f t="shared" si="10"/>
        <v>No</v>
      </c>
      <c r="H51" s="444" t="str">
        <f t="shared" si="10"/>
        <v>No</v>
      </c>
      <c r="I51" s="444" t="str">
        <f t="shared" si="10"/>
        <v>No</v>
      </c>
      <c r="J51" s="444" t="str">
        <f t="shared" si="10"/>
        <v>No</v>
      </c>
      <c r="K51" s="444" t="str">
        <f t="shared" si="10"/>
        <v>No</v>
      </c>
      <c r="L51" s="444" t="str">
        <f t="shared" si="10"/>
        <v>No</v>
      </c>
      <c r="M51" s="444" t="str">
        <f t="shared" si="10"/>
        <v>No</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row>
    <row r="52" spans="1:70" ht="51.75" customHeight="1" x14ac:dyDescent="0.3">
      <c r="A52" s="476"/>
      <c r="B52" s="445"/>
      <c r="C52" s="446"/>
      <c r="D52" s="447"/>
      <c r="E52" s="448"/>
      <c r="F52" s="444"/>
      <c r="G52" s="444"/>
      <c r="H52" s="444"/>
      <c r="I52" s="444"/>
      <c r="J52" s="444"/>
      <c r="K52" s="444"/>
      <c r="L52" s="444"/>
      <c r="M52" s="444"/>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row>
    <row r="53" spans="1:70" ht="51.75" customHeight="1" x14ac:dyDescent="0.3">
      <c r="A53" s="476"/>
      <c r="B53" s="445"/>
      <c r="C53" s="446"/>
      <c r="D53" s="447"/>
      <c r="E53" s="448"/>
      <c r="F53" s="444"/>
      <c r="G53" s="444"/>
      <c r="H53" s="444"/>
      <c r="I53" s="444"/>
      <c r="J53" s="444"/>
      <c r="K53" s="444"/>
      <c r="L53" s="444"/>
      <c r="M53" s="444"/>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row>
    <row r="54" spans="1:70" ht="51.75" customHeight="1" x14ac:dyDescent="0.3">
      <c r="A54" s="476"/>
      <c r="B54" s="445"/>
      <c r="C54" s="446"/>
      <c r="D54" s="447"/>
      <c r="E54" s="448"/>
      <c r="F54" s="444" t="str">
        <f t="shared" si="10"/>
        <v>No</v>
      </c>
      <c r="G54" s="444" t="str">
        <f t="shared" si="10"/>
        <v>No</v>
      </c>
      <c r="H54" s="444" t="str">
        <f t="shared" si="10"/>
        <v>No</v>
      </c>
      <c r="I54" s="444" t="str">
        <f t="shared" si="10"/>
        <v>No</v>
      </c>
      <c r="J54" s="444" t="str">
        <f t="shared" si="10"/>
        <v>No</v>
      </c>
      <c r="K54" s="444" t="str">
        <f t="shared" si="10"/>
        <v>No</v>
      </c>
      <c r="L54" s="444" t="str">
        <f t="shared" si="10"/>
        <v>No</v>
      </c>
      <c r="M54" s="444" t="str">
        <f t="shared" si="10"/>
        <v>No</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row>
    <row r="55" spans="1:70" ht="51.75" customHeight="1" x14ac:dyDescent="0.3">
      <c r="A55" s="476"/>
      <c r="B55" s="445"/>
      <c r="C55" s="446"/>
      <c r="D55" s="447"/>
      <c r="E55" s="448"/>
      <c r="F55" s="444"/>
      <c r="G55" s="444"/>
      <c r="H55" s="444"/>
      <c r="I55" s="444"/>
      <c r="J55" s="444"/>
      <c r="K55" s="444"/>
      <c r="L55" s="444"/>
      <c r="M55" s="444"/>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row>
    <row r="56" spans="1:70" ht="51.75" customHeight="1" x14ac:dyDescent="0.3">
      <c r="A56" s="476"/>
      <c r="B56" s="445"/>
      <c r="C56" s="446"/>
      <c r="D56" s="447"/>
      <c r="E56" s="448"/>
      <c r="F56" s="444"/>
      <c r="G56" s="444"/>
      <c r="H56" s="444"/>
      <c r="I56" s="444"/>
      <c r="J56" s="444"/>
      <c r="K56" s="444"/>
      <c r="L56" s="444"/>
      <c r="M56" s="444"/>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row>
    <row r="57" spans="1:70" ht="51.75" customHeight="1" x14ac:dyDescent="0.3">
      <c r="A57" s="476"/>
      <c r="B57" s="445"/>
      <c r="C57" s="446"/>
      <c r="D57" s="447"/>
      <c r="E57" s="448"/>
      <c r="F57" s="444" t="str">
        <f t="shared" si="10"/>
        <v>No</v>
      </c>
      <c r="G57" s="444" t="str">
        <f t="shared" si="10"/>
        <v>No</v>
      </c>
      <c r="H57" s="444" t="str">
        <f t="shared" si="10"/>
        <v>No</v>
      </c>
      <c r="I57" s="444" t="str">
        <f t="shared" si="10"/>
        <v>No</v>
      </c>
      <c r="J57" s="444" t="str">
        <f t="shared" si="10"/>
        <v>No</v>
      </c>
      <c r="K57" s="444" t="str">
        <f t="shared" si="10"/>
        <v>No</v>
      </c>
      <c r="L57" s="444" t="str">
        <f t="shared" si="10"/>
        <v>No</v>
      </c>
      <c r="M57" s="444" t="str">
        <f t="shared" si="10"/>
        <v>No</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row>
    <row r="58" spans="1:70" ht="51.75" customHeight="1" x14ac:dyDescent="0.3">
      <c r="A58" s="476"/>
      <c r="B58" s="445"/>
      <c r="C58" s="446"/>
      <c r="D58" s="447"/>
      <c r="E58" s="448"/>
      <c r="F58" s="444"/>
      <c r="G58" s="444"/>
      <c r="H58" s="444"/>
      <c r="I58" s="444"/>
      <c r="J58" s="444"/>
      <c r="K58" s="444"/>
      <c r="L58" s="444"/>
      <c r="M58" s="444"/>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row>
    <row r="59" spans="1:70" ht="51.75" customHeight="1" x14ac:dyDescent="0.3">
      <c r="A59" s="476"/>
      <c r="B59" s="445"/>
      <c r="C59" s="446"/>
      <c r="D59" s="447"/>
      <c r="E59" s="448"/>
      <c r="F59" s="444"/>
      <c r="G59" s="444"/>
      <c r="H59" s="444"/>
      <c r="I59" s="444"/>
      <c r="J59" s="444"/>
      <c r="K59" s="444"/>
      <c r="L59" s="444"/>
      <c r="M59" s="444"/>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row>
    <row r="60" spans="1:70" ht="51.75" customHeight="1" x14ac:dyDescent="0.3">
      <c r="A60" s="476"/>
      <c r="B60" s="445"/>
      <c r="C60" s="446"/>
      <c r="D60" s="447"/>
      <c r="E60" s="448"/>
      <c r="F60" s="444" t="str">
        <f t="shared" si="10"/>
        <v>No</v>
      </c>
      <c r="G60" s="444" t="str">
        <f t="shared" si="10"/>
        <v>No</v>
      </c>
      <c r="H60" s="444" t="str">
        <f t="shared" si="10"/>
        <v>No</v>
      </c>
      <c r="I60" s="444" t="str">
        <f t="shared" si="10"/>
        <v>No</v>
      </c>
      <c r="J60" s="444" t="str">
        <f t="shared" si="10"/>
        <v>No</v>
      </c>
      <c r="K60" s="444" t="str">
        <f t="shared" si="10"/>
        <v>No</v>
      </c>
      <c r="L60" s="444" t="str">
        <f t="shared" si="10"/>
        <v>No</v>
      </c>
      <c r="M60" s="444" t="str">
        <f t="shared" si="10"/>
        <v>No</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row>
    <row r="61" spans="1:70" ht="51.75" customHeight="1" x14ac:dyDescent="0.3">
      <c r="A61" s="476"/>
      <c r="B61" s="445"/>
      <c r="C61" s="446"/>
      <c r="D61" s="447"/>
      <c r="E61" s="448"/>
      <c r="F61" s="444"/>
      <c r="G61" s="444"/>
      <c r="H61" s="444"/>
      <c r="I61" s="444"/>
      <c r="J61" s="444"/>
      <c r="K61" s="444"/>
      <c r="L61" s="444"/>
      <c r="M61" s="444"/>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row>
    <row r="62" spans="1:70" ht="51.75" customHeight="1" x14ac:dyDescent="0.3">
      <c r="A62" s="476"/>
      <c r="B62" s="445"/>
      <c r="C62" s="446"/>
      <c r="D62" s="447"/>
      <c r="E62" s="448"/>
      <c r="F62" s="444"/>
      <c r="G62" s="444"/>
      <c r="H62" s="444"/>
      <c r="I62" s="444"/>
      <c r="J62" s="444"/>
      <c r="K62" s="444"/>
      <c r="L62" s="444"/>
      <c r="M62" s="444"/>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row>
    <row r="63" spans="1:70" ht="51.75" customHeight="1" x14ac:dyDescent="0.3">
      <c r="A63" s="476"/>
      <c r="B63" s="445"/>
      <c r="C63" s="446"/>
      <c r="D63" s="447"/>
      <c r="E63" s="448"/>
      <c r="F63" s="444" t="str">
        <f t="shared" si="10"/>
        <v>No</v>
      </c>
      <c r="G63" s="444" t="str">
        <f t="shared" si="10"/>
        <v>No</v>
      </c>
      <c r="H63" s="444" t="str">
        <f t="shared" si="10"/>
        <v>No</v>
      </c>
      <c r="I63" s="444" t="str">
        <f t="shared" si="10"/>
        <v>No</v>
      </c>
      <c r="J63" s="444" t="str">
        <f t="shared" si="10"/>
        <v>No</v>
      </c>
      <c r="K63" s="444" t="str">
        <f t="shared" si="10"/>
        <v>No</v>
      </c>
      <c r="L63" s="444" t="str">
        <f t="shared" si="10"/>
        <v>No</v>
      </c>
      <c r="M63" s="444" t="str">
        <f t="shared" si="10"/>
        <v>No</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row>
    <row r="64" spans="1:70" ht="51.75" customHeight="1" x14ac:dyDescent="0.3">
      <c r="A64" s="476"/>
      <c r="B64" s="445"/>
      <c r="C64" s="446"/>
      <c r="D64" s="447"/>
      <c r="E64" s="448"/>
      <c r="F64" s="444"/>
      <c r="G64" s="444"/>
      <c r="H64" s="444"/>
      <c r="I64" s="444"/>
      <c r="J64" s="444"/>
      <c r="K64" s="444"/>
      <c r="L64" s="444"/>
      <c r="M64" s="444"/>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row>
    <row r="65" spans="1:70" ht="51.75" customHeight="1" x14ac:dyDescent="0.3">
      <c r="A65" s="476"/>
      <c r="B65" s="445"/>
      <c r="C65" s="446"/>
      <c r="D65" s="447"/>
      <c r="E65" s="448"/>
      <c r="F65" s="444"/>
      <c r="G65" s="444"/>
      <c r="H65" s="444"/>
      <c r="I65" s="444"/>
      <c r="J65" s="444"/>
      <c r="K65" s="444"/>
      <c r="L65" s="444"/>
      <c r="M65" s="444"/>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row>
    <row r="66" spans="1:70" ht="51.75" customHeight="1" x14ac:dyDescent="0.3">
      <c r="A66" s="476"/>
      <c r="B66" s="445"/>
      <c r="C66" s="446"/>
      <c r="D66" s="447"/>
      <c r="E66" s="448"/>
      <c r="F66" s="444" t="str">
        <f t="shared" si="10"/>
        <v>No</v>
      </c>
      <c r="G66" s="444" t="str">
        <f t="shared" si="10"/>
        <v>No</v>
      </c>
      <c r="H66" s="444" t="str">
        <f t="shared" si="10"/>
        <v>No</v>
      </c>
      <c r="I66" s="444" t="str">
        <f t="shared" si="10"/>
        <v>No</v>
      </c>
      <c r="J66" s="444" t="str">
        <f t="shared" si="10"/>
        <v>No</v>
      </c>
      <c r="K66" s="444" t="str">
        <f t="shared" si="10"/>
        <v>No</v>
      </c>
      <c r="L66" s="444" t="str">
        <f t="shared" si="10"/>
        <v>No</v>
      </c>
      <c r="M66" s="444" t="str">
        <f t="shared" si="10"/>
        <v>No</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row>
    <row r="67" spans="1:70" ht="51.75" customHeight="1" x14ac:dyDescent="0.3">
      <c r="A67" s="476"/>
      <c r="B67" s="445"/>
      <c r="C67" s="446"/>
      <c r="D67" s="447"/>
      <c r="E67" s="448"/>
      <c r="F67" s="444"/>
      <c r="G67" s="444"/>
      <c r="H67" s="444"/>
      <c r="I67" s="444"/>
      <c r="J67" s="444"/>
      <c r="K67" s="444"/>
      <c r="L67" s="444"/>
      <c r="M67" s="444"/>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row>
    <row r="68" spans="1:70" ht="51.75" customHeight="1" x14ac:dyDescent="0.3">
      <c r="A68" s="476"/>
      <c r="B68" s="445"/>
      <c r="C68" s="446"/>
      <c r="D68" s="447"/>
      <c r="E68" s="448"/>
      <c r="F68" s="444"/>
      <c r="G68" s="444"/>
      <c r="H68" s="444"/>
      <c r="I68" s="444"/>
      <c r="J68" s="444"/>
      <c r="K68" s="444"/>
      <c r="L68" s="444"/>
      <c r="M68" s="444"/>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row>
    <row r="69" spans="1:70" ht="51.75" customHeight="1" x14ac:dyDescent="0.3">
      <c r="A69" s="476"/>
      <c r="B69" s="445"/>
      <c r="C69" s="446"/>
      <c r="D69" s="447"/>
      <c r="E69" s="448"/>
      <c r="F69" s="444" t="str">
        <f t="shared" si="10"/>
        <v>No</v>
      </c>
      <c r="G69" s="444" t="str">
        <f t="shared" si="10"/>
        <v>No</v>
      </c>
      <c r="H69" s="444" t="str">
        <f t="shared" si="10"/>
        <v>No</v>
      </c>
      <c r="I69" s="444" t="str">
        <f t="shared" si="10"/>
        <v>No</v>
      </c>
      <c r="J69" s="444" t="str">
        <f t="shared" si="10"/>
        <v>No</v>
      </c>
      <c r="K69" s="444" t="str">
        <f t="shared" si="10"/>
        <v>No</v>
      </c>
      <c r="L69" s="444" t="str">
        <f t="shared" si="10"/>
        <v>No</v>
      </c>
      <c r="M69" s="444" t="str">
        <f t="shared" si="10"/>
        <v>No</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row>
    <row r="70" spans="1:70" ht="51.75" customHeight="1" x14ac:dyDescent="0.3">
      <c r="A70" s="476"/>
      <c r="B70" s="445"/>
      <c r="C70" s="446"/>
      <c r="D70" s="447"/>
      <c r="E70" s="448"/>
      <c r="F70" s="444"/>
      <c r="G70" s="444"/>
      <c r="H70" s="444"/>
      <c r="I70" s="444"/>
      <c r="J70" s="444"/>
      <c r="K70" s="444"/>
      <c r="L70" s="444"/>
      <c r="M70" s="444"/>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row>
    <row r="71" spans="1:70" ht="51.75" customHeight="1" x14ac:dyDescent="0.3">
      <c r="A71" s="476"/>
      <c r="B71" s="445"/>
      <c r="C71" s="446"/>
      <c r="D71" s="447"/>
      <c r="E71" s="448"/>
      <c r="F71" s="444"/>
      <c r="G71" s="444"/>
      <c r="H71" s="444"/>
      <c r="I71" s="444"/>
      <c r="J71" s="444"/>
      <c r="K71" s="444"/>
      <c r="L71" s="444"/>
      <c r="M71" s="444"/>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row>
    <row r="72" spans="1:70" x14ac:dyDescent="0.3">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row>
    <row r="73" spans="1:70" x14ac:dyDescent="0.3">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row>
    <row r="74" spans="1:70" x14ac:dyDescent="0.3">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row>
    <row r="75" spans="1:70" x14ac:dyDescent="0.3">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row>
    <row r="76" spans="1:70" x14ac:dyDescent="0.3">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row>
    <row r="77" spans="1:70" x14ac:dyDescent="0.3">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row>
    <row r="78" spans="1:70" x14ac:dyDescent="0.3">
      <c r="A78" s="163"/>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c r="AB78" s="163"/>
      <c r="AC78" s="163"/>
    </row>
    <row r="79" spans="1:70" x14ac:dyDescent="0.3">
      <c r="A79" s="163"/>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c r="AB79" s="163"/>
      <c r="AC79" s="163"/>
    </row>
    <row r="80" spans="1:70" x14ac:dyDescent="0.3">
      <c r="A80" s="163"/>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3"/>
      <c r="AC80" s="163"/>
    </row>
    <row r="81" spans="1:29" x14ac:dyDescent="0.3">
      <c r="A81" s="163"/>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row>
    <row r="82" spans="1:29" x14ac:dyDescent="0.3">
      <c r="A82" s="163"/>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row>
    <row r="83" spans="1:29" x14ac:dyDescent="0.3">
      <c r="A83" s="163"/>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c r="AB83" s="163"/>
      <c r="AC83" s="163"/>
    </row>
    <row r="84" spans="1:29" x14ac:dyDescent="0.3">
      <c r="A84" s="163"/>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c r="AB84" s="163"/>
      <c r="AC84" s="163"/>
    </row>
    <row r="85" spans="1:29" x14ac:dyDescent="0.3">
      <c r="A85" s="169"/>
      <c r="B85" s="169"/>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c r="AB85" s="163"/>
      <c r="AC85" s="163"/>
    </row>
    <row r="86" spans="1:29" x14ac:dyDescent="0.3">
      <c r="A86" s="169"/>
      <c r="B86" s="169"/>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row>
    <row r="87" spans="1:29" x14ac:dyDescent="0.3">
      <c r="A87" s="169"/>
      <c r="B87" s="169"/>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row>
    <row r="88" spans="1:29" x14ac:dyDescent="0.3">
      <c r="A88" s="163"/>
      <c r="B88" s="163"/>
      <c r="C88" s="163"/>
      <c r="D88" s="163"/>
      <c r="E88" s="163"/>
      <c r="F88" s="163"/>
      <c r="G88" s="163"/>
      <c r="H88" s="163"/>
      <c r="I88" s="163"/>
      <c r="J88" s="163"/>
      <c r="K88" s="163"/>
      <c r="L88" s="163"/>
      <c r="M88" s="163"/>
    </row>
  </sheetData>
  <sheetProtection algorithmName="SHA-512" hashValue="mzAB48vnWa6z7a3uklZkEKoQ8oItLcO4duMZiIoX94MeAHqWaitxd7N5leb6k/ge0ZKDQVHQCmT7DpFFCPbxwA==" saltValue="HEhi33VFC+pUpVPwk0KQDQ==" spinCount="100000" sheet="1" objects="1" scenarios="1"/>
  <mergeCells count="255">
    <mergeCell ref="M39:M41"/>
    <mergeCell ref="M36:M38"/>
    <mergeCell ref="B39:B41"/>
    <mergeCell ref="C39:C41"/>
    <mergeCell ref="E39:E41"/>
    <mergeCell ref="F39:F41"/>
    <mergeCell ref="G39:G41"/>
    <mergeCell ref="H39:H41"/>
    <mergeCell ref="I39:I41"/>
    <mergeCell ref="J39:J41"/>
    <mergeCell ref="K39:K41"/>
    <mergeCell ref="L39:L41"/>
    <mergeCell ref="D39:D41"/>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B12:B14"/>
    <mergeCell ref="B10:C10"/>
    <mergeCell ref="D10:D11"/>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M69:M71"/>
    <mergeCell ref="B66:B68"/>
    <mergeCell ref="C66:C68"/>
    <mergeCell ref="D66:D68"/>
    <mergeCell ref="E66:E68"/>
    <mergeCell ref="F66:F68"/>
    <mergeCell ref="G66:G68"/>
    <mergeCell ref="H66:H68"/>
    <mergeCell ref="I66:I68"/>
    <mergeCell ref="J66:J68"/>
  </mergeCells>
  <conditionalFormatting sqref="F12:M71">
    <cfRule type="containsText" dxfId="3"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BR91"/>
  <sheetViews>
    <sheetView view="pageBreakPreview" topLeftCell="A37" zoomScale="40" zoomScaleNormal="10" zoomScaleSheetLayoutView="40" workbookViewId="0">
      <selection activeCell="N12" sqref="A12:XFD41"/>
    </sheetView>
  </sheetViews>
  <sheetFormatPr baseColWidth="10" defaultColWidth="11.42578125" defaultRowHeight="16.5" x14ac:dyDescent="0.3"/>
  <cols>
    <col min="1" max="1" width="81.5703125" style="149" customWidth="1"/>
    <col min="2" max="2" width="20.5703125" style="149" bestFit="1" customWidth="1"/>
    <col min="3" max="4" width="90.85546875" style="149" customWidth="1"/>
    <col min="5" max="5" width="41.140625" style="149" customWidth="1"/>
    <col min="6" max="6" width="90.85546875" style="149" customWidth="1"/>
    <col min="7" max="8" width="48.7109375" style="149" customWidth="1"/>
    <col min="9" max="10" width="90.85546875" style="149" customWidth="1"/>
    <col min="11" max="11" width="39.7109375" style="149" customWidth="1"/>
    <col min="12" max="12" width="40.855468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2.75" customHeight="1" x14ac:dyDescent="0.35">
      <c r="A2" s="495" t="s">
        <v>60</v>
      </c>
      <c r="B2" s="496"/>
      <c r="C2" s="496"/>
      <c r="D2" s="480" t="s">
        <v>106</v>
      </c>
      <c r="E2" s="481"/>
      <c r="F2" s="481"/>
      <c r="G2" s="481"/>
      <c r="H2" s="481"/>
      <c r="I2" s="481"/>
      <c r="J2" s="481"/>
      <c r="K2" s="481"/>
      <c r="L2" s="482"/>
      <c r="M2" s="497"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99"/>
      <c r="B3" s="500"/>
      <c r="C3" s="500"/>
      <c r="D3" s="483" t="s">
        <v>63</v>
      </c>
      <c r="E3" s="484"/>
      <c r="F3" s="484"/>
      <c r="G3" s="484"/>
      <c r="H3" s="484"/>
      <c r="I3" s="484"/>
      <c r="J3" s="484"/>
      <c r="K3" s="484"/>
      <c r="L3" s="485"/>
      <c r="M3" s="498"/>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99"/>
      <c r="B4" s="500"/>
      <c r="C4" s="500"/>
      <c r="D4" s="486"/>
      <c r="E4" s="487"/>
      <c r="F4" s="487"/>
      <c r="G4" s="487"/>
      <c r="H4" s="487"/>
      <c r="I4" s="487"/>
      <c r="J4" s="487"/>
      <c r="K4" s="487"/>
      <c r="L4" s="488"/>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99"/>
      <c r="B5" s="500"/>
      <c r="C5" s="500"/>
      <c r="D5" s="489" t="s">
        <v>65</v>
      </c>
      <c r="E5" s="490"/>
      <c r="F5" s="490"/>
      <c r="G5" s="490"/>
      <c r="H5" s="490"/>
      <c r="I5" s="490"/>
      <c r="J5" s="490"/>
      <c r="K5" s="490"/>
      <c r="L5" s="491"/>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99"/>
      <c r="B6" s="500"/>
      <c r="C6" s="500"/>
      <c r="D6" s="492" t="s">
        <v>67</v>
      </c>
      <c r="E6" s="493"/>
      <c r="F6" s="493"/>
      <c r="G6" s="493"/>
      <c r="H6" s="493"/>
      <c r="I6" s="493"/>
      <c r="J6" s="493"/>
      <c r="K6" s="493"/>
      <c r="L6" s="494"/>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01"/>
      <c r="B7" s="502"/>
      <c r="C7" s="502"/>
      <c r="D7" s="502"/>
      <c r="E7" s="502"/>
      <c r="F7" s="502"/>
      <c r="G7" s="502"/>
      <c r="H7" s="502"/>
      <c r="I7" s="502"/>
      <c r="J7" s="502"/>
      <c r="K7" s="502"/>
      <c r="L7" s="502"/>
      <c r="M7" s="503"/>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504" t="s">
        <v>924</v>
      </c>
      <c r="B9" s="505"/>
      <c r="C9" s="505"/>
      <c r="D9" s="505"/>
      <c r="E9" s="505"/>
      <c r="F9" s="505"/>
      <c r="G9" s="505"/>
      <c r="H9" s="505"/>
      <c r="I9" s="505"/>
      <c r="J9" s="505"/>
      <c r="K9" s="505"/>
      <c r="L9" s="505"/>
      <c r="M9" s="505"/>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1.75" customHeight="1" x14ac:dyDescent="0.35">
      <c r="A10" s="479" t="s">
        <v>109</v>
      </c>
      <c r="B10" s="479" t="s">
        <v>110</v>
      </c>
      <c r="C10" s="479"/>
      <c r="D10" s="479" t="s">
        <v>122</v>
      </c>
      <c r="E10" s="479" t="s">
        <v>112</v>
      </c>
      <c r="F10" s="479" t="s">
        <v>113</v>
      </c>
      <c r="G10" s="479"/>
      <c r="H10" s="479"/>
      <c r="I10" s="479"/>
      <c r="J10" s="479"/>
      <c r="K10" s="479"/>
      <c r="L10" s="479"/>
      <c r="M10" s="479"/>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49" customHeight="1" x14ac:dyDescent="0.35">
      <c r="A11" s="479"/>
      <c r="B11" s="154" t="s">
        <v>114</v>
      </c>
      <c r="C11" s="154" t="s">
        <v>21</v>
      </c>
      <c r="D11" s="479"/>
      <c r="E11" s="479"/>
      <c r="F11" s="154" t="s">
        <v>115</v>
      </c>
      <c r="G11" s="154" t="s">
        <v>116</v>
      </c>
      <c r="H11" s="154" t="s">
        <v>126</v>
      </c>
      <c r="I11" s="154" t="s">
        <v>118</v>
      </c>
      <c r="J11" s="154" t="s">
        <v>124</v>
      </c>
      <c r="K11" s="154" t="s">
        <v>93</v>
      </c>
      <c r="L11" s="154" t="s">
        <v>120</v>
      </c>
      <c r="M11" s="154"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ht="120.75" customHeight="1" x14ac:dyDescent="0.3">
      <c r="A12" s="506" t="str">
        <f>A9</f>
        <v>MATRIZ DE MONITOREO DE RIESGOS III TRIMESTRE
 (JULIO - SEPTIEMBRE)</v>
      </c>
      <c r="B12" s="414" t="str">
        <f>'Mapa final'!$B$13</f>
        <v>GBG_02</v>
      </c>
      <c r="C12" s="415"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47"/>
      <c r="E12" s="448"/>
      <c r="F12" s="444" t="str">
        <f t="shared" ref="F12:M12" si="0">IFERROR(IF($E12="","No",IF($E12="No","No"," "))," ")</f>
        <v>No</v>
      </c>
      <c r="G12" s="444" t="str">
        <f t="shared" si="0"/>
        <v>No</v>
      </c>
      <c r="H12" s="444" t="str">
        <f t="shared" si="0"/>
        <v>No</v>
      </c>
      <c r="I12" s="444" t="str">
        <f t="shared" si="0"/>
        <v>No</v>
      </c>
      <c r="J12" s="444" t="str">
        <f t="shared" si="0"/>
        <v>No</v>
      </c>
      <c r="K12" s="444" t="str">
        <f t="shared" si="0"/>
        <v>No</v>
      </c>
      <c r="L12" s="444" t="str">
        <f t="shared" si="0"/>
        <v>No</v>
      </c>
      <c r="M12" s="444"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ht="120.75" customHeight="1" x14ac:dyDescent="0.3">
      <c r="A13" s="506"/>
      <c r="B13" s="414"/>
      <c r="C13" s="415"/>
      <c r="D13" s="447"/>
      <c r="E13" s="448"/>
      <c r="F13" s="444"/>
      <c r="G13" s="444"/>
      <c r="H13" s="444"/>
      <c r="I13" s="444"/>
      <c r="J13" s="444"/>
      <c r="K13" s="444"/>
      <c r="L13" s="444"/>
      <c r="M13" s="444"/>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ht="120.75" customHeight="1" x14ac:dyDescent="0.3">
      <c r="A14" s="506"/>
      <c r="B14" s="414"/>
      <c r="C14" s="415"/>
      <c r="D14" s="447"/>
      <c r="E14" s="448"/>
      <c r="F14" s="444"/>
      <c r="G14" s="444"/>
      <c r="H14" s="444"/>
      <c r="I14" s="444"/>
      <c r="J14" s="444"/>
      <c r="K14" s="444"/>
      <c r="L14" s="444"/>
      <c r="M14" s="444"/>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ht="120.75" customHeight="1" x14ac:dyDescent="0.3">
      <c r="A15" s="506"/>
      <c r="B15" s="414" t="str">
        <f>'Mapa final'!$B$15</f>
        <v>GBG_03</v>
      </c>
      <c r="C15" s="415" t="str">
        <f>'Mapa final'!$H$15</f>
        <v>Posibilidad de afectación económica y reputacional por demandas legales y sanciones, debido a la omisión de la declaración de impedimento o recusación ante la posibilidad real o aparente de un conflicto de interés.</v>
      </c>
      <c r="D15" s="447"/>
      <c r="E15" s="448"/>
      <c r="F15" s="444" t="str">
        <f t="shared" ref="F15:M39" si="1">IFERROR(IF($E15="","No",IF($E15="No","No"," "))," ")</f>
        <v>No</v>
      </c>
      <c r="G15" s="444" t="str">
        <f t="shared" si="1"/>
        <v>No</v>
      </c>
      <c r="H15" s="444" t="str">
        <f t="shared" si="1"/>
        <v>No</v>
      </c>
      <c r="I15" s="444" t="str">
        <f t="shared" si="1"/>
        <v>No</v>
      </c>
      <c r="J15" s="444" t="str">
        <f t="shared" si="1"/>
        <v>No</v>
      </c>
      <c r="K15" s="444" t="str">
        <f t="shared" si="1"/>
        <v>No</v>
      </c>
      <c r="L15" s="444" t="str">
        <f t="shared" si="1"/>
        <v>No</v>
      </c>
      <c r="M15" s="444"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ht="120.75" customHeight="1" x14ac:dyDescent="0.3">
      <c r="A16" s="506"/>
      <c r="B16" s="414"/>
      <c r="C16" s="415"/>
      <c r="D16" s="447"/>
      <c r="E16" s="448"/>
      <c r="F16" s="444"/>
      <c r="G16" s="444"/>
      <c r="H16" s="444"/>
      <c r="I16" s="444"/>
      <c r="J16" s="444"/>
      <c r="K16" s="444"/>
      <c r="L16" s="444"/>
      <c r="M16" s="444"/>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ht="120.75" customHeight="1" x14ac:dyDescent="0.3">
      <c r="A17" s="506"/>
      <c r="B17" s="414"/>
      <c r="C17" s="415"/>
      <c r="D17" s="447"/>
      <c r="E17" s="448"/>
      <c r="F17" s="444"/>
      <c r="G17" s="444"/>
      <c r="H17" s="444"/>
      <c r="I17" s="444"/>
      <c r="J17" s="444"/>
      <c r="K17" s="444"/>
      <c r="L17" s="444"/>
      <c r="M17" s="444"/>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ht="120.75" customHeight="1" x14ac:dyDescent="0.3">
      <c r="A18" s="506"/>
      <c r="B18" s="414" t="str">
        <f>'Mapa final'!$B$17</f>
        <v>OAP_01</v>
      </c>
      <c r="C18" s="415" t="str">
        <f>'Mapa final'!$H$17</f>
        <v>Posibilidad de afectación económica por la no prestación integral de los servicios de salud a los usuarios del  HOMIL,  debido a la inadecuada identificación de necesidades para la adquisición de bienes y/o servicios.</v>
      </c>
      <c r="D18" s="447"/>
      <c r="E18" s="448"/>
      <c r="F18" s="444" t="str">
        <f t="shared" ref="F18" si="2">IFERROR(IF($E18="","No",IF($E18="No","No"," "))," ")</f>
        <v>No</v>
      </c>
      <c r="G18" s="444" t="str">
        <f t="shared" si="1"/>
        <v>No</v>
      </c>
      <c r="H18" s="444" t="str">
        <f t="shared" si="1"/>
        <v>No</v>
      </c>
      <c r="I18" s="444" t="str">
        <f t="shared" si="1"/>
        <v>No</v>
      </c>
      <c r="J18" s="444" t="str">
        <f t="shared" si="1"/>
        <v>No</v>
      </c>
      <c r="K18" s="444" t="str">
        <f t="shared" si="1"/>
        <v>No</v>
      </c>
      <c r="L18" s="444" t="str">
        <f t="shared" si="1"/>
        <v>No</v>
      </c>
      <c r="M18" s="444"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ht="120.75" customHeight="1" x14ac:dyDescent="0.3">
      <c r="A19" s="506"/>
      <c r="B19" s="414"/>
      <c r="C19" s="415"/>
      <c r="D19" s="447"/>
      <c r="E19" s="448"/>
      <c r="F19" s="444"/>
      <c r="G19" s="444"/>
      <c r="H19" s="444"/>
      <c r="I19" s="444"/>
      <c r="J19" s="444"/>
      <c r="K19" s="444"/>
      <c r="L19" s="444"/>
      <c r="M19" s="444"/>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ht="120.75" customHeight="1" x14ac:dyDescent="0.3">
      <c r="A20" s="506"/>
      <c r="B20" s="414"/>
      <c r="C20" s="415"/>
      <c r="D20" s="447"/>
      <c r="E20" s="448"/>
      <c r="F20" s="444"/>
      <c r="G20" s="444"/>
      <c r="H20" s="444"/>
      <c r="I20" s="444"/>
      <c r="J20" s="444"/>
      <c r="K20" s="444"/>
      <c r="L20" s="444"/>
      <c r="M20" s="444"/>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ht="120.75" customHeight="1" x14ac:dyDescent="0.3">
      <c r="A21" s="506"/>
      <c r="B21" s="414" t="str">
        <f>'Mapa final'!$B$20</f>
        <v>OAP_02</v>
      </c>
      <c r="C21" s="415"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47"/>
      <c r="E21" s="448"/>
      <c r="F21" s="444" t="str">
        <f t="shared" ref="F21" si="3">IFERROR(IF($E21="","No",IF($E21="No","No"," "))," ")</f>
        <v>No</v>
      </c>
      <c r="G21" s="444" t="str">
        <f t="shared" si="1"/>
        <v>No</v>
      </c>
      <c r="H21" s="444" t="str">
        <f t="shared" si="1"/>
        <v>No</v>
      </c>
      <c r="I21" s="444" t="str">
        <f t="shared" si="1"/>
        <v>No</v>
      </c>
      <c r="J21" s="444" t="str">
        <f t="shared" si="1"/>
        <v>No</v>
      </c>
      <c r="K21" s="444" t="str">
        <f t="shared" si="1"/>
        <v>No</v>
      </c>
      <c r="L21" s="444" t="str">
        <f t="shared" si="1"/>
        <v>No</v>
      </c>
      <c r="M21" s="444"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ht="120.75" customHeight="1" x14ac:dyDescent="0.3">
      <c r="A22" s="506"/>
      <c r="B22" s="414"/>
      <c r="C22" s="415"/>
      <c r="D22" s="447"/>
      <c r="E22" s="448"/>
      <c r="F22" s="444"/>
      <c r="G22" s="444"/>
      <c r="H22" s="444"/>
      <c r="I22" s="444"/>
      <c r="J22" s="444"/>
      <c r="K22" s="444"/>
      <c r="L22" s="444"/>
      <c r="M22" s="444"/>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ht="120.75" customHeight="1" x14ac:dyDescent="0.3">
      <c r="A23" s="506"/>
      <c r="B23" s="414"/>
      <c r="C23" s="415"/>
      <c r="D23" s="447"/>
      <c r="E23" s="448"/>
      <c r="F23" s="444"/>
      <c r="G23" s="444"/>
      <c r="H23" s="444"/>
      <c r="I23" s="444"/>
      <c r="J23" s="444"/>
      <c r="K23" s="444"/>
      <c r="L23" s="444"/>
      <c r="M23" s="444"/>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ht="120.75" customHeight="1" x14ac:dyDescent="0.3">
      <c r="A24" s="506"/>
      <c r="B24" s="414" t="str">
        <f>'Mapa final'!$B$22</f>
        <v>OAP_03</v>
      </c>
      <c r="C24" s="415"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47"/>
      <c r="E24" s="448"/>
      <c r="F24" s="444" t="str">
        <f t="shared" ref="F24" si="4">IFERROR(IF($E24="","No",IF($E24="No","No"," "))," ")</f>
        <v>No</v>
      </c>
      <c r="G24" s="444" t="str">
        <f t="shared" si="1"/>
        <v>No</v>
      </c>
      <c r="H24" s="444" t="str">
        <f t="shared" si="1"/>
        <v>No</v>
      </c>
      <c r="I24" s="444" t="str">
        <f t="shared" si="1"/>
        <v>No</v>
      </c>
      <c r="J24" s="444" t="str">
        <f t="shared" si="1"/>
        <v>No</v>
      </c>
      <c r="K24" s="444" t="str">
        <f t="shared" si="1"/>
        <v>No</v>
      </c>
      <c r="L24" s="444" t="str">
        <f t="shared" si="1"/>
        <v>No</v>
      </c>
      <c r="M24" s="444"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ht="120.75" customHeight="1" x14ac:dyDescent="0.3">
      <c r="A25" s="506"/>
      <c r="B25" s="414"/>
      <c r="C25" s="415"/>
      <c r="D25" s="447"/>
      <c r="E25" s="448"/>
      <c r="F25" s="444"/>
      <c r="G25" s="444"/>
      <c r="H25" s="444"/>
      <c r="I25" s="444"/>
      <c r="J25" s="444"/>
      <c r="K25" s="444"/>
      <c r="L25" s="444"/>
      <c r="M25" s="444"/>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ht="120.75" customHeight="1" x14ac:dyDescent="0.3">
      <c r="A26" s="506"/>
      <c r="B26" s="414"/>
      <c r="C26" s="415"/>
      <c r="D26" s="447"/>
      <c r="E26" s="448"/>
      <c r="F26" s="444"/>
      <c r="G26" s="444"/>
      <c r="H26" s="444"/>
      <c r="I26" s="444"/>
      <c r="J26" s="444"/>
      <c r="K26" s="444"/>
      <c r="L26" s="444"/>
      <c r="M26" s="444"/>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ht="120.75" customHeight="1" x14ac:dyDescent="0.3">
      <c r="A27" s="506"/>
      <c r="B27" s="414" t="str">
        <f>'Mapa final'!$B$25</f>
        <v>OAP_04</v>
      </c>
      <c r="C27" s="415"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47"/>
      <c r="E27" s="448"/>
      <c r="F27" s="444" t="str">
        <f t="shared" ref="F27" si="5">IFERROR(IF($E27="","No",IF($E27="No","No"," "))," ")</f>
        <v>No</v>
      </c>
      <c r="G27" s="444" t="str">
        <f t="shared" si="1"/>
        <v>No</v>
      </c>
      <c r="H27" s="444" t="str">
        <f t="shared" si="1"/>
        <v>No</v>
      </c>
      <c r="I27" s="444" t="str">
        <f t="shared" si="1"/>
        <v>No</v>
      </c>
      <c r="J27" s="444" t="str">
        <f t="shared" si="1"/>
        <v>No</v>
      </c>
      <c r="K27" s="444" t="str">
        <f t="shared" si="1"/>
        <v>No</v>
      </c>
      <c r="L27" s="444" t="str">
        <f t="shared" si="1"/>
        <v>No</v>
      </c>
      <c r="M27" s="444"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ht="120.75" customHeight="1" x14ac:dyDescent="0.3">
      <c r="A28" s="506"/>
      <c r="B28" s="414"/>
      <c r="C28" s="415"/>
      <c r="D28" s="447"/>
      <c r="E28" s="448"/>
      <c r="F28" s="444"/>
      <c r="G28" s="444"/>
      <c r="H28" s="444"/>
      <c r="I28" s="444"/>
      <c r="J28" s="444"/>
      <c r="K28" s="444"/>
      <c r="L28" s="444"/>
      <c r="M28" s="444"/>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ht="120.75" customHeight="1" x14ac:dyDescent="0.3">
      <c r="A29" s="506"/>
      <c r="B29" s="414"/>
      <c r="C29" s="415"/>
      <c r="D29" s="447"/>
      <c r="E29" s="448"/>
      <c r="F29" s="444"/>
      <c r="G29" s="444"/>
      <c r="H29" s="444"/>
      <c r="I29" s="444"/>
      <c r="J29" s="444"/>
      <c r="K29" s="444"/>
      <c r="L29" s="444"/>
      <c r="M29" s="444"/>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ht="120.75" customHeight="1" x14ac:dyDescent="0.3">
      <c r="A30" s="506"/>
      <c r="B30" s="414" t="str">
        <f>'Mapa final'!$B$27</f>
        <v>OAP_05</v>
      </c>
      <c r="C30" s="415"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47"/>
      <c r="E30" s="448"/>
      <c r="F30" s="444" t="str">
        <f t="shared" ref="F30" si="6">IFERROR(IF($E30="","No",IF($E30="No","No"," "))," ")</f>
        <v>No</v>
      </c>
      <c r="G30" s="444" t="str">
        <f t="shared" si="1"/>
        <v>No</v>
      </c>
      <c r="H30" s="444" t="str">
        <f t="shared" si="1"/>
        <v>No</v>
      </c>
      <c r="I30" s="444" t="str">
        <f t="shared" si="1"/>
        <v>No</v>
      </c>
      <c r="J30" s="444" t="str">
        <f t="shared" si="1"/>
        <v>No</v>
      </c>
      <c r="K30" s="444" t="str">
        <f t="shared" si="1"/>
        <v>No</v>
      </c>
      <c r="L30" s="444" t="str">
        <f t="shared" si="1"/>
        <v>No</v>
      </c>
      <c r="M30" s="444"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ht="120.75" customHeight="1" x14ac:dyDescent="0.3">
      <c r="A31" s="506"/>
      <c r="B31" s="414"/>
      <c r="C31" s="415"/>
      <c r="D31" s="447"/>
      <c r="E31" s="448"/>
      <c r="F31" s="444"/>
      <c r="G31" s="444"/>
      <c r="H31" s="444"/>
      <c r="I31" s="444"/>
      <c r="J31" s="444"/>
      <c r="K31" s="444"/>
      <c r="L31" s="444"/>
      <c r="M31" s="444"/>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ht="120.75" customHeight="1" x14ac:dyDescent="0.3">
      <c r="A32" s="506"/>
      <c r="B32" s="414"/>
      <c r="C32" s="415"/>
      <c r="D32" s="447"/>
      <c r="E32" s="448"/>
      <c r="F32" s="444"/>
      <c r="G32" s="444"/>
      <c r="H32" s="444"/>
      <c r="I32" s="444"/>
      <c r="J32" s="444"/>
      <c r="K32" s="444"/>
      <c r="L32" s="444"/>
      <c r="M32" s="444"/>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ht="120.75" customHeight="1" x14ac:dyDescent="0.3">
      <c r="A33" s="506"/>
      <c r="B33" s="414" t="str">
        <f>'Mapa final'!$B$29</f>
        <v>TIN_01</v>
      </c>
      <c r="C33" s="415" t="str">
        <f>'Mapa final'!$H$29</f>
        <v>Posibilidad de afectación económica y reputacional por registro inoportuno en la Historia Clínica  del estado de salud y la atención brindada, debido a la interrupción en la prestación de los servicios tecnológicos de la entidad.</v>
      </c>
      <c r="D33" s="447"/>
      <c r="E33" s="448"/>
      <c r="F33" s="444" t="str">
        <f t="shared" ref="F33" si="7">IFERROR(IF($E33="","No",IF($E33="No","No"," "))," ")</f>
        <v>No</v>
      </c>
      <c r="G33" s="444" t="str">
        <f t="shared" si="1"/>
        <v>No</v>
      </c>
      <c r="H33" s="444" t="str">
        <f t="shared" si="1"/>
        <v>No</v>
      </c>
      <c r="I33" s="444" t="str">
        <f t="shared" si="1"/>
        <v>No</v>
      </c>
      <c r="J33" s="444" t="str">
        <f t="shared" si="1"/>
        <v>No</v>
      </c>
      <c r="K33" s="444" t="str">
        <f t="shared" si="1"/>
        <v>No</v>
      </c>
      <c r="L33" s="444" t="str">
        <f t="shared" si="1"/>
        <v>No</v>
      </c>
      <c r="M33" s="444"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ht="120.75" customHeight="1" x14ac:dyDescent="0.3">
      <c r="A34" s="506"/>
      <c r="B34" s="414"/>
      <c r="C34" s="415"/>
      <c r="D34" s="447"/>
      <c r="E34" s="448"/>
      <c r="F34" s="444"/>
      <c r="G34" s="444"/>
      <c r="H34" s="444"/>
      <c r="I34" s="444"/>
      <c r="J34" s="444"/>
      <c r="K34" s="444"/>
      <c r="L34" s="444"/>
      <c r="M34" s="444"/>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ht="120.75" customHeight="1" x14ac:dyDescent="0.3">
      <c r="A35" s="506"/>
      <c r="B35" s="414"/>
      <c r="C35" s="415"/>
      <c r="D35" s="447"/>
      <c r="E35" s="448"/>
      <c r="F35" s="444"/>
      <c r="G35" s="444"/>
      <c r="H35" s="444"/>
      <c r="I35" s="444"/>
      <c r="J35" s="444"/>
      <c r="K35" s="444"/>
      <c r="L35" s="444"/>
      <c r="M35" s="444"/>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ht="120.75" customHeight="1" x14ac:dyDescent="0.3">
      <c r="A36" s="506"/>
      <c r="B36" s="414" t="str">
        <f>'Mapa final'!$B$33</f>
        <v>TIN_02</v>
      </c>
      <c r="C36" s="415"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47"/>
      <c r="E36" s="448"/>
      <c r="F36" s="444" t="str">
        <f t="shared" ref="F36" si="8">IFERROR(IF($E36="","No",IF($E36="No","No"," "))," ")</f>
        <v>No</v>
      </c>
      <c r="G36" s="444" t="str">
        <f t="shared" si="1"/>
        <v>No</v>
      </c>
      <c r="H36" s="444" t="str">
        <f t="shared" si="1"/>
        <v>No</v>
      </c>
      <c r="I36" s="444" t="str">
        <f t="shared" si="1"/>
        <v>No</v>
      </c>
      <c r="J36" s="444" t="str">
        <f t="shared" si="1"/>
        <v>No</v>
      </c>
      <c r="K36" s="444" t="str">
        <f t="shared" si="1"/>
        <v>No</v>
      </c>
      <c r="L36" s="444" t="str">
        <f t="shared" si="1"/>
        <v>No</v>
      </c>
      <c r="M36" s="444"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ht="120.75" customHeight="1" x14ac:dyDescent="0.3">
      <c r="A37" s="506"/>
      <c r="B37" s="414"/>
      <c r="C37" s="415"/>
      <c r="D37" s="447"/>
      <c r="E37" s="448"/>
      <c r="F37" s="444"/>
      <c r="G37" s="444"/>
      <c r="H37" s="444"/>
      <c r="I37" s="444"/>
      <c r="J37" s="444"/>
      <c r="K37" s="444"/>
      <c r="L37" s="444"/>
      <c r="M37" s="444"/>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ht="120.75" customHeight="1" x14ac:dyDescent="0.3">
      <c r="A38" s="506"/>
      <c r="B38" s="414"/>
      <c r="C38" s="415"/>
      <c r="D38" s="447"/>
      <c r="E38" s="448"/>
      <c r="F38" s="444"/>
      <c r="G38" s="444"/>
      <c r="H38" s="444"/>
      <c r="I38" s="444"/>
      <c r="J38" s="444"/>
      <c r="K38" s="444"/>
      <c r="L38" s="444"/>
      <c r="M38" s="444"/>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ht="120.75" customHeight="1" x14ac:dyDescent="0.3">
      <c r="A39" s="506"/>
      <c r="B39" s="414" t="str">
        <f>'Mapa final'!$B$38</f>
        <v>TIN_03</v>
      </c>
      <c r="C39" s="415" t="str">
        <f>'Mapa final'!$H$38</f>
        <v>Posibilidad de afectación económica por no disponibilidad de la información clínica  de los usuarios del  HOMIL, debido a falta de respaldo (copias de seguridad) de la información.</v>
      </c>
      <c r="D39" s="447"/>
      <c r="E39" s="448"/>
      <c r="F39" s="444" t="str">
        <f t="shared" ref="F39" si="9">IFERROR(IF($E39="","No",IF($E39="No","No"," "))," ")</f>
        <v>No</v>
      </c>
      <c r="G39" s="444" t="str">
        <f t="shared" si="1"/>
        <v>No</v>
      </c>
      <c r="H39" s="444" t="str">
        <f t="shared" si="1"/>
        <v>No</v>
      </c>
      <c r="I39" s="444" t="str">
        <f t="shared" si="1"/>
        <v>No</v>
      </c>
      <c r="J39" s="444" t="str">
        <f t="shared" si="1"/>
        <v>No</v>
      </c>
      <c r="K39" s="444" t="str">
        <f t="shared" si="1"/>
        <v>No</v>
      </c>
      <c r="L39" s="444" t="str">
        <f t="shared" si="1"/>
        <v>No</v>
      </c>
      <c r="M39" s="444"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ht="120.75" customHeight="1" x14ac:dyDescent="0.3">
      <c r="A40" s="506"/>
      <c r="B40" s="414"/>
      <c r="C40" s="415"/>
      <c r="D40" s="447"/>
      <c r="E40" s="448"/>
      <c r="F40" s="444"/>
      <c r="G40" s="444"/>
      <c r="H40" s="444"/>
      <c r="I40" s="444"/>
      <c r="J40" s="444"/>
      <c r="K40" s="444"/>
      <c r="L40" s="444"/>
      <c r="M40" s="444"/>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ht="120.75" customHeight="1" x14ac:dyDescent="0.3">
      <c r="A41" s="506"/>
      <c r="B41" s="414"/>
      <c r="C41" s="415"/>
      <c r="D41" s="447"/>
      <c r="E41" s="448"/>
      <c r="F41" s="444"/>
      <c r="G41" s="444"/>
      <c r="H41" s="444"/>
      <c r="I41" s="444"/>
      <c r="J41" s="444"/>
      <c r="K41" s="444"/>
      <c r="L41" s="444"/>
      <c r="M41" s="444"/>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3.5" customHeight="1" x14ac:dyDescent="0.3">
      <c r="A42" s="506"/>
      <c r="B42" s="477"/>
      <c r="C42" s="478"/>
      <c r="D42" s="447"/>
      <c r="E42" s="448"/>
      <c r="F42" s="444" t="str">
        <f t="shared" ref="F42:M69" si="10">IFERROR(IF($E42="","No",IF($E42="No","No"," "))," ")</f>
        <v>No</v>
      </c>
      <c r="G42" s="444" t="str">
        <f t="shared" si="10"/>
        <v>No</v>
      </c>
      <c r="H42" s="444" t="str">
        <f t="shared" si="10"/>
        <v>No</v>
      </c>
      <c r="I42" s="444" t="str">
        <f t="shared" si="10"/>
        <v>No</v>
      </c>
      <c r="J42" s="444" t="str">
        <f t="shared" si="10"/>
        <v>No</v>
      </c>
      <c r="K42" s="444" t="str">
        <f t="shared" si="10"/>
        <v>No</v>
      </c>
      <c r="L42" s="444" t="str">
        <f t="shared" si="10"/>
        <v>No</v>
      </c>
      <c r="M42" s="444" t="str">
        <f t="shared" si="10"/>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3.5" customHeight="1" x14ac:dyDescent="0.3">
      <c r="A43" s="506"/>
      <c r="B43" s="477"/>
      <c r="C43" s="478"/>
      <c r="D43" s="447"/>
      <c r="E43" s="448"/>
      <c r="F43" s="444"/>
      <c r="G43" s="444"/>
      <c r="H43" s="444"/>
      <c r="I43" s="444"/>
      <c r="J43" s="444"/>
      <c r="K43" s="444"/>
      <c r="L43" s="444"/>
      <c r="M43" s="444"/>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3.5" customHeight="1" x14ac:dyDescent="0.3">
      <c r="A44" s="506"/>
      <c r="B44" s="477"/>
      <c r="C44" s="478"/>
      <c r="D44" s="447"/>
      <c r="E44" s="448"/>
      <c r="F44" s="444"/>
      <c r="G44" s="444"/>
      <c r="H44" s="444"/>
      <c r="I44" s="444"/>
      <c r="J44" s="444"/>
      <c r="K44" s="444"/>
      <c r="L44" s="444"/>
      <c r="M44" s="444"/>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3.5" customHeight="1" x14ac:dyDescent="0.3">
      <c r="A45" s="506"/>
      <c r="B45" s="477"/>
      <c r="C45" s="478"/>
      <c r="D45" s="447"/>
      <c r="E45" s="448"/>
      <c r="F45" s="444" t="str">
        <f t="shared" si="10"/>
        <v>No</v>
      </c>
      <c r="G45" s="444" t="str">
        <f t="shared" si="10"/>
        <v>No</v>
      </c>
      <c r="H45" s="444" t="str">
        <f t="shared" si="10"/>
        <v>No</v>
      </c>
      <c r="I45" s="444" t="str">
        <f t="shared" si="10"/>
        <v>No</v>
      </c>
      <c r="J45" s="444" t="str">
        <f t="shared" si="10"/>
        <v>No</v>
      </c>
      <c r="K45" s="444" t="str">
        <f t="shared" si="10"/>
        <v>No</v>
      </c>
      <c r="L45" s="444" t="str">
        <f t="shared" si="10"/>
        <v>No</v>
      </c>
      <c r="M45" s="444" t="str">
        <f t="shared" si="10"/>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3.5" customHeight="1" x14ac:dyDescent="0.3">
      <c r="A46" s="506"/>
      <c r="B46" s="477"/>
      <c r="C46" s="478"/>
      <c r="D46" s="447"/>
      <c r="E46" s="448"/>
      <c r="F46" s="444"/>
      <c r="G46" s="444"/>
      <c r="H46" s="444"/>
      <c r="I46" s="444"/>
      <c r="J46" s="444"/>
      <c r="K46" s="444"/>
      <c r="L46" s="444"/>
      <c r="M46" s="444"/>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3.5" customHeight="1" x14ac:dyDescent="0.3">
      <c r="A47" s="506"/>
      <c r="B47" s="477"/>
      <c r="C47" s="478"/>
      <c r="D47" s="447"/>
      <c r="E47" s="448"/>
      <c r="F47" s="444"/>
      <c r="G47" s="444"/>
      <c r="H47" s="444"/>
      <c r="I47" s="444"/>
      <c r="J47" s="444"/>
      <c r="K47" s="444"/>
      <c r="L47" s="444"/>
      <c r="M47" s="444"/>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3.5" customHeight="1" x14ac:dyDescent="0.3">
      <c r="A48" s="506"/>
      <c r="B48" s="477"/>
      <c r="C48" s="478"/>
      <c r="D48" s="447"/>
      <c r="E48" s="448"/>
      <c r="F48" s="444" t="str">
        <f t="shared" si="10"/>
        <v>No</v>
      </c>
      <c r="G48" s="444" t="str">
        <f t="shared" si="10"/>
        <v>No</v>
      </c>
      <c r="H48" s="444" t="str">
        <f t="shared" si="10"/>
        <v>No</v>
      </c>
      <c r="I48" s="444" t="str">
        <f t="shared" si="10"/>
        <v>No</v>
      </c>
      <c r="J48" s="444" t="str">
        <f t="shared" si="10"/>
        <v>No</v>
      </c>
      <c r="K48" s="444" t="str">
        <f t="shared" si="10"/>
        <v>No</v>
      </c>
      <c r="L48" s="444" t="str">
        <f t="shared" si="10"/>
        <v>No</v>
      </c>
      <c r="M48" s="444" t="str">
        <f t="shared" si="10"/>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3.5" customHeight="1" x14ac:dyDescent="0.3">
      <c r="A49" s="506"/>
      <c r="B49" s="477"/>
      <c r="C49" s="478"/>
      <c r="D49" s="447"/>
      <c r="E49" s="448"/>
      <c r="F49" s="444"/>
      <c r="G49" s="444"/>
      <c r="H49" s="444"/>
      <c r="I49" s="444"/>
      <c r="J49" s="444"/>
      <c r="K49" s="444"/>
      <c r="L49" s="444"/>
      <c r="M49" s="444"/>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3.5" customHeight="1" x14ac:dyDescent="0.3">
      <c r="A50" s="506"/>
      <c r="B50" s="477"/>
      <c r="C50" s="478"/>
      <c r="D50" s="447"/>
      <c r="E50" s="448"/>
      <c r="F50" s="444"/>
      <c r="G50" s="444"/>
      <c r="H50" s="444"/>
      <c r="I50" s="444"/>
      <c r="J50" s="444"/>
      <c r="K50" s="444"/>
      <c r="L50" s="444"/>
      <c r="M50" s="444"/>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3.5" customHeight="1" x14ac:dyDescent="0.3">
      <c r="A51" s="506"/>
      <c r="B51" s="477"/>
      <c r="C51" s="478"/>
      <c r="D51" s="447"/>
      <c r="E51" s="448"/>
      <c r="F51" s="444" t="str">
        <f t="shared" si="10"/>
        <v>No</v>
      </c>
      <c r="G51" s="444" t="str">
        <f t="shared" si="10"/>
        <v>No</v>
      </c>
      <c r="H51" s="444" t="str">
        <f t="shared" si="10"/>
        <v>No</v>
      </c>
      <c r="I51" s="444" t="str">
        <f t="shared" si="10"/>
        <v>No</v>
      </c>
      <c r="J51" s="444" t="str">
        <f t="shared" si="10"/>
        <v>No</v>
      </c>
      <c r="K51" s="444" t="str">
        <f t="shared" si="10"/>
        <v>No</v>
      </c>
      <c r="L51" s="444" t="str">
        <f t="shared" si="10"/>
        <v>No</v>
      </c>
      <c r="M51" s="444" t="str">
        <f t="shared" si="10"/>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3.5" customHeight="1" x14ac:dyDescent="0.3">
      <c r="A52" s="506"/>
      <c r="B52" s="477"/>
      <c r="C52" s="478"/>
      <c r="D52" s="447"/>
      <c r="E52" s="448"/>
      <c r="F52" s="444"/>
      <c r="G52" s="444"/>
      <c r="H52" s="444"/>
      <c r="I52" s="444"/>
      <c r="J52" s="444"/>
      <c r="K52" s="444"/>
      <c r="L52" s="444"/>
      <c r="M52" s="444"/>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3.5" customHeight="1" x14ac:dyDescent="0.3">
      <c r="A53" s="506"/>
      <c r="B53" s="477"/>
      <c r="C53" s="478"/>
      <c r="D53" s="447"/>
      <c r="E53" s="448"/>
      <c r="F53" s="444"/>
      <c r="G53" s="444"/>
      <c r="H53" s="444"/>
      <c r="I53" s="444"/>
      <c r="J53" s="444"/>
      <c r="K53" s="444"/>
      <c r="L53" s="444"/>
      <c r="M53" s="444"/>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3.5" customHeight="1" x14ac:dyDescent="0.3">
      <c r="A54" s="506"/>
      <c r="B54" s="477"/>
      <c r="C54" s="478"/>
      <c r="D54" s="447"/>
      <c r="E54" s="448"/>
      <c r="F54" s="444" t="str">
        <f t="shared" si="10"/>
        <v>No</v>
      </c>
      <c r="G54" s="444" t="str">
        <f t="shared" si="10"/>
        <v>No</v>
      </c>
      <c r="H54" s="444" t="str">
        <f t="shared" si="10"/>
        <v>No</v>
      </c>
      <c r="I54" s="444" t="str">
        <f t="shared" si="10"/>
        <v>No</v>
      </c>
      <c r="J54" s="444" t="str">
        <f t="shared" si="10"/>
        <v>No</v>
      </c>
      <c r="K54" s="444" t="str">
        <f t="shared" si="10"/>
        <v>No</v>
      </c>
      <c r="L54" s="444" t="str">
        <f t="shared" si="10"/>
        <v>No</v>
      </c>
      <c r="M54" s="444" t="str">
        <f t="shared" si="10"/>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3.5" customHeight="1" x14ac:dyDescent="0.3">
      <c r="A55" s="506"/>
      <c r="B55" s="477"/>
      <c r="C55" s="478"/>
      <c r="D55" s="447"/>
      <c r="E55" s="448"/>
      <c r="F55" s="444"/>
      <c r="G55" s="444"/>
      <c r="H55" s="444"/>
      <c r="I55" s="444"/>
      <c r="J55" s="444"/>
      <c r="K55" s="444"/>
      <c r="L55" s="444"/>
      <c r="M55" s="444"/>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3.5" customHeight="1" x14ac:dyDescent="0.3">
      <c r="A56" s="506"/>
      <c r="B56" s="477"/>
      <c r="C56" s="478"/>
      <c r="D56" s="447"/>
      <c r="E56" s="448"/>
      <c r="F56" s="444"/>
      <c r="G56" s="444"/>
      <c r="H56" s="444"/>
      <c r="I56" s="444"/>
      <c r="J56" s="444"/>
      <c r="K56" s="444"/>
      <c r="L56" s="444"/>
      <c r="M56" s="444"/>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3.5" customHeight="1" x14ac:dyDescent="0.3">
      <c r="A57" s="506"/>
      <c r="B57" s="477"/>
      <c r="C57" s="478"/>
      <c r="D57" s="447"/>
      <c r="E57" s="448"/>
      <c r="F57" s="444" t="str">
        <f t="shared" si="10"/>
        <v>No</v>
      </c>
      <c r="G57" s="444" t="str">
        <f t="shared" si="10"/>
        <v>No</v>
      </c>
      <c r="H57" s="444" t="str">
        <f t="shared" si="10"/>
        <v>No</v>
      </c>
      <c r="I57" s="444" t="str">
        <f t="shared" si="10"/>
        <v>No</v>
      </c>
      <c r="J57" s="444" t="str">
        <f t="shared" si="10"/>
        <v>No</v>
      </c>
      <c r="K57" s="444" t="str">
        <f t="shared" si="10"/>
        <v>No</v>
      </c>
      <c r="L57" s="444" t="str">
        <f t="shared" si="10"/>
        <v>No</v>
      </c>
      <c r="M57" s="444" t="str">
        <f t="shared" si="10"/>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3.5" customHeight="1" x14ac:dyDescent="0.3">
      <c r="A58" s="506"/>
      <c r="B58" s="477"/>
      <c r="C58" s="478"/>
      <c r="D58" s="447"/>
      <c r="E58" s="448"/>
      <c r="F58" s="444"/>
      <c r="G58" s="444"/>
      <c r="H58" s="444"/>
      <c r="I58" s="444"/>
      <c r="J58" s="444"/>
      <c r="K58" s="444"/>
      <c r="L58" s="444"/>
      <c r="M58" s="444"/>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3.5" customHeight="1" x14ac:dyDescent="0.3">
      <c r="A59" s="506"/>
      <c r="B59" s="477"/>
      <c r="C59" s="478"/>
      <c r="D59" s="447"/>
      <c r="E59" s="448"/>
      <c r="F59" s="444"/>
      <c r="G59" s="444"/>
      <c r="H59" s="444"/>
      <c r="I59" s="444"/>
      <c r="J59" s="444"/>
      <c r="K59" s="444"/>
      <c r="L59" s="444"/>
      <c r="M59" s="444"/>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3.5" customHeight="1" x14ac:dyDescent="0.3">
      <c r="A60" s="506"/>
      <c r="B60" s="477"/>
      <c r="C60" s="478"/>
      <c r="D60" s="447"/>
      <c r="E60" s="448"/>
      <c r="F60" s="444" t="str">
        <f t="shared" si="10"/>
        <v>No</v>
      </c>
      <c r="G60" s="444" t="str">
        <f t="shared" si="10"/>
        <v>No</v>
      </c>
      <c r="H60" s="444" t="str">
        <f t="shared" si="10"/>
        <v>No</v>
      </c>
      <c r="I60" s="444" t="str">
        <f t="shared" si="10"/>
        <v>No</v>
      </c>
      <c r="J60" s="444" t="str">
        <f t="shared" si="10"/>
        <v>No</v>
      </c>
      <c r="K60" s="444" t="str">
        <f t="shared" si="10"/>
        <v>No</v>
      </c>
      <c r="L60" s="444" t="str">
        <f t="shared" si="10"/>
        <v>No</v>
      </c>
      <c r="M60" s="444" t="str">
        <f t="shared" si="10"/>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3.5" customHeight="1" x14ac:dyDescent="0.3">
      <c r="A61" s="506"/>
      <c r="B61" s="477"/>
      <c r="C61" s="478"/>
      <c r="D61" s="447"/>
      <c r="E61" s="448"/>
      <c r="F61" s="444"/>
      <c r="G61" s="444"/>
      <c r="H61" s="444"/>
      <c r="I61" s="444"/>
      <c r="J61" s="444"/>
      <c r="K61" s="444"/>
      <c r="L61" s="444"/>
      <c r="M61" s="444"/>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3.5" customHeight="1" x14ac:dyDescent="0.3">
      <c r="A62" s="506"/>
      <c r="B62" s="477"/>
      <c r="C62" s="478"/>
      <c r="D62" s="447"/>
      <c r="E62" s="448"/>
      <c r="F62" s="444"/>
      <c r="G62" s="444"/>
      <c r="H62" s="444"/>
      <c r="I62" s="444"/>
      <c r="J62" s="444"/>
      <c r="K62" s="444"/>
      <c r="L62" s="444"/>
      <c r="M62" s="444"/>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3.5" customHeight="1" x14ac:dyDescent="0.3">
      <c r="A63" s="506"/>
      <c r="B63" s="477"/>
      <c r="C63" s="478"/>
      <c r="D63" s="447"/>
      <c r="E63" s="448"/>
      <c r="F63" s="444" t="str">
        <f t="shared" si="10"/>
        <v>No</v>
      </c>
      <c r="G63" s="444" t="str">
        <f t="shared" si="10"/>
        <v>No</v>
      </c>
      <c r="H63" s="444" t="str">
        <f t="shared" si="10"/>
        <v>No</v>
      </c>
      <c r="I63" s="444" t="str">
        <f t="shared" si="10"/>
        <v>No</v>
      </c>
      <c r="J63" s="444" t="str">
        <f t="shared" si="10"/>
        <v>No</v>
      </c>
      <c r="K63" s="444" t="str">
        <f t="shared" si="10"/>
        <v>No</v>
      </c>
      <c r="L63" s="444" t="str">
        <f t="shared" si="10"/>
        <v>No</v>
      </c>
      <c r="M63" s="444" t="str">
        <f t="shared" si="10"/>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3.5" customHeight="1" x14ac:dyDescent="0.3">
      <c r="A64" s="506"/>
      <c r="B64" s="477"/>
      <c r="C64" s="478"/>
      <c r="D64" s="447"/>
      <c r="E64" s="448"/>
      <c r="F64" s="444"/>
      <c r="G64" s="444"/>
      <c r="H64" s="444"/>
      <c r="I64" s="444"/>
      <c r="J64" s="444"/>
      <c r="K64" s="444"/>
      <c r="L64" s="444"/>
      <c r="M64" s="444"/>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3.5" customHeight="1" x14ac:dyDescent="0.3">
      <c r="A65" s="506"/>
      <c r="B65" s="477"/>
      <c r="C65" s="478"/>
      <c r="D65" s="447"/>
      <c r="E65" s="448"/>
      <c r="F65" s="444"/>
      <c r="G65" s="444"/>
      <c r="H65" s="444"/>
      <c r="I65" s="444"/>
      <c r="J65" s="444"/>
      <c r="K65" s="444"/>
      <c r="L65" s="444"/>
      <c r="M65" s="444"/>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3.5" customHeight="1" x14ac:dyDescent="0.3">
      <c r="A66" s="506"/>
      <c r="B66" s="477"/>
      <c r="C66" s="478"/>
      <c r="D66" s="447"/>
      <c r="E66" s="448"/>
      <c r="F66" s="444" t="str">
        <f t="shared" si="10"/>
        <v>No</v>
      </c>
      <c r="G66" s="444" t="str">
        <f t="shared" si="10"/>
        <v>No</v>
      </c>
      <c r="H66" s="444" t="str">
        <f t="shared" si="10"/>
        <v>No</v>
      </c>
      <c r="I66" s="444" t="str">
        <f t="shared" si="10"/>
        <v>No</v>
      </c>
      <c r="J66" s="444" t="str">
        <f t="shared" si="10"/>
        <v>No</v>
      </c>
      <c r="K66" s="444" t="str">
        <f t="shared" si="10"/>
        <v>No</v>
      </c>
      <c r="L66" s="444" t="str">
        <f t="shared" si="10"/>
        <v>No</v>
      </c>
      <c r="M66" s="444" t="str">
        <f t="shared" si="10"/>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3.5" customHeight="1" x14ac:dyDescent="0.3">
      <c r="A67" s="506"/>
      <c r="B67" s="477"/>
      <c r="C67" s="478"/>
      <c r="D67" s="447"/>
      <c r="E67" s="448"/>
      <c r="F67" s="444"/>
      <c r="G67" s="444"/>
      <c r="H67" s="444"/>
      <c r="I67" s="444"/>
      <c r="J67" s="444"/>
      <c r="K67" s="444"/>
      <c r="L67" s="444"/>
      <c r="M67" s="444"/>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3.5" customHeight="1" x14ac:dyDescent="0.3">
      <c r="A68" s="506"/>
      <c r="B68" s="477"/>
      <c r="C68" s="478"/>
      <c r="D68" s="447"/>
      <c r="E68" s="448"/>
      <c r="F68" s="444"/>
      <c r="G68" s="444"/>
      <c r="H68" s="444"/>
      <c r="I68" s="444"/>
      <c r="J68" s="444"/>
      <c r="K68" s="444"/>
      <c r="L68" s="444"/>
      <c r="M68" s="444"/>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3.5" customHeight="1" x14ac:dyDescent="0.3">
      <c r="A69" s="506"/>
      <c r="B69" s="477"/>
      <c r="C69" s="478"/>
      <c r="D69" s="447"/>
      <c r="E69" s="448"/>
      <c r="F69" s="444" t="str">
        <f t="shared" si="10"/>
        <v>No</v>
      </c>
      <c r="G69" s="444" t="str">
        <f t="shared" si="10"/>
        <v>No</v>
      </c>
      <c r="H69" s="444" t="str">
        <f t="shared" si="10"/>
        <v>No</v>
      </c>
      <c r="I69" s="444" t="str">
        <f t="shared" si="10"/>
        <v>No</v>
      </c>
      <c r="J69" s="444" t="str">
        <f t="shared" si="10"/>
        <v>No</v>
      </c>
      <c r="K69" s="444" t="str">
        <f t="shared" si="10"/>
        <v>No</v>
      </c>
      <c r="L69" s="444" t="str">
        <f t="shared" si="10"/>
        <v>No</v>
      </c>
      <c r="M69" s="444" t="str">
        <f t="shared" si="10"/>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3.5" customHeight="1" x14ac:dyDescent="0.3">
      <c r="A70" s="506"/>
      <c r="B70" s="477"/>
      <c r="C70" s="478"/>
      <c r="D70" s="447"/>
      <c r="E70" s="448"/>
      <c r="F70" s="444"/>
      <c r="G70" s="444"/>
      <c r="H70" s="444"/>
      <c r="I70" s="444"/>
      <c r="J70" s="444"/>
      <c r="K70" s="444"/>
      <c r="L70" s="444"/>
      <c r="M70" s="444"/>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3.5" customHeight="1" x14ac:dyDescent="0.3">
      <c r="A71" s="506"/>
      <c r="B71" s="477"/>
      <c r="C71" s="478"/>
      <c r="D71" s="447"/>
      <c r="E71" s="448"/>
      <c r="F71" s="444"/>
      <c r="G71" s="444"/>
      <c r="H71" s="444"/>
      <c r="I71" s="444"/>
      <c r="J71" s="444"/>
      <c r="K71" s="444"/>
      <c r="L71" s="444"/>
      <c r="M71" s="444"/>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row r="72" spans="1:70" ht="33.75" x14ac:dyDescent="0.5">
      <c r="A72" s="148"/>
      <c r="B72" s="157"/>
      <c r="C72" s="157"/>
      <c r="D72" s="157"/>
      <c r="E72" s="157"/>
      <c r="F72" s="157"/>
      <c r="G72" s="157"/>
      <c r="H72" s="157"/>
      <c r="I72" s="157"/>
      <c r="J72" s="157"/>
      <c r="K72" s="157"/>
      <c r="L72" s="157"/>
      <c r="M72" s="157"/>
      <c r="N72" s="148"/>
      <c r="O72" s="148"/>
      <c r="P72" s="148"/>
      <c r="Q72" s="148"/>
      <c r="R72" s="148"/>
      <c r="S72" s="148"/>
      <c r="T72" s="148"/>
      <c r="U72" s="148"/>
      <c r="V72" s="148"/>
      <c r="W72" s="148"/>
      <c r="X72" s="148"/>
      <c r="Y72" s="148"/>
      <c r="Z72" s="148"/>
      <c r="AA72" s="148"/>
      <c r="AB72" s="148"/>
      <c r="AC72" s="148"/>
      <c r="AD72" s="148"/>
      <c r="AE72" s="148"/>
      <c r="AF72" s="148"/>
      <c r="AG72" s="148"/>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c r="BI72" s="148"/>
      <c r="BJ72" s="148"/>
      <c r="BK72" s="148"/>
      <c r="BL72" s="148"/>
      <c r="BM72" s="148"/>
      <c r="BN72" s="148"/>
      <c r="BO72" s="148"/>
      <c r="BP72" s="148"/>
      <c r="BQ72" s="148"/>
      <c r="BR72" s="148"/>
    </row>
    <row r="73" spans="1:70"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row>
    <row r="74" spans="1:70"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8"/>
      <c r="BN74" s="148"/>
      <c r="BO74" s="148"/>
      <c r="BP74" s="148"/>
      <c r="BQ74" s="148"/>
      <c r="BR74" s="148"/>
    </row>
    <row r="75" spans="1:70"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row>
    <row r="76" spans="1:70"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c r="BI76" s="148"/>
      <c r="BJ76" s="148"/>
      <c r="BK76" s="148"/>
      <c r="BL76" s="148"/>
      <c r="BM76" s="148"/>
      <c r="BN76" s="148"/>
      <c r="BO76" s="148"/>
      <c r="BP76" s="148"/>
      <c r="BQ76" s="148"/>
      <c r="BR76" s="148"/>
    </row>
    <row r="77" spans="1:70"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c r="BI77" s="148"/>
      <c r="BJ77" s="148"/>
      <c r="BK77" s="148"/>
      <c r="BL77" s="148"/>
      <c r="BM77" s="148"/>
      <c r="BN77" s="148"/>
      <c r="BO77" s="148"/>
      <c r="BP77" s="148"/>
      <c r="BQ77" s="148"/>
      <c r="BR77" s="148"/>
    </row>
    <row r="78" spans="1:70"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c r="AB78" s="148"/>
      <c r="AC78" s="148"/>
      <c r="AD78" s="148"/>
      <c r="AE78" s="148"/>
      <c r="AF78" s="148"/>
      <c r="AG78" s="148"/>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c r="BI78" s="148"/>
      <c r="BJ78" s="148"/>
      <c r="BK78" s="148"/>
      <c r="BL78" s="148"/>
      <c r="BM78" s="148"/>
      <c r="BN78" s="148"/>
      <c r="BO78" s="148"/>
      <c r="BP78" s="148"/>
      <c r="BQ78" s="148"/>
      <c r="BR78" s="148"/>
    </row>
    <row r="79" spans="1:70"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8"/>
      <c r="AD79" s="148"/>
      <c r="AE79" s="148"/>
      <c r="AF79" s="148"/>
      <c r="AG79" s="148"/>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c r="BI79" s="148"/>
      <c r="BJ79" s="148"/>
      <c r="BK79" s="148"/>
      <c r="BL79" s="148"/>
      <c r="BM79" s="148"/>
      <c r="BN79" s="148"/>
      <c r="BO79" s="148"/>
      <c r="BP79" s="148"/>
      <c r="BQ79" s="148"/>
      <c r="BR79" s="148"/>
    </row>
    <row r="80" spans="1:70"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row>
    <row r="81" spans="1:29"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row>
    <row r="82" spans="1:29"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row>
    <row r="83" spans="1:29"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c r="AB83" s="148"/>
      <c r="AC83" s="148"/>
    </row>
    <row r="84" spans="1:29"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c r="AB84" s="148"/>
      <c r="AC84" s="148"/>
    </row>
    <row r="85" spans="1:29"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row>
    <row r="86" spans="1:29"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c r="AB86" s="148"/>
      <c r="AC86" s="148"/>
    </row>
    <row r="87" spans="1:29"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c r="AB87" s="148"/>
      <c r="AC87" s="148"/>
    </row>
    <row r="88" spans="1:29" x14ac:dyDescent="0.3">
      <c r="A88" s="150"/>
      <c r="B88" s="150"/>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row>
    <row r="89" spans="1:29" x14ac:dyDescent="0.3">
      <c r="A89" s="150"/>
      <c r="B89" s="150"/>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c r="AB89" s="148"/>
      <c r="AC89" s="148"/>
    </row>
    <row r="90" spans="1:29" x14ac:dyDescent="0.3">
      <c r="A90" s="150"/>
      <c r="B90" s="150"/>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c r="AB90" s="148"/>
      <c r="AC90" s="148"/>
    </row>
    <row r="91" spans="1:29" x14ac:dyDescent="0.3">
      <c r="A91" s="148"/>
      <c r="B91" s="148"/>
      <c r="C91" s="148"/>
      <c r="D91" s="148"/>
      <c r="E91" s="148"/>
      <c r="F91" s="148"/>
      <c r="G91" s="148"/>
      <c r="H91" s="148"/>
      <c r="I91" s="148"/>
      <c r="J91" s="148"/>
      <c r="K91" s="148"/>
      <c r="L91" s="148"/>
      <c r="M91" s="148"/>
    </row>
  </sheetData>
  <sheetProtection algorithmName="SHA-512" hashValue="EgiMjHiaP0BQiOVWl69icRb0arvWuvMt6Ht12N3zSZkpORIs9Q3ZDG/xLMKLz7wEdfC/dFJA5aWxfFggr/NeJQ==" saltValue="pwoQO/+XEV+ThwJkYs0FwQ==" spinCount="100000" sheet="1" objects="1" scenarios="1"/>
  <mergeCells count="255">
    <mergeCell ref="M36:M38"/>
    <mergeCell ref="K27:K29"/>
    <mergeCell ref="L27:L29"/>
    <mergeCell ref="M27:M29"/>
    <mergeCell ref="K12:K14"/>
    <mergeCell ref="L12:L14"/>
    <mergeCell ref="K15:K17"/>
    <mergeCell ref="L15:L17"/>
    <mergeCell ref="M15:M17"/>
    <mergeCell ref="K18:K20"/>
    <mergeCell ref="L18:L20"/>
    <mergeCell ref="M18:M20"/>
    <mergeCell ref="M30:M32"/>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B33:B35"/>
    <mergeCell ref="C33:C35"/>
    <mergeCell ref="E33:E35"/>
    <mergeCell ref="F33:F35"/>
    <mergeCell ref="G33:G35"/>
    <mergeCell ref="H33:H35"/>
    <mergeCell ref="I33:I35"/>
    <mergeCell ref="J33:J35"/>
    <mergeCell ref="D33:D35"/>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B42:B44"/>
    <mergeCell ref="C42:C44"/>
    <mergeCell ref="D42:D44"/>
    <mergeCell ref="E42:E44"/>
    <mergeCell ref="B45:B47"/>
    <mergeCell ref="C45:C47"/>
    <mergeCell ref="D45:D47"/>
    <mergeCell ref="E45:E47"/>
    <mergeCell ref="B48:B50"/>
    <mergeCell ref="C48:C50"/>
    <mergeCell ref="D48:D50"/>
    <mergeCell ref="E48:E50"/>
    <mergeCell ref="B51:B53"/>
    <mergeCell ref="C51:C53"/>
    <mergeCell ref="D51:D53"/>
    <mergeCell ref="E51:E53"/>
    <mergeCell ref="B54:B56"/>
    <mergeCell ref="C54:C56"/>
    <mergeCell ref="D54:D56"/>
    <mergeCell ref="E54:E56"/>
    <mergeCell ref="B57:B59"/>
    <mergeCell ref="C57:C59"/>
    <mergeCell ref="D57:D59"/>
    <mergeCell ref="E57:E59"/>
    <mergeCell ref="B60:B62"/>
    <mergeCell ref="C60:C62"/>
    <mergeCell ref="D60:D62"/>
    <mergeCell ref="E60:E62"/>
    <mergeCell ref="B63:B65"/>
    <mergeCell ref="C63:C65"/>
    <mergeCell ref="D63:D65"/>
    <mergeCell ref="E63:E65"/>
    <mergeCell ref="B66:B68"/>
    <mergeCell ref="C66:C68"/>
    <mergeCell ref="D66:D68"/>
    <mergeCell ref="E66:E68"/>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K42:K44"/>
    <mergeCell ref="L42:L44"/>
    <mergeCell ref="M42:M44"/>
    <mergeCell ref="F45:F47"/>
    <mergeCell ref="G45:G47"/>
    <mergeCell ref="H45:H47"/>
    <mergeCell ref="I45:I47"/>
    <mergeCell ref="J45:J47"/>
    <mergeCell ref="K45:K47"/>
    <mergeCell ref="L45:L47"/>
    <mergeCell ref="M45:M47"/>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s>
  <conditionalFormatting sqref="F12:M71">
    <cfRule type="containsText" dxfId="2"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592" t="s">
        <v>127</v>
      </c>
      <c r="C2" s="592"/>
      <c r="D2" s="592"/>
      <c r="E2" s="592"/>
      <c r="F2" s="592"/>
      <c r="G2" s="592"/>
      <c r="H2" s="592"/>
      <c r="I2" s="592"/>
      <c r="J2" s="566" t="s">
        <v>15</v>
      </c>
      <c r="K2" s="566"/>
      <c r="L2" s="566"/>
      <c r="M2" s="566"/>
      <c r="N2" s="566"/>
      <c r="O2" s="566"/>
      <c r="P2" s="566"/>
      <c r="Q2" s="566"/>
      <c r="R2" s="566"/>
      <c r="S2" s="566"/>
      <c r="T2" s="566"/>
      <c r="U2" s="566"/>
      <c r="V2" s="566"/>
      <c r="W2" s="566"/>
      <c r="X2" s="566"/>
      <c r="Y2" s="566"/>
      <c r="Z2" s="566"/>
      <c r="AA2" s="566"/>
      <c r="AB2" s="566"/>
      <c r="AC2" s="566"/>
      <c r="AD2" s="566"/>
      <c r="AE2" s="566"/>
      <c r="AF2" s="566"/>
      <c r="AG2" s="566"/>
      <c r="AH2" s="566"/>
      <c r="AI2" s="566"/>
      <c r="AJ2" s="566"/>
      <c r="AK2" s="566"/>
      <c r="AL2" s="566"/>
      <c r="AM2" s="566"/>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592"/>
      <c r="C3" s="592"/>
      <c r="D3" s="592"/>
      <c r="E3" s="592"/>
      <c r="F3" s="592"/>
      <c r="G3" s="592"/>
      <c r="H3" s="592"/>
      <c r="I3" s="592"/>
      <c r="J3" s="566"/>
      <c r="K3" s="566"/>
      <c r="L3" s="566"/>
      <c r="M3" s="566"/>
      <c r="N3" s="566"/>
      <c r="O3" s="566"/>
      <c r="P3" s="566"/>
      <c r="Q3" s="566"/>
      <c r="R3" s="566"/>
      <c r="S3" s="566"/>
      <c r="T3" s="566"/>
      <c r="U3" s="566"/>
      <c r="V3" s="566"/>
      <c r="W3" s="566"/>
      <c r="X3" s="566"/>
      <c r="Y3" s="566"/>
      <c r="Z3" s="566"/>
      <c r="AA3" s="566"/>
      <c r="AB3" s="566"/>
      <c r="AC3" s="566"/>
      <c r="AD3" s="566"/>
      <c r="AE3" s="566"/>
      <c r="AF3" s="566"/>
      <c r="AG3" s="566"/>
      <c r="AH3" s="566"/>
      <c r="AI3" s="566"/>
      <c r="AJ3" s="566"/>
      <c r="AK3" s="566"/>
      <c r="AL3" s="566"/>
      <c r="AM3" s="566"/>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592"/>
      <c r="C4" s="592"/>
      <c r="D4" s="592"/>
      <c r="E4" s="592"/>
      <c r="F4" s="592"/>
      <c r="G4" s="592"/>
      <c r="H4" s="592"/>
      <c r="I4" s="592"/>
      <c r="J4" s="566"/>
      <c r="K4" s="566"/>
      <c r="L4" s="566"/>
      <c r="M4" s="566"/>
      <c r="N4" s="566"/>
      <c r="O4" s="566"/>
      <c r="P4" s="566"/>
      <c r="Q4" s="566"/>
      <c r="R4" s="566"/>
      <c r="S4" s="566"/>
      <c r="T4" s="566"/>
      <c r="U4" s="566"/>
      <c r="V4" s="566"/>
      <c r="W4" s="566"/>
      <c r="X4" s="566"/>
      <c r="Y4" s="566"/>
      <c r="Z4" s="566"/>
      <c r="AA4" s="566"/>
      <c r="AB4" s="566"/>
      <c r="AC4" s="566"/>
      <c r="AD4" s="566"/>
      <c r="AE4" s="566"/>
      <c r="AF4" s="566"/>
      <c r="AG4" s="566"/>
      <c r="AH4" s="566"/>
      <c r="AI4" s="566"/>
      <c r="AJ4" s="566"/>
      <c r="AK4" s="566"/>
      <c r="AL4" s="566"/>
      <c r="AM4" s="566"/>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18" t="s">
        <v>128</v>
      </c>
      <c r="C6" s="518"/>
      <c r="D6" s="519"/>
      <c r="E6" s="507" t="s">
        <v>129</v>
      </c>
      <c r="F6" s="508"/>
      <c r="G6" s="508"/>
      <c r="H6" s="508"/>
      <c r="I6" s="509"/>
      <c r="J6" s="562" t="str">
        <f ca="1">IF(AND('Mapa final'!$P$13="Muy Alta",'Mapa final'!$T$13="Leve"),CONCATENATE("R",'Mapa final'!$A$13),"")</f>
        <v/>
      </c>
      <c r="K6" s="563"/>
      <c r="L6" s="563" t="str">
        <f ca="1">IF(AND('Mapa final'!$P$15="Muy Alta",'Mapa final'!$T$15="Leve"),CONCATENATE("R",'Mapa final'!$A$15),"")</f>
        <v/>
      </c>
      <c r="M6" s="563"/>
      <c r="N6" s="563" t="str">
        <f ca="1">IF(AND('Mapa final'!$P$17="Muy Alta",'Mapa final'!$T$17="Leve"),CONCATENATE("R",'Mapa final'!$A$17),"")</f>
        <v/>
      </c>
      <c r="O6" s="565"/>
      <c r="P6" s="562" t="str">
        <f ca="1">IF(AND('Mapa final'!$P$13="Muy Alta",'Mapa final'!$T$13="Menor"),CONCATENATE("R",'Mapa final'!$A$13),"")</f>
        <v/>
      </c>
      <c r="Q6" s="563"/>
      <c r="R6" s="563" t="str">
        <f ca="1">IF(AND('Mapa final'!$P$15="Muy Alta",'Mapa final'!$T$15="Menor"),CONCATENATE("R",'Mapa final'!$A$15),"")</f>
        <v/>
      </c>
      <c r="S6" s="563"/>
      <c r="T6" s="563" t="str">
        <f ca="1">IF(AND('Mapa final'!$P$17="Muy Alta",'Mapa final'!$T$17="Menor"),CONCATENATE("R",'Mapa final'!$A$17),"")</f>
        <v/>
      </c>
      <c r="U6" s="565"/>
      <c r="V6" s="562" t="str">
        <f ca="1">IF(AND('Mapa final'!$P$13="Muy Alta",'Mapa final'!$T$13="Moderado"),CONCATENATE("R",'Mapa final'!$A$13),"")</f>
        <v/>
      </c>
      <c r="W6" s="563"/>
      <c r="X6" s="563" t="str">
        <f ca="1">IF(AND('Mapa final'!$P$15="Muy Alta",'Mapa final'!$T$15="Moderado"),CONCATENATE("R",'Mapa final'!$A$15),"")</f>
        <v/>
      </c>
      <c r="Y6" s="563"/>
      <c r="Z6" s="563" t="str">
        <f ca="1">IF(AND('Mapa final'!$P$17="Muy Alta",'Mapa final'!$T$17="Moderado"),CONCATENATE("R",'Mapa final'!$A$17),"")</f>
        <v/>
      </c>
      <c r="AA6" s="565"/>
      <c r="AB6" s="562" t="str">
        <f ca="1">IF(AND('Mapa final'!$P$13="Muy Alta",'Mapa final'!$T$13="Mayor"),CONCATENATE("R",'Mapa final'!$A$13),"")</f>
        <v/>
      </c>
      <c r="AC6" s="563"/>
      <c r="AD6" s="563" t="str">
        <f ca="1">IF(AND('Mapa final'!$P$15="Muy Alta",'Mapa final'!$T$15="Mayor"),CONCATENATE("R",'Mapa final'!$A$15),"")</f>
        <v/>
      </c>
      <c r="AE6" s="563"/>
      <c r="AF6" s="563" t="str">
        <f ca="1">IF(AND('Mapa final'!$P$17="Muy Alta",'Mapa final'!$T$17="Mayor"),CONCATENATE("R",'Mapa final'!$A$17),"")</f>
        <v/>
      </c>
      <c r="AG6" s="565"/>
      <c r="AH6" s="577" t="str">
        <f ca="1">IF(AND('Mapa final'!$P$13="Muy Alta",'Mapa final'!$T$13="Catastrófico"),CONCATENATE("R",'Mapa final'!$A$13),"")</f>
        <v/>
      </c>
      <c r="AI6" s="578"/>
      <c r="AJ6" s="578" t="str">
        <f ca="1">IF(AND('Mapa final'!$P$15="Muy Alta",'Mapa final'!$T$15="Catastrófico"),CONCATENATE("R",'Mapa final'!$A$15),"")</f>
        <v/>
      </c>
      <c r="AK6" s="578"/>
      <c r="AL6" s="578" t="str">
        <f ca="1">IF(AND('Mapa final'!$P$17="Muy Alta",'Mapa final'!$T$17="Catastrófico"),CONCATENATE("R",'Mapa final'!$A$17),"")</f>
        <v/>
      </c>
      <c r="AM6" s="579"/>
      <c r="AO6" s="526" t="s">
        <v>130</v>
      </c>
      <c r="AP6" s="527"/>
      <c r="AQ6" s="527"/>
      <c r="AR6" s="527"/>
      <c r="AS6" s="527"/>
      <c r="AT6" s="528"/>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18"/>
      <c r="C7" s="518"/>
      <c r="D7" s="519"/>
      <c r="E7" s="510"/>
      <c r="F7" s="511"/>
      <c r="G7" s="511"/>
      <c r="H7" s="511"/>
      <c r="I7" s="512"/>
      <c r="J7" s="564"/>
      <c r="K7" s="516"/>
      <c r="L7" s="516"/>
      <c r="M7" s="516"/>
      <c r="N7" s="516"/>
      <c r="O7" s="517"/>
      <c r="P7" s="564"/>
      <c r="Q7" s="516"/>
      <c r="R7" s="516"/>
      <c r="S7" s="516"/>
      <c r="T7" s="516"/>
      <c r="U7" s="517"/>
      <c r="V7" s="564"/>
      <c r="W7" s="516"/>
      <c r="X7" s="516"/>
      <c r="Y7" s="516"/>
      <c r="Z7" s="516"/>
      <c r="AA7" s="517"/>
      <c r="AB7" s="564"/>
      <c r="AC7" s="516"/>
      <c r="AD7" s="516"/>
      <c r="AE7" s="516"/>
      <c r="AF7" s="516"/>
      <c r="AG7" s="517"/>
      <c r="AH7" s="571"/>
      <c r="AI7" s="572"/>
      <c r="AJ7" s="572"/>
      <c r="AK7" s="572"/>
      <c r="AL7" s="572"/>
      <c r="AM7" s="573"/>
      <c r="AN7" s="69"/>
      <c r="AO7" s="529"/>
      <c r="AP7" s="530"/>
      <c r="AQ7" s="530"/>
      <c r="AR7" s="530"/>
      <c r="AS7" s="530"/>
      <c r="AT7" s="531"/>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18"/>
      <c r="C8" s="518"/>
      <c r="D8" s="519"/>
      <c r="E8" s="510"/>
      <c r="F8" s="511"/>
      <c r="G8" s="511"/>
      <c r="H8" s="511"/>
      <c r="I8" s="512"/>
      <c r="J8" s="564" t="str">
        <f ca="1">IF(AND('Mapa final'!$P$20="Muy Alta",'Mapa final'!$T$20="Leve"),CONCATENATE("R",'Mapa final'!$A$20),"")</f>
        <v/>
      </c>
      <c r="K8" s="516"/>
      <c r="L8" s="516" t="str">
        <f ca="1">IF(AND('Mapa final'!$P$22="Muy Alta",'Mapa final'!$T$22="Leve"),CONCATENATE("R",'Mapa final'!$A$22),"")</f>
        <v/>
      </c>
      <c r="M8" s="516"/>
      <c r="N8" s="516" t="str">
        <f ca="1">IF(AND('Mapa final'!$P$25="Muy Alta",'Mapa final'!$T$25="Leve"),CONCATENATE("R",'Mapa final'!$A$25),"")</f>
        <v/>
      </c>
      <c r="O8" s="517"/>
      <c r="P8" s="564" t="str">
        <f ca="1">IF(AND('Mapa final'!$P$20="Muy Alta",'Mapa final'!$T$20="Menor"),CONCATENATE("R",'Mapa final'!$A$20),"")</f>
        <v/>
      </c>
      <c r="Q8" s="516"/>
      <c r="R8" s="516" t="str">
        <f ca="1">IF(AND('Mapa final'!$P$22="Muy Alta",'Mapa final'!$T$22="Menor"),CONCATENATE("R",'Mapa final'!$A$22),"")</f>
        <v/>
      </c>
      <c r="S8" s="516"/>
      <c r="T8" s="516" t="str">
        <f ca="1">IF(AND('Mapa final'!$P$25="Muy Alta",'Mapa final'!$T$25="Menor"),CONCATENATE("R",'Mapa final'!$A$25),"")</f>
        <v/>
      </c>
      <c r="U8" s="517"/>
      <c r="V8" s="564" t="str">
        <f ca="1">IF(AND('Mapa final'!$P$20="Muy Alta",'Mapa final'!$T$20="Moderado"),CONCATENATE("R",'Mapa final'!$A$20),"")</f>
        <v/>
      </c>
      <c r="W8" s="516"/>
      <c r="X8" s="516" t="str">
        <f ca="1">IF(AND('Mapa final'!$P$22="Muy Alta",'Mapa final'!$T$22="Moderado"),CONCATENATE("R",'Mapa final'!$A$22),"")</f>
        <v/>
      </c>
      <c r="Y8" s="516"/>
      <c r="Z8" s="516" t="str">
        <f ca="1">IF(AND('Mapa final'!$P$25="Muy Alta",'Mapa final'!$T$25="Moderado"),CONCATENATE("R",'Mapa final'!$A$25),"")</f>
        <v/>
      </c>
      <c r="AA8" s="517"/>
      <c r="AB8" s="564" t="str">
        <f ca="1">IF(AND('Mapa final'!$P$20="Muy Alta",'Mapa final'!$T$20="Mayor"),CONCATENATE("R",'Mapa final'!$A$20),"")</f>
        <v/>
      </c>
      <c r="AC8" s="516"/>
      <c r="AD8" s="516" t="str">
        <f ca="1">IF(AND('Mapa final'!$P$22="Muy Alta",'Mapa final'!$T$22="Mayor"),CONCATENATE("R",'Mapa final'!$A$22),"")</f>
        <v/>
      </c>
      <c r="AE8" s="516"/>
      <c r="AF8" s="516" t="str">
        <f ca="1">IF(AND('Mapa final'!$P$25="Muy Alta",'Mapa final'!$T$25="Mayor"),CONCATENATE("R",'Mapa final'!$A$25),"")</f>
        <v/>
      </c>
      <c r="AG8" s="517"/>
      <c r="AH8" s="571" t="str">
        <f ca="1">IF(AND('Mapa final'!$P$20="Muy Alta",'Mapa final'!$T$20="Catastrófico"),CONCATENATE("R",'Mapa final'!$A$20),"")</f>
        <v/>
      </c>
      <c r="AI8" s="572"/>
      <c r="AJ8" s="572" t="str">
        <f ca="1">IF(AND('Mapa final'!$P$22="Muy Alta",'Mapa final'!$T$22="Catastrófico"),CONCATENATE("R",'Mapa final'!$A$22),"")</f>
        <v/>
      </c>
      <c r="AK8" s="572"/>
      <c r="AL8" s="572" t="str">
        <f ca="1">IF(AND('Mapa final'!$P$25="Muy Alta",'Mapa final'!$T$25="Catastrófico"),CONCATENATE("R",'Mapa final'!$A$25),"")</f>
        <v/>
      </c>
      <c r="AM8" s="573"/>
      <c r="AN8" s="69"/>
      <c r="AO8" s="529"/>
      <c r="AP8" s="530"/>
      <c r="AQ8" s="530"/>
      <c r="AR8" s="530"/>
      <c r="AS8" s="530"/>
      <c r="AT8" s="531"/>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18"/>
      <c r="C9" s="518"/>
      <c r="D9" s="519"/>
      <c r="E9" s="510"/>
      <c r="F9" s="511"/>
      <c r="G9" s="511"/>
      <c r="H9" s="511"/>
      <c r="I9" s="512"/>
      <c r="J9" s="564"/>
      <c r="K9" s="516"/>
      <c r="L9" s="516"/>
      <c r="M9" s="516"/>
      <c r="N9" s="516"/>
      <c r="O9" s="517"/>
      <c r="P9" s="564"/>
      <c r="Q9" s="516"/>
      <c r="R9" s="516"/>
      <c r="S9" s="516"/>
      <c r="T9" s="516"/>
      <c r="U9" s="517"/>
      <c r="V9" s="564"/>
      <c r="W9" s="516"/>
      <c r="X9" s="516"/>
      <c r="Y9" s="516"/>
      <c r="Z9" s="516"/>
      <c r="AA9" s="517"/>
      <c r="AB9" s="564"/>
      <c r="AC9" s="516"/>
      <c r="AD9" s="516"/>
      <c r="AE9" s="516"/>
      <c r="AF9" s="516"/>
      <c r="AG9" s="517"/>
      <c r="AH9" s="571"/>
      <c r="AI9" s="572"/>
      <c r="AJ9" s="572"/>
      <c r="AK9" s="572"/>
      <c r="AL9" s="572"/>
      <c r="AM9" s="573"/>
      <c r="AN9" s="69"/>
      <c r="AO9" s="529"/>
      <c r="AP9" s="530"/>
      <c r="AQ9" s="530"/>
      <c r="AR9" s="530"/>
      <c r="AS9" s="530"/>
      <c r="AT9" s="531"/>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18"/>
      <c r="C10" s="518"/>
      <c r="D10" s="519"/>
      <c r="E10" s="510"/>
      <c r="F10" s="511"/>
      <c r="G10" s="511"/>
      <c r="H10" s="511"/>
      <c r="I10" s="512"/>
      <c r="J10" s="564" t="str">
        <f ca="1">IF(AND('Mapa final'!$P$27="Muy Alta",'Mapa final'!$T$27="Leve"),CONCATENATE("R",'Mapa final'!$B$27),"")</f>
        <v/>
      </c>
      <c r="K10" s="516"/>
      <c r="L10" s="516" t="str">
        <f ca="1">IF(AND('Mapa final'!$P$29="Muy Alta",'Mapa final'!$T$29="Leve"),CONCATENATE("R",'Mapa final'!$A$29),"")</f>
        <v/>
      </c>
      <c r="M10" s="516"/>
      <c r="N10" s="516" t="str">
        <f ca="1">IF(AND('Mapa final'!$P$33="Muy Alta",'Mapa final'!$T$33="Leve"),CONCATENATE("R",'Mapa final'!$A$33),"")</f>
        <v/>
      </c>
      <c r="O10" s="517"/>
      <c r="P10" s="564" t="str">
        <f ca="1">IF(AND('Mapa final'!$P$27="Muy Alta",'Mapa final'!$T$27="Menor"),CONCATENATE("R",'Mapa final'!$B$27),"")</f>
        <v/>
      </c>
      <c r="Q10" s="516"/>
      <c r="R10" s="516" t="str">
        <f ca="1">IF(AND('Mapa final'!$P$29="Muy Alta",'Mapa final'!$T$29="Menor"),CONCATENATE("R",'Mapa final'!$A$29),"")</f>
        <v/>
      </c>
      <c r="S10" s="516"/>
      <c r="T10" s="516" t="str">
        <f ca="1">IF(AND('Mapa final'!$P$33="Muy Alta",'Mapa final'!$T$33="Menor"),CONCATENATE("R",'Mapa final'!$A$33),"")</f>
        <v/>
      </c>
      <c r="U10" s="517"/>
      <c r="V10" s="564" t="str">
        <f ca="1">IF(AND('Mapa final'!$P$27="Muy Alta",'Mapa final'!$T$27="Moderado"),CONCATENATE("R",'Mapa final'!$B$27),"")</f>
        <v/>
      </c>
      <c r="W10" s="516"/>
      <c r="X10" s="516" t="str">
        <f ca="1">IF(AND('Mapa final'!$P$29="Muy Alta",'Mapa final'!$T$29="Moderado"),CONCATENATE("R",'Mapa final'!$A$29),"")</f>
        <v>R8</v>
      </c>
      <c r="Y10" s="516"/>
      <c r="Z10" s="516" t="str">
        <f ca="1">IF(AND('Mapa final'!$P$33="Muy Alta",'Mapa final'!$T$33="Moderado"),CONCATENATE("R",'Mapa final'!$A$33),"")</f>
        <v/>
      </c>
      <c r="AA10" s="517"/>
      <c r="AB10" s="564" t="str">
        <f ca="1">IF(AND('Mapa final'!$P$27="Muy Alta",'Mapa final'!$T$27="Mayor"),CONCATENATE("R",'Mapa final'!$B$27),"")</f>
        <v/>
      </c>
      <c r="AC10" s="516"/>
      <c r="AD10" s="516" t="str">
        <f ca="1">IF(AND('Mapa final'!$P$29="Muy Alta",'Mapa final'!$T$29="Mayor"),CONCATENATE("R",'Mapa final'!$A$29),"")</f>
        <v/>
      </c>
      <c r="AE10" s="516"/>
      <c r="AF10" s="516" t="str">
        <f ca="1">IF(AND('Mapa final'!$P$33="Muy Alta",'Mapa final'!$T$33="Mayor"),CONCATENATE("R",'Mapa final'!$A$33),"")</f>
        <v/>
      </c>
      <c r="AG10" s="517"/>
      <c r="AH10" s="571" t="str">
        <f ca="1">IF(AND('Mapa final'!$P$27="Muy Alta",'Mapa final'!$T$27="Catastrófico"),CONCATENATE("R",'Mapa final'!$B$27),"")</f>
        <v/>
      </c>
      <c r="AI10" s="572"/>
      <c r="AJ10" s="572" t="str">
        <f ca="1">IF(AND('Mapa final'!$P$29="Muy Alta",'Mapa final'!$T$29="Catastrófico"),CONCATENATE("R",'Mapa final'!$A$29),"")</f>
        <v/>
      </c>
      <c r="AK10" s="572"/>
      <c r="AL10" s="572" t="str">
        <f ca="1">IF(AND('Mapa final'!$P$33="Muy Alta",'Mapa final'!$T$33="Catastrófico"),CONCATENATE("R",'Mapa final'!$A$33),"")</f>
        <v/>
      </c>
      <c r="AM10" s="573"/>
      <c r="AN10" s="69"/>
      <c r="AO10" s="529"/>
      <c r="AP10" s="530"/>
      <c r="AQ10" s="530"/>
      <c r="AR10" s="530"/>
      <c r="AS10" s="530"/>
      <c r="AT10" s="531"/>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18"/>
      <c r="C11" s="518"/>
      <c r="D11" s="519"/>
      <c r="E11" s="510"/>
      <c r="F11" s="511"/>
      <c r="G11" s="511"/>
      <c r="H11" s="511"/>
      <c r="I11" s="512"/>
      <c r="J11" s="564"/>
      <c r="K11" s="516"/>
      <c r="L11" s="516"/>
      <c r="M11" s="516"/>
      <c r="N11" s="516"/>
      <c r="O11" s="517"/>
      <c r="P11" s="564"/>
      <c r="Q11" s="516"/>
      <c r="R11" s="516"/>
      <c r="S11" s="516"/>
      <c r="T11" s="516"/>
      <c r="U11" s="517"/>
      <c r="V11" s="564"/>
      <c r="W11" s="516"/>
      <c r="X11" s="516"/>
      <c r="Y11" s="516"/>
      <c r="Z11" s="516"/>
      <c r="AA11" s="517"/>
      <c r="AB11" s="564"/>
      <c r="AC11" s="516"/>
      <c r="AD11" s="516"/>
      <c r="AE11" s="516"/>
      <c r="AF11" s="516"/>
      <c r="AG11" s="517"/>
      <c r="AH11" s="571"/>
      <c r="AI11" s="572"/>
      <c r="AJ11" s="572"/>
      <c r="AK11" s="572"/>
      <c r="AL11" s="572"/>
      <c r="AM11" s="573"/>
      <c r="AN11" s="69"/>
      <c r="AO11" s="529"/>
      <c r="AP11" s="530"/>
      <c r="AQ11" s="530"/>
      <c r="AR11" s="530"/>
      <c r="AS11" s="530"/>
      <c r="AT11" s="531"/>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18"/>
      <c r="C12" s="518"/>
      <c r="D12" s="519"/>
      <c r="E12" s="510"/>
      <c r="F12" s="511"/>
      <c r="G12" s="511"/>
      <c r="H12" s="511"/>
      <c r="I12" s="512"/>
      <c r="J12" s="564" t="str">
        <f ca="1">IF(AND('Mapa final'!$P$38="Muy Alta",'Mapa final'!$T$38="Leve"),CONCATENATE("R",'Mapa final'!$A$38),"")</f>
        <v/>
      </c>
      <c r="K12" s="516"/>
      <c r="L12" s="516" t="str">
        <f>IF(AND('Mapa final'!$P$248="Muy Alta",'Mapa final'!$T$248="Leve"),CONCATENATE("R",'Mapa final'!$A$248),"")</f>
        <v/>
      </c>
      <c r="M12" s="516"/>
      <c r="N12" s="516" t="str">
        <f>IF(AND('Mapa final'!$P$254="Muy Alta",'Mapa final'!$T$254="Leve"),CONCATENATE("R",'Mapa final'!$A$254),"")</f>
        <v/>
      </c>
      <c r="O12" s="517"/>
      <c r="P12" s="564" t="str">
        <f ca="1">IF(AND('Mapa final'!$P$38="Muy Alta",'Mapa final'!$T$38="Menor"),CONCATENATE("R",'Mapa final'!$A$38),"")</f>
        <v/>
      </c>
      <c r="Q12" s="516"/>
      <c r="R12" s="516" t="str">
        <f>IF(AND('Mapa final'!$P$248="Muy Alta",'Mapa final'!$T$248="Menor"),CONCATENATE("R",'Mapa final'!$A$248),"")</f>
        <v/>
      </c>
      <c r="S12" s="516"/>
      <c r="T12" s="516" t="str">
        <f>IF(AND('Mapa final'!$P$254="Muy Alta",'Mapa final'!$T$254="Menor"),CONCATENATE("R",'Mapa final'!$A$254),"")</f>
        <v/>
      </c>
      <c r="U12" s="517"/>
      <c r="V12" s="564" t="str">
        <f ca="1">IF(AND('Mapa final'!$P$38="Muy Alta",'Mapa final'!$T$38="Moderado"),CONCATENATE("R",'Mapa final'!$A$38),"")</f>
        <v/>
      </c>
      <c r="W12" s="516"/>
      <c r="X12" s="516" t="str">
        <f>IF(AND('Mapa final'!$P$248="Muy Alta",'Mapa final'!$T$248="Moderado"),CONCATENATE("R",'Mapa final'!$A$248),"")</f>
        <v/>
      </c>
      <c r="Y12" s="516"/>
      <c r="Z12" s="516" t="str">
        <f>IF(AND('Mapa final'!$P$254="Muy Alta",'Mapa final'!$T$254="Moderado"),CONCATENATE("R",'Mapa final'!$A$254),"")</f>
        <v/>
      </c>
      <c r="AA12" s="517"/>
      <c r="AB12" s="564" t="str">
        <f ca="1">IF(AND('Mapa final'!$P$38="Muy Alta",'Mapa final'!$T$38="Mayor"),CONCATENATE("R",'Mapa final'!$A$38),"")</f>
        <v>R10</v>
      </c>
      <c r="AC12" s="516"/>
      <c r="AD12" s="516" t="str">
        <f>IF(AND('Mapa final'!$P$248="Muy Alta",'Mapa final'!$T$248="Mayor"),CONCATENATE("R",'Mapa final'!$A$248),"")</f>
        <v/>
      </c>
      <c r="AE12" s="516"/>
      <c r="AF12" s="516" t="str">
        <f>IF(AND('Mapa final'!$P$254="Muy Alta",'Mapa final'!$T$254="Mayor"),CONCATENATE("R",'Mapa final'!$A$254),"")</f>
        <v/>
      </c>
      <c r="AG12" s="517"/>
      <c r="AH12" s="571" t="str">
        <f ca="1">IF(AND('Mapa final'!$P$38="Muy Alta",'Mapa final'!$T$38="Catastrófico"),CONCATENATE("R",'Mapa final'!$A$38),"")</f>
        <v/>
      </c>
      <c r="AI12" s="572"/>
      <c r="AJ12" s="572" t="str">
        <f>IF(AND('Mapa final'!$P$248="Muy Alta",'Mapa final'!$T$248="Catastrófico"),CONCATENATE("R",'Mapa final'!$A$248),"")</f>
        <v/>
      </c>
      <c r="AK12" s="572"/>
      <c r="AL12" s="572" t="str">
        <f>IF(AND('Mapa final'!$P$254="Muy Alta",'Mapa final'!$T$254="Catastrófico"),CONCATENATE("R",'Mapa final'!$A$254),"")</f>
        <v/>
      </c>
      <c r="AM12" s="573"/>
      <c r="AN12" s="69"/>
      <c r="AO12" s="529"/>
      <c r="AP12" s="530"/>
      <c r="AQ12" s="530"/>
      <c r="AR12" s="530"/>
      <c r="AS12" s="530"/>
      <c r="AT12" s="531"/>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18"/>
      <c r="C13" s="518"/>
      <c r="D13" s="519"/>
      <c r="E13" s="513"/>
      <c r="F13" s="514"/>
      <c r="G13" s="514"/>
      <c r="H13" s="514"/>
      <c r="I13" s="515"/>
      <c r="J13" s="564"/>
      <c r="K13" s="516"/>
      <c r="L13" s="516"/>
      <c r="M13" s="516"/>
      <c r="N13" s="516"/>
      <c r="O13" s="517"/>
      <c r="P13" s="564"/>
      <c r="Q13" s="516"/>
      <c r="R13" s="516"/>
      <c r="S13" s="516"/>
      <c r="T13" s="516"/>
      <c r="U13" s="517"/>
      <c r="V13" s="564"/>
      <c r="W13" s="516"/>
      <c r="X13" s="516"/>
      <c r="Y13" s="516"/>
      <c r="Z13" s="516"/>
      <c r="AA13" s="517"/>
      <c r="AB13" s="564"/>
      <c r="AC13" s="516"/>
      <c r="AD13" s="516"/>
      <c r="AE13" s="516"/>
      <c r="AF13" s="516"/>
      <c r="AG13" s="517"/>
      <c r="AH13" s="574"/>
      <c r="AI13" s="575"/>
      <c r="AJ13" s="575"/>
      <c r="AK13" s="575"/>
      <c r="AL13" s="575"/>
      <c r="AM13" s="576"/>
      <c r="AN13" s="69"/>
      <c r="AO13" s="532"/>
      <c r="AP13" s="533"/>
      <c r="AQ13" s="533"/>
      <c r="AR13" s="533"/>
      <c r="AS13" s="533"/>
      <c r="AT13" s="534"/>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18"/>
      <c r="C14" s="518"/>
      <c r="D14" s="519"/>
      <c r="E14" s="507" t="s">
        <v>131</v>
      </c>
      <c r="F14" s="508"/>
      <c r="G14" s="508"/>
      <c r="H14" s="508"/>
      <c r="I14" s="508"/>
      <c r="J14" s="525" t="str">
        <f ca="1">IF(AND('Mapa final'!$P$13="Alta",'Mapa final'!$T$13="Leve"),CONCATENATE("R",'Mapa final'!$A$13),"")</f>
        <v/>
      </c>
      <c r="K14" s="520"/>
      <c r="L14" s="520" t="str">
        <f ca="1">IF(AND('Mapa final'!$P$15="Alta",'Mapa final'!$T$15="Leve"),CONCATENATE("R",'Mapa final'!$A$15),"")</f>
        <v/>
      </c>
      <c r="M14" s="520"/>
      <c r="N14" s="520" t="str">
        <f ca="1">IF(AND('Mapa final'!$P$17="Alta",'Mapa final'!$T$17="Leve"),CONCATENATE("R",'Mapa final'!$A$17),"")</f>
        <v/>
      </c>
      <c r="O14" s="522"/>
      <c r="P14" s="525" t="str">
        <f ca="1">IF(AND('Mapa final'!$P$13="Alta",'Mapa final'!$T$13="Menor"),CONCATENATE("R",'Mapa final'!$A$13),"")</f>
        <v>R1</v>
      </c>
      <c r="Q14" s="520"/>
      <c r="R14" s="520" t="str">
        <f ca="1">IF(AND('Mapa final'!$P$15="Alta",'Mapa final'!$T$15="Menor"),CONCATENATE("R",'Mapa final'!$A$15),"")</f>
        <v/>
      </c>
      <c r="S14" s="520"/>
      <c r="T14" s="520" t="str">
        <f ca="1">IF(AND('Mapa final'!$P$17="Alta",'Mapa final'!$T$17="Menor"),CONCATENATE("R",'Mapa final'!$A$17),"")</f>
        <v/>
      </c>
      <c r="U14" s="522"/>
      <c r="V14" s="562" t="str">
        <f ca="1">IF(AND('Mapa final'!$P$13="Alta",'Mapa final'!$T$13="Moderado"),CONCATENATE("R",'Mapa final'!$A$13),"")</f>
        <v/>
      </c>
      <c r="W14" s="563"/>
      <c r="X14" s="563" t="str">
        <f ca="1">IF(AND('Mapa final'!$P$15="Alta",'Mapa final'!$T$15="Moderado"),CONCATENATE("R",'Mapa final'!$A$15),"")</f>
        <v/>
      </c>
      <c r="Y14" s="563"/>
      <c r="Z14" s="563" t="str">
        <f ca="1">IF(AND('Mapa final'!$P$17="Alta",'Mapa final'!$T$17="Moderado"),CONCATENATE("R",'Mapa final'!$A$17),"")</f>
        <v/>
      </c>
      <c r="AA14" s="565"/>
      <c r="AB14" s="562" t="str">
        <f ca="1">IF(AND('Mapa final'!$P$13="Alta",'Mapa final'!$T$13="Mayor"),CONCATENATE("R",'Mapa final'!$A$13),"")</f>
        <v/>
      </c>
      <c r="AC14" s="563"/>
      <c r="AD14" s="563" t="str">
        <f ca="1">IF(AND('Mapa final'!$P$15="Alta",'Mapa final'!$T$15="Mayor"),CONCATENATE("R",'Mapa final'!$A$15),"")</f>
        <v/>
      </c>
      <c r="AE14" s="563"/>
      <c r="AF14" s="563" t="str">
        <f ca="1">IF(AND('Mapa final'!$P$17="Alta",'Mapa final'!$T$17="Mayor"),CONCATENATE("R",'Mapa final'!$A$17),"")</f>
        <v/>
      </c>
      <c r="AG14" s="565"/>
      <c r="AH14" s="577" t="str">
        <f ca="1">IF(AND('Mapa final'!$P$13="Alta",'Mapa final'!$T$13="Catastrófico"),CONCATENATE("R",'Mapa final'!$A$13),"")</f>
        <v/>
      </c>
      <c r="AI14" s="578"/>
      <c r="AJ14" s="578" t="str">
        <f ca="1">IF(AND('Mapa final'!$P$15="Alta",'Mapa final'!$T$15="Catastrófico"),CONCATENATE("R",'Mapa final'!$A$15),"")</f>
        <v/>
      </c>
      <c r="AK14" s="578"/>
      <c r="AL14" s="578" t="str">
        <f ca="1">IF(AND('Mapa final'!$P$17="Alta",'Mapa final'!$T$17="Catastrófico"),CONCATENATE("R",'Mapa final'!$A$17),"")</f>
        <v/>
      </c>
      <c r="AM14" s="579"/>
      <c r="AN14" s="69"/>
      <c r="AO14" s="535" t="s">
        <v>132</v>
      </c>
      <c r="AP14" s="536"/>
      <c r="AQ14" s="536"/>
      <c r="AR14" s="536"/>
      <c r="AS14" s="536"/>
      <c r="AT14" s="537"/>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18"/>
      <c r="C15" s="518"/>
      <c r="D15" s="519"/>
      <c r="E15" s="510"/>
      <c r="F15" s="511"/>
      <c r="G15" s="511"/>
      <c r="H15" s="511"/>
      <c r="I15" s="511"/>
      <c r="J15" s="524"/>
      <c r="K15" s="521"/>
      <c r="L15" s="521"/>
      <c r="M15" s="521"/>
      <c r="N15" s="521"/>
      <c r="O15" s="523"/>
      <c r="P15" s="524"/>
      <c r="Q15" s="521"/>
      <c r="R15" s="521"/>
      <c r="S15" s="521"/>
      <c r="T15" s="521"/>
      <c r="U15" s="523"/>
      <c r="V15" s="564"/>
      <c r="W15" s="516"/>
      <c r="X15" s="516"/>
      <c r="Y15" s="516"/>
      <c r="Z15" s="516"/>
      <c r="AA15" s="517"/>
      <c r="AB15" s="564"/>
      <c r="AC15" s="516"/>
      <c r="AD15" s="516"/>
      <c r="AE15" s="516"/>
      <c r="AF15" s="516"/>
      <c r="AG15" s="517"/>
      <c r="AH15" s="571"/>
      <c r="AI15" s="572"/>
      <c r="AJ15" s="572"/>
      <c r="AK15" s="572"/>
      <c r="AL15" s="572"/>
      <c r="AM15" s="573"/>
      <c r="AN15" s="69"/>
      <c r="AO15" s="538"/>
      <c r="AP15" s="539"/>
      <c r="AQ15" s="539"/>
      <c r="AR15" s="539"/>
      <c r="AS15" s="539"/>
      <c r="AT15" s="540"/>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18"/>
      <c r="C16" s="518"/>
      <c r="D16" s="519"/>
      <c r="E16" s="510"/>
      <c r="F16" s="511"/>
      <c r="G16" s="511"/>
      <c r="H16" s="511"/>
      <c r="I16" s="511"/>
      <c r="J16" s="524" t="str">
        <f ca="1">IF(AND('Mapa final'!$P$20="Alta",'Mapa final'!$T$20="Leve"),CONCATENATE("R",'Mapa final'!$A$20),"")</f>
        <v/>
      </c>
      <c r="K16" s="521"/>
      <c r="L16" s="521" t="str">
        <f ca="1">IF(AND('Mapa final'!$P$22="Alta",'Mapa final'!$T$22="Leve"),CONCATENATE("R",'Mapa final'!$A$22),"")</f>
        <v/>
      </c>
      <c r="M16" s="521"/>
      <c r="N16" s="521" t="str">
        <f ca="1">IF(AND('Mapa final'!$P$25="Alta",'Mapa final'!$T$25="Leve"),CONCATENATE("R",'Mapa final'!$A$25),"")</f>
        <v/>
      </c>
      <c r="O16" s="523"/>
      <c r="P16" s="524" t="str">
        <f ca="1">IF(AND('Mapa final'!$P$20="Alta",'Mapa final'!$T$20="Menor"),CONCATENATE("R",'Mapa final'!$A$20),"")</f>
        <v/>
      </c>
      <c r="Q16" s="521"/>
      <c r="R16" s="521" t="str">
        <f ca="1">IF(AND('Mapa final'!$P$22="Alta",'Mapa final'!$T$22="Menor"),CONCATENATE("R",'Mapa final'!$A$22),"")</f>
        <v/>
      </c>
      <c r="S16" s="521"/>
      <c r="T16" s="521" t="str">
        <f ca="1">IF(AND('Mapa final'!$P$25="Alta",'Mapa final'!$T$25="Menor"),CONCATENATE("R",'Mapa final'!$A$25),"")</f>
        <v/>
      </c>
      <c r="U16" s="523"/>
      <c r="V16" s="564" t="str">
        <f ca="1">IF(AND('Mapa final'!$P$20="Alta",'Mapa final'!$T$20="Moderado"),CONCATENATE("R",'Mapa final'!$A$20),"")</f>
        <v/>
      </c>
      <c r="W16" s="516"/>
      <c r="X16" s="516" t="str">
        <f ca="1">IF(AND('Mapa final'!$P$22="Alta",'Mapa final'!$T$22="Moderado"),CONCATENATE("R",'Mapa final'!$A$22),"")</f>
        <v/>
      </c>
      <c r="Y16" s="516"/>
      <c r="Z16" s="516" t="str">
        <f ca="1">IF(AND('Mapa final'!$P$25="Alta",'Mapa final'!$T$25="Moderado"),CONCATENATE("R",'Mapa final'!$A$25),"")</f>
        <v/>
      </c>
      <c r="AA16" s="517"/>
      <c r="AB16" s="564" t="str">
        <f ca="1">IF(AND('Mapa final'!$P$20="Alta",'Mapa final'!$T$20="Mayor"),CONCATENATE("R",'Mapa final'!$A$20),"")</f>
        <v/>
      </c>
      <c r="AC16" s="516"/>
      <c r="AD16" s="516" t="str">
        <f ca="1">IF(AND('Mapa final'!$P$22="Alta",'Mapa final'!$T$22="Mayor"),CONCATENATE("R",'Mapa final'!$A$22),"")</f>
        <v/>
      </c>
      <c r="AE16" s="516"/>
      <c r="AF16" s="516" t="str">
        <f ca="1">IF(AND('Mapa final'!$P$25="Alta",'Mapa final'!$T$25="Mayor"),CONCATENATE("R",'Mapa final'!$A$25),"")</f>
        <v/>
      </c>
      <c r="AG16" s="517"/>
      <c r="AH16" s="571" t="str">
        <f ca="1">IF(AND('Mapa final'!$P$20="Alta",'Mapa final'!$T$20="Catastrófico"),CONCATENATE("R",'Mapa final'!$A$20),"")</f>
        <v/>
      </c>
      <c r="AI16" s="572"/>
      <c r="AJ16" s="572" t="str">
        <f ca="1">IF(AND('Mapa final'!$P$22="Alta",'Mapa final'!$T$22="Catastrófico"),CONCATENATE("R",'Mapa final'!$A$22),"")</f>
        <v/>
      </c>
      <c r="AK16" s="572"/>
      <c r="AL16" s="572" t="str">
        <f ca="1">IF(AND('Mapa final'!$P$25="Alta",'Mapa final'!$T$25="Catastrófico"),CONCATENATE("R",'Mapa final'!$A$25),"")</f>
        <v/>
      </c>
      <c r="AM16" s="573"/>
      <c r="AN16" s="69"/>
      <c r="AO16" s="538"/>
      <c r="AP16" s="539"/>
      <c r="AQ16" s="539"/>
      <c r="AR16" s="539"/>
      <c r="AS16" s="539"/>
      <c r="AT16" s="540"/>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18"/>
      <c r="C17" s="518"/>
      <c r="D17" s="519"/>
      <c r="E17" s="510"/>
      <c r="F17" s="511"/>
      <c r="G17" s="511"/>
      <c r="H17" s="511"/>
      <c r="I17" s="511"/>
      <c r="J17" s="524"/>
      <c r="K17" s="521"/>
      <c r="L17" s="521"/>
      <c r="M17" s="521"/>
      <c r="N17" s="521"/>
      <c r="O17" s="523"/>
      <c r="P17" s="524"/>
      <c r="Q17" s="521"/>
      <c r="R17" s="521"/>
      <c r="S17" s="521"/>
      <c r="T17" s="521"/>
      <c r="U17" s="523"/>
      <c r="V17" s="564"/>
      <c r="W17" s="516"/>
      <c r="X17" s="516"/>
      <c r="Y17" s="516"/>
      <c r="Z17" s="516"/>
      <c r="AA17" s="517"/>
      <c r="AB17" s="564"/>
      <c r="AC17" s="516"/>
      <c r="AD17" s="516"/>
      <c r="AE17" s="516"/>
      <c r="AF17" s="516"/>
      <c r="AG17" s="517"/>
      <c r="AH17" s="571"/>
      <c r="AI17" s="572"/>
      <c r="AJ17" s="572"/>
      <c r="AK17" s="572"/>
      <c r="AL17" s="572"/>
      <c r="AM17" s="573"/>
      <c r="AN17" s="69"/>
      <c r="AO17" s="538"/>
      <c r="AP17" s="539"/>
      <c r="AQ17" s="539"/>
      <c r="AR17" s="539"/>
      <c r="AS17" s="539"/>
      <c r="AT17" s="540"/>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18"/>
      <c r="C18" s="518"/>
      <c r="D18" s="519"/>
      <c r="E18" s="510"/>
      <c r="F18" s="511"/>
      <c r="G18" s="511"/>
      <c r="H18" s="511"/>
      <c r="I18" s="511"/>
      <c r="J18" s="524" t="str">
        <f ca="1">IF(AND('Mapa final'!$P$27="Alta",'Mapa final'!$T$27="Leve"),CONCATENATE("R",'Mapa final'!$B$27),"")</f>
        <v/>
      </c>
      <c r="K18" s="521"/>
      <c r="L18" s="521" t="str">
        <f ca="1">IF(AND('Mapa final'!$P$29="Alta",'Mapa final'!$T$29="Leve"),CONCATENATE("R",'Mapa final'!$A$29),"")</f>
        <v/>
      </c>
      <c r="M18" s="521"/>
      <c r="N18" s="521" t="str">
        <f ca="1">IF(AND('Mapa final'!$P$33="Alta",'Mapa final'!$T$33="Leve"),CONCATENATE("R",'Mapa final'!$A$33),"")</f>
        <v/>
      </c>
      <c r="O18" s="523"/>
      <c r="P18" s="524" t="str">
        <f ca="1">IF(AND('Mapa final'!$P$27="Alta",'Mapa final'!$T$27="Menor"),CONCATENATE("R",'Mapa final'!$B$27),"")</f>
        <v/>
      </c>
      <c r="Q18" s="521"/>
      <c r="R18" s="521" t="str">
        <f ca="1">IF(AND('Mapa final'!$P$29="Alta",'Mapa final'!$T$29="Menor"),CONCATENATE("R",'Mapa final'!$A$29),"")</f>
        <v/>
      </c>
      <c r="S18" s="521"/>
      <c r="T18" s="521" t="str">
        <f ca="1">IF(AND('Mapa final'!$P$33="Alta",'Mapa final'!$T$33="Menor"),CONCATENATE("R",'Mapa final'!$A$33),"")</f>
        <v/>
      </c>
      <c r="U18" s="523"/>
      <c r="V18" s="564" t="str">
        <f ca="1">IF(AND('Mapa final'!$P$27="Alta",'Mapa final'!$T$27="Moderado"),CONCATENATE("R",'Mapa final'!$B$27),"")</f>
        <v/>
      </c>
      <c r="W18" s="516"/>
      <c r="X18" s="516" t="str">
        <f ca="1">IF(AND('Mapa final'!$P$29="Alta",'Mapa final'!$T$29="Moderado"),CONCATENATE("R",'Mapa final'!$A$29),"")</f>
        <v/>
      </c>
      <c r="Y18" s="516"/>
      <c r="Z18" s="516" t="str">
        <f ca="1">IF(AND('Mapa final'!$P$33="Alta",'Mapa final'!$T$33="Moderado"),CONCATENATE("R",'Mapa final'!$A$33),"")</f>
        <v/>
      </c>
      <c r="AA18" s="517"/>
      <c r="AB18" s="564" t="str">
        <f ca="1">IF(AND('Mapa final'!$P$27="Alta",'Mapa final'!$T$27="Mayor"),CONCATENATE("R",'Mapa final'!$B$27),"")</f>
        <v/>
      </c>
      <c r="AC18" s="516"/>
      <c r="AD18" s="516" t="str">
        <f ca="1">IF(AND('Mapa final'!$P$29="Alta",'Mapa final'!$T$29="Mayor"),CONCATENATE("R",'Mapa final'!$A$29),"")</f>
        <v/>
      </c>
      <c r="AE18" s="516"/>
      <c r="AF18" s="516" t="str">
        <f ca="1">IF(AND('Mapa final'!$P$33="Alta",'Mapa final'!$T$33="Mayor"),CONCATENATE("R",'Mapa final'!$A$33),"")</f>
        <v/>
      </c>
      <c r="AG18" s="517"/>
      <c r="AH18" s="571" t="str">
        <f ca="1">IF(AND('Mapa final'!$P$27="Alta",'Mapa final'!$T$27="Catastrófico"),CONCATENATE("R",'Mapa final'!$B$27),"")</f>
        <v/>
      </c>
      <c r="AI18" s="572"/>
      <c r="AJ18" s="572" t="str">
        <f ca="1">IF(AND('Mapa final'!$P$29="Alta",'Mapa final'!$T$29="Catastrófico"),CONCATENATE("R",'Mapa final'!$A$29),"")</f>
        <v/>
      </c>
      <c r="AK18" s="572"/>
      <c r="AL18" s="572" t="str">
        <f ca="1">IF(AND('Mapa final'!$P$33="Alta",'Mapa final'!$T$33="Catastrófico"),CONCATENATE("R",'Mapa final'!$A$33),"")</f>
        <v/>
      </c>
      <c r="AM18" s="573"/>
      <c r="AN18" s="69"/>
      <c r="AO18" s="538"/>
      <c r="AP18" s="539"/>
      <c r="AQ18" s="539"/>
      <c r="AR18" s="539"/>
      <c r="AS18" s="539"/>
      <c r="AT18" s="540"/>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18"/>
      <c r="C19" s="518"/>
      <c r="D19" s="519"/>
      <c r="E19" s="510"/>
      <c r="F19" s="511"/>
      <c r="G19" s="511"/>
      <c r="H19" s="511"/>
      <c r="I19" s="511"/>
      <c r="J19" s="524"/>
      <c r="K19" s="521"/>
      <c r="L19" s="521"/>
      <c r="M19" s="521"/>
      <c r="N19" s="521"/>
      <c r="O19" s="523"/>
      <c r="P19" s="524"/>
      <c r="Q19" s="521"/>
      <c r="R19" s="521"/>
      <c r="S19" s="521"/>
      <c r="T19" s="521"/>
      <c r="U19" s="523"/>
      <c r="V19" s="564"/>
      <c r="W19" s="516"/>
      <c r="X19" s="516"/>
      <c r="Y19" s="516"/>
      <c r="Z19" s="516"/>
      <c r="AA19" s="517"/>
      <c r="AB19" s="564"/>
      <c r="AC19" s="516"/>
      <c r="AD19" s="516"/>
      <c r="AE19" s="516"/>
      <c r="AF19" s="516"/>
      <c r="AG19" s="517"/>
      <c r="AH19" s="571"/>
      <c r="AI19" s="572"/>
      <c r="AJ19" s="572"/>
      <c r="AK19" s="572"/>
      <c r="AL19" s="572"/>
      <c r="AM19" s="573"/>
      <c r="AN19" s="69"/>
      <c r="AO19" s="538"/>
      <c r="AP19" s="539"/>
      <c r="AQ19" s="539"/>
      <c r="AR19" s="539"/>
      <c r="AS19" s="539"/>
      <c r="AT19" s="540"/>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18"/>
      <c r="C20" s="518"/>
      <c r="D20" s="519"/>
      <c r="E20" s="510"/>
      <c r="F20" s="511"/>
      <c r="G20" s="511"/>
      <c r="H20" s="511"/>
      <c r="I20" s="511"/>
      <c r="J20" s="524" t="str">
        <f ca="1">IF(AND('Mapa final'!$P$38="Alta",'Mapa final'!$T$38="Leve"),CONCATENATE("R",'Mapa final'!$A$38),"")</f>
        <v/>
      </c>
      <c r="K20" s="521"/>
      <c r="L20" s="521" t="str">
        <f>IF(AND('Mapa final'!$P$248="Alta",'Mapa final'!$T$248="Leve"),CONCATENATE("R",'Mapa final'!$A$248),"")</f>
        <v/>
      </c>
      <c r="M20" s="521"/>
      <c r="N20" s="521" t="str">
        <f>IF(AND('Mapa final'!$P$254="Alta",'Mapa final'!$T$254="Leve"),CONCATENATE("R",'Mapa final'!$A$254),"")</f>
        <v/>
      </c>
      <c r="O20" s="523"/>
      <c r="P20" s="524" t="str">
        <f ca="1">IF(AND('Mapa final'!$P$38="Alta",'Mapa final'!$T$38="Menor"),CONCATENATE("R",'Mapa final'!$A$38),"")</f>
        <v/>
      </c>
      <c r="Q20" s="521"/>
      <c r="R20" s="521" t="str">
        <f>IF(AND('Mapa final'!$P$248="Alta",'Mapa final'!$T$248="Menor"),CONCATENATE("R",'Mapa final'!$A$248),"")</f>
        <v/>
      </c>
      <c r="S20" s="521"/>
      <c r="T20" s="521" t="str">
        <f>IF(AND('Mapa final'!$P$254="Alta",'Mapa final'!$T$254="Menor"),CONCATENATE("R",'Mapa final'!$A$254),"")</f>
        <v/>
      </c>
      <c r="U20" s="523"/>
      <c r="V20" s="564" t="str">
        <f ca="1">IF(AND('Mapa final'!$P$38="Alta",'Mapa final'!$T$38="Moderado"),CONCATENATE("R",'Mapa final'!$A$38),"")</f>
        <v/>
      </c>
      <c r="W20" s="516"/>
      <c r="X20" s="516" t="str">
        <f>IF(AND('Mapa final'!$P$248="Alta",'Mapa final'!$T$248="Moderado"),CONCATENATE("R",'Mapa final'!$A$248),"")</f>
        <v/>
      </c>
      <c r="Y20" s="516"/>
      <c r="Z20" s="516" t="str">
        <f>IF(AND('Mapa final'!$P$254="Alta",'Mapa final'!$T$254="Moderado"),CONCATENATE("R",'Mapa final'!$A$254),"")</f>
        <v/>
      </c>
      <c r="AA20" s="517"/>
      <c r="AB20" s="564" t="str">
        <f ca="1">IF(AND('Mapa final'!$P$38="Alta",'Mapa final'!$T$38="Mayor"),CONCATENATE("R",'Mapa final'!$A$38),"")</f>
        <v/>
      </c>
      <c r="AC20" s="516"/>
      <c r="AD20" s="516" t="str">
        <f>IF(AND('Mapa final'!$P$248="Alta",'Mapa final'!$T$248="Mayor"),CONCATENATE("R",'Mapa final'!$A$248),"")</f>
        <v/>
      </c>
      <c r="AE20" s="516"/>
      <c r="AF20" s="516" t="str">
        <f>IF(AND('Mapa final'!$P$254="Alta",'Mapa final'!$T$254="Mayor"),CONCATENATE("R",'Mapa final'!$A$254),"")</f>
        <v/>
      </c>
      <c r="AG20" s="517"/>
      <c r="AH20" s="571" t="str">
        <f ca="1">IF(AND('Mapa final'!$P$38="Alta",'Mapa final'!$T$38="Catastrófico"),CONCATENATE("R",'Mapa final'!$A$38),"")</f>
        <v/>
      </c>
      <c r="AI20" s="572"/>
      <c r="AJ20" s="572" t="str">
        <f>IF(AND('Mapa final'!$P$248="Alta",'Mapa final'!$T$248="Catastrófico"),CONCATENATE("R",'Mapa final'!$A$248),"")</f>
        <v/>
      </c>
      <c r="AK20" s="572"/>
      <c r="AL20" s="572" t="str">
        <f>IF(AND('Mapa final'!$P$254="Alta",'Mapa final'!$T$254="Catastrófico"),CONCATENATE("R",'Mapa final'!$A$254),"")</f>
        <v/>
      </c>
      <c r="AM20" s="573"/>
      <c r="AN20" s="69"/>
      <c r="AO20" s="538"/>
      <c r="AP20" s="539"/>
      <c r="AQ20" s="539"/>
      <c r="AR20" s="539"/>
      <c r="AS20" s="539"/>
      <c r="AT20" s="540"/>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18"/>
      <c r="C21" s="518"/>
      <c r="D21" s="519"/>
      <c r="E21" s="513"/>
      <c r="F21" s="514"/>
      <c r="G21" s="514"/>
      <c r="H21" s="514"/>
      <c r="I21" s="514"/>
      <c r="J21" s="580"/>
      <c r="K21" s="581"/>
      <c r="L21" s="581"/>
      <c r="M21" s="581"/>
      <c r="N21" s="581"/>
      <c r="O21" s="582"/>
      <c r="P21" s="580"/>
      <c r="Q21" s="581"/>
      <c r="R21" s="581"/>
      <c r="S21" s="581"/>
      <c r="T21" s="581"/>
      <c r="U21" s="582"/>
      <c r="V21" s="568"/>
      <c r="W21" s="569"/>
      <c r="X21" s="569"/>
      <c r="Y21" s="569"/>
      <c r="Z21" s="569"/>
      <c r="AA21" s="570"/>
      <c r="AB21" s="568"/>
      <c r="AC21" s="569"/>
      <c r="AD21" s="569"/>
      <c r="AE21" s="569"/>
      <c r="AF21" s="569"/>
      <c r="AG21" s="570"/>
      <c r="AH21" s="574"/>
      <c r="AI21" s="575"/>
      <c r="AJ21" s="575"/>
      <c r="AK21" s="575"/>
      <c r="AL21" s="575"/>
      <c r="AM21" s="576"/>
      <c r="AN21" s="69"/>
      <c r="AO21" s="541"/>
      <c r="AP21" s="542"/>
      <c r="AQ21" s="542"/>
      <c r="AR21" s="542"/>
      <c r="AS21" s="542"/>
      <c r="AT21" s="543"/>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18"/>
      <c r="C22" s="518"/>
      <c r="D22" s="519"/>
      <c r="E22" s="507" t="s">
        <v>133</v>
      </c>
      <c r="F22" s="508"/>
      <c r="G22" s="508"/>
      <c r="H22" s="508"/>
      <c r="I22" s="509"/>
      <c r="J22" s="525" t="str">
        <f ca="1">IF(AND('Mapa final'!$P$13="Media",'Mapa final'!$T$13="Leve"),CONCATENATE("R",'Mapa final'!$A$13),"")</f>
        <v/>
      </c>
      <c r="K22" s="520"/>
      <c r="L22" s="520" t="str">
        <f ca="1">IF(AND('Mapa final'!$P$15="Media",'Mapa final'!$T$15="Leve"),CONCATENATE("R",'Mapa final'!$A$15),"")</f>
        <v/>
      </c>
      <c r="M22" s="520"/>
      <c r="N22" s="520" t="str">
        <f ca="1">IF(AND('Mapa final'!$P$17="Media",'Mapa final'!$T$17="Leve"),CONCATENATE("R",'Mapa final'!$A$17),"")</f>
        <v/>
      </c>
      <c r="O22" s="522"/>
      <c r="P22" s="525" t="str">
        <f ca="1">IF(AND('Mapa final'!$P$13="Media",'Mapa final'!$T$13="Menor"),CONCATENATE("R",'Mapa final'!$A$13),"")</f>
        <v/>
      </c>
      <c r="Q22" s="520"/>
      <c r="R22" s="520" t="str">
        <f ca="1">IF(AND('Mapa final'!$P$15="Media",'Mapa final'!$T$15="Menor"),CONCATENATE("R",'Mapa final'!$A$15),"")</f>
        <v/>
      </c>
      <c r="S22" s="520"/>
      <c r="T22" s="520" t="str">
        <f ca="1">IF(AND('Mapa final'!$P$17="Media",'Mapa final'!$T$17="Menor"),CONCATENATE("R",'Mapa final'!$A$17),"")</f>
        <v/>
      </c>
      <c r="U22" s="522"/>
      <c r="V22" s="525" t="str">
        <f ca="1">IF(AND('Mapa final'!$P$13="Media",'Mapa final'!$T$13="Moderado"),CONCATENATE("R",'Mapa final'!$A$13),"")</f>
        <v/>
      </c>
      <c r="W22" s="520"/>
      <c r="X22" s="520" t="str">
        <f ca="1">IF(AND('Mapa final'!$P$15="Media",'Mapa final'!$T$15="Moderado"),CONCATENATE("R",'Mapa final'!$A$15),"")</f>
        <v>R2</v>
      </c>
      <c r="Y22" s="520"/>
      <c r="Z22" s="520" t="str">
        <f ca="1">IF(AND('Mapa final'!$P$17="Media",'Mapa final'!$T$17="Moderado"),CONCATENATE("R",'Mapa final'!$A$17),"")</f>
        <v/>
      </c>
      <c r="AA22" s="522"/>
      <c r="AB22" s="562" t="str">
        <f ca="1">IF(AND('Mapa final'!$P$13="Media",'Mapa final'!$T$13="Mayor"),CONCATENATE("R",'Mapa final'!$A$13),"")</f>
        <v/>
      </c>
      <c r="AC22" s="563"/>
      <c r="AD22" s="563" t="str">
        <f ca="1">IF(AND('Mapa final'!$P$15="Media",'Mapa final'!$T$15="Mayor"),CONCATENATE("R",'Mapa final'!$A$15),"")</f>
        <v/>
      </c>
      <c r="AE22" s="563"/>
      <c r="AF22" s="563" t="str">
        <f ca="1">IF(AND('Mapa final'!$P$17="Media",'Mapa final'!$T$17="Mayor"),CONCATENATE("R",'Mapa final'!$A$17),"")</f>
        <v/>
      </c>
      <c r="AG22" s="565"/>
      <c r="AH22" s="577" t="str">
        <f ca="1">IF(AND('Mapa final'!$P$13="Media",'Mapa final'!$T$13="Catastrófico"),CONCATENATE("R",'Mapa final'!$A$13),"")</f>
        <v/>
      </c>
      <c r="AI22" s="578"/>
      <c r="AJ22" s="578" t="str">
        <f ca="1">IF(AND('Mapa final'!$P$15="Media",'Mapa final'!$T$15="Catastrófico"),CONCATENATE("R",'Mapa final'!$A$15),"")</f>
        <v/>
      </c>
      <c r="AK22" s="578"/>
      <c r="AL22" s="578" t="str">
        <f ca="1">IF(AND('Mapa final'!$P$17="Media",'Mapa final'!$T$17="Catastrófico"),CONCATENATE("R",'Mapa final'!$A$17),"")</f>
        <v/>
      </c>
      <c r="AM22" s="579"/>
      <c r="AN22" s="69"/>
      <c r="AO22" s="544" t="s">
        <v>134</v>
      </c>
      <c r="AP22" s="545"/>
      <c r="AQ22" s="545"/>
      <c r="AR22" s="545"/>
      <c r="AS22" s="545"/>
      <c r="AT22" s="546"/>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18"/>
      <c r="C23" s="518"/>
      <c r="D23" s="519"/>
      <c r="E23" s="510"/>
      <c r="F23" s="511"/>
      <c r="G23" s="511"/>
      <c r="H23" s="511"/>
      <c r="I23" s="512"/>
      <c r="J23" s="524"/>
      <c r="K23" s="521"/>
      <c r="L23" s="521"/>
      <c r="M23" s="521"/>
      <c r="N23" s="521"/>
      <c r="O23" s="523"/>
      <c r="P23" s="524"/>
      <c r="Q23" s="521"/>
      <c r="R23" s="521"/>
      <c r="S23" s="521"/>
      <c r="T23" s="521"/>
      <c r="U23" s="523"/>
      <c r="V23" s="524"/>
      <c r="W23" s="521"/>
      <c r="X23" s="521"/>
      <c r="Y23" s="521"/>
      <c r="Z23" s="521"/>
      <c r="AA23" s="523"/>
      <c r="AB23" s="564"/>
      <c r="AC23" s="516"/>
      <c r="AD23" s="516"/>
      <c r="AE23" s="516"/>
      <c r="AF23" s="516"/>
      <c r="AG23" s="517"/>
      <c r="AH23" s="571"/>
      <c r="AI23" s="572"/>
      <c r="AJ23" s="572"/>
      <c r="AK23" s="572"/>
      <c r="AL23" s="572"/>
      <c r="AM23" s="573"/>
      <c r="AN23" s="69"/>
      <c r="AO23" s="547"/>
      <c r="AP23" s="548"/>
      <c r="AQ23" s="548"/>
      <c r="AR23" s="548"/>
      <c r="AS23" s="548"/>
      <c r="AT23" s="549"/>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18"/>
      <c r="C24" s="518"/>
      <c r="D24" s="519"/>
      <c r="E24" s="510"/>
      <c r="F24" s="511"/>
      <c r="G24" s="511"/>
      <c r="H24" s="511"/>
      <c r="I24" s="512"/>
      <c r="J24" s="524" t="str">
        <f ca="1">IF(AND('Mapa final'!$P$20="Media",'Mapa final'!$T$20="Leve"),CONCATENATE("R",'Mapa final'!$A$20),"")</f>
        <v/>
      </c>
      <c r="K24" s="521"/>
      <c r="L24" s="521" t="str">
        <f ca="1">IF(AND('Mapa final'!$P$22="Media",'Mapa final'!$T$22="Leve"),CONCATENATE("R",'Mapa final'!$A$22),"")</f>
        <v/>
      </c>
      <c r="M24" s="521"/>
      <c r="N24" s="521" t="str">
        <f ca="1">IF(AND('Mapa final'!$P$25="Media",'Mapa final'!$T$25="Leve"),CONCATENATE("R",'Mapa final'!$A$25),"")</f>
        <v/>
      </c>
      <c r="O24" s="523"/>
      <c r="P24" s="524" t="str">
        <f ca="1">IF(AND('Mapa final'!$P$20="Media",'Mapa final'!$T$20="Menor"),CONCATENATE("R",'Mapa final'!$A$20),"")</f>
        <v/>
      </c>
      <c r="Q24" s="521"/>
      <c r="R24" s="521" t="str">
        <f ca="1">IF(AND('Mapa final'!$P$22="Media",'Mapa final'!$T$22="Menor"),CONCATENATE("R",'Mapa final'!$A$22),"")</f>
        <v/>
      </c>
      <c r="S24" s="521"/>
      <c r="T24" s="521" t="str">
        <f ca="1">IF(AND('Mapa final'!$P$25="Media",'Mapa final'!$T$25="Menor"),CONCATENATE("R",'Mapa final'!$A$25),"")</f>
        <v/>
      </c>
      <c r="U24" s="523"/>
      <c r="V24" s="524" t="str">
        <f ca="1">IF(AND('Mapa final'!$P$20="Media",'Mapa final'!$T$20="Moderado"),CONCATENATE("R",'Mapa final'!$A$20),"")</f>
        <v/>
      </c>
      <c r="W24" s="521"/>
      <c r="X24" s="521" t="str">
        <f ca="1">IF(AND('Mapa final'!$P$22="Media",'Mapa final'!$T$22="Moderado"),CONCATENATE("R",'Mapa final'!$A$22),"")</f>
        <v/>
      </c>
      <c r="Y24" s="521"/>
      <c r="Z24" s="521" t="str">
        <f ca="1">IF(AND('Mapa final'!$P$25="Media",'Mapa final'!$T$25="Moderado"),CONCATENATE("R",'Mapa final'!$A$25),"")</f>
        <v>R6</v>
      </c>
      <c r="AA24" s="523"/>
      <c r="AB24" s="564" t="str">
        <f ca="1">IF(AND('Mapa final'!$P$20="Media",'Mapa final'!$T$20="Mayor"),CONCATENATE("R",'Mapa final'!$A$20),"")</f>
        <v/>
      </c>
      <c r="AC24" s="516"/>
      <c r="AD24" s="516" t="str">
        <f ca="1">IF(AND('Mapa final'!$P$22="Media",'Mapa final'!$T$22="Mayor"),CONCATENATE("R",'Mapa final'!$A$22),"")</f>
        <v/>
      </c>
      <c r="AE24" s="516"/>
      <c r="AF24" s="516" t="str">
        <f ca="1">IF(AND('Mapa final'!$P$25="Media",'Mapa final'!$T$25="Mayor"),CONCATENATE("R",'Mapa final'!$A$25),"")</f>
        <v/>
      </c>
      <c r="AG24" s="517"/>
      <c r="AH24" s="571" t="str">
        <f ca="1">IF(AND('Mapa final'!$P$20="Media",'Mapa final'!$T$20="Catastrófico"),CONCATENATE("R",'Mapa final'!$A$20),"")</f>
        <v/>
      </c>
      <c r="AI24" s="572"/>
      <c r="AJ24" s="572" t="str">
        <f ca="1">IF(AND('Mapa final'!$P$22="Media",'Mapa final'!$T$22="Catastrófico"),CONCATENATE("R",'Mapa final'!$A$22),"")</f>
        <v/>
      </c>
      <c r="AK24" s="572"/>
      <c r="AL24" s="572" t="str">
        <f ca="1">IF(AND('Mapa final'!$P$25="Media",'Mapa final'!$T$25="Catastrófico"),CONCATENATE("R",'Mapa final'!$A$25),"")</f>
        <v/>
      </c>
      <c r="AM24" s="573"/>
      <c r="AN24" s="69"/>
      <c r="AO24" s="547"/>
      <c r="AP24" s="548"/>
      <c r="AQ24" s="548"/>
      <c r="AR24" s="548"/>
      <c r="AS24" s="548"/>
      <c r="AT24" s="549"/>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18"/>
      <c r="C25" s="518"/>
      <c r="D25" s="519"/>
      <c r="E25" s="510"/>
      <c r="F25" s="511"/>
      <c r="G25" s="511"/>
      <c r="H25" s="511"/>
      <c r="I25" s="512"/>
      <c r="J25" s="524"/>
      <c r="K25" s="521"/>
      <c r="L25" s="521"/>
      <c r="M25" s="521"/>
      <c r="N25" s="521"/>
      <c r="O25" s="523"/>
      <c r="P25" s="524"/>
      <c r="Q25" s="521"/>
      <c r="R25" s="521"/>
      <c r="S25" s="521"/>
      <c r="T25" s="521"/>
      <c r="U25" s="523"/>
      <c r="V25" s="524"/>
      <c r="W25" s="521"/>
      <c r="X25" s="521"/>
      <c r="Y25" s="521"/>
      <c r="Z25" s="521"/>
      <c r="AA25" s="523"/>
      <c r="AB25" s="564"/>
      <c r="AC25" s="516"/>
      <c r="AD25" s="516"/>
      <c r="AE25" s="516"/>
      <c r="AF25" s="516"/>
      <c r="AG25" s="517"/>
      <c r="AH25" s="571"/>
      <c r="AI25" s="572"/>
      <c r="AJ25" s="572"/>
      <c r="AK25" s="572"/>
      <c r="AL25" s="572"/>
      <c r="AM25" s="573"/>
      <c r="AN25" s="69"/>
      <c r="AO25" s="547"/>
      <c r="AP25" s="548"/>
      <c r="AQ25" s="548"/>
      <c r="AR25" s="548"/>
      <c r="AS25" s="548"/>
      <c r="AT25" s="549"/>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18"/>
      <c r="C26" s="518"/>
      <c r="D26" s="519"/>
      <c r="E26" s="510"/>
      <c r="F26" s="511"/>
      <c r="G26" s="511"/>
      <c r="H26" s="511"/>
      <c r="I26" s="512"/>
      <c r="J26" s="524" t="str">
        <f ca="1">IF(AND('Mapa final'!$P$27="Media",'Mapa final'!$T$27="Leve"),CONCATENATE("R",'Mapa final'!$B$27),"")</f>
        <v/>
      </c>
      <c r="K26" s="521"/>
      <c r="L26" s="521" t="str">
        <f ca="1">IF(AND('Mapa final'!$P$29="Media",'Mapa final'!$T$29="Leve"),CONCATENATE("R",'Mapa final'!$A$29),"")</f>
        <v/>
      </c>
      <c r="M26" s="521"/>
      <c r="N26" s="521" t="str">
        <f ca="1">IF(AND('Mapa final'!$P$33="Media",'Mapa final'!$T$33="Leve"),CONCATENATE("R",'Mapa final'!$A$33),"")</f>
        <v/>
      </c>
      <c r="O26" s="523"/>
      <c r="P26" s="524" t="str">
        <f ca="1">IF(AND('Mapa final'!$P$27="Media",'Mapa final'!$T$27="Menor"),CONCATENATE("R",'Mapa final'!$B$27),"")</f>
        <v/>
      </c>
      <c r="Q26" s="521"/>
      <c r="R26" s="521" t="str">
        <f ca="1">IF(AND('Mapa final'!$P$29="Media",'Mapa final'!$T$29="Menor"),CONCATENATE("R",'Mapa final'!$A$29),"")</f>
        <v/>
      </c>
      <c r="S26" s="521"/>
      <c r="T26" s="521" t="str">
        <f ca="1">IF(AND('Mapa final'!$P$33="Media",'Mapa final'!$T$33="Menor"),CONCATENATE("R",'Mapa final'!$A$33),"")</f>
        <v/>
      </c>
      <c r="U26" s="523"/>
      <c r="V26" s="524" t="str">
        <f ca="1">IF(AND('Mapa final'!$P$27="Media",'Mapa final'!$T$27="Moderado"),CONCATENATE("R",'Mapa final'!$B$27),"")</f>
        <v>ROAP_05</v>
      </c>
      <c r="W26" s="521"/>
      <c r="X26" s="521" t="str">
        <f ca="1">IF(AND('Mapa final'!$P$29="Media",'Mapa final'!$T$29="Moderado"),CONCATENATE("R",'Mapa final'!$A$29),"")</f>
        <v/>
      </c>
      <c r="Y26" s="521"/>
      <c r="Z26" s="521" t="str">
        <f ca="1">IF(AND('Mapa final'!$P$33="Media",'Mapa final'!$T$33="Moderado"),CONCATENATE("R",'Mapa final'!$A$33),"")</f>
        <v/>
      </c>
      <c r="AA26" s="523"/>
      <c r="AB26" s="564" t="str">
        <f ca="1">IF(AND('Mapa final'!$P$27="Media",'Mapa final'!$T$27="Mayor"),CONCATENATE("R",'Mapa final'!$B$27),"")</f>
        <v/>
      </c>
      <c r="AC26" s="516"/>
      <c r="AD26" s="516" t="str">
        <f ca="1">IF(AND('Mapa final'!$P$29="Media",'Mapa final'!$T$29="Mayor"),CONCATENATE("R",'Mapa final'!$A$29),"")</f>
        <v/>
      </c>
      <c r="AE26" s="516"/>
      <c r="AF26" s="516" t="str">
        <f ca="1">IF(AND('Mapa final'!$P$33="Media",'Mapa final'!$T$33="Mayor"),CONCATENATE("R",'Mapa final'!$A$33),"")</f>
        <v/>
      </c>
      <c r="AG26" s="517"/>
      <c r="AH26" s="571" t="str">
        <f ca="1">IF(AND('Mapa final'!$P$27="Media",'Mapa final'!$T$27="Catastrófico"),CONCATENATE("R",'Mapa final'!$B$27),"")</f>
        <v/>
      </c>
      <c r="AI26" s="572"/>
      <c r="AJ26" s="572" t="str">
        <f ca="1">IF(AND('Mapa final'!$P$29="Media",'Mapa final'!$T$29="Catastrófico"),CONCATENATE("R",'Mapa final'!$A$29),"")</f>
        <v/>
      </c>
      <c r="AK26" s="572"/>
      <c r="AL26" s="572" t="str">
        <f ca="1">IF(AND('Mapa final'!$P$33="Media",'Mapa final'!$T$33="Catastrófico"),CONCATENATE("R",'Mapa final'!$A$33),"")</f>
        <v>R9</v>
      </c>
      <c r="AM26" s="573"/>
      <c r="AN26" s="69"/>
      <c r="AO26" s="547"/>
      <c r="AP26" s="548"/>
      <c r="AQ26" s="548"/>
      <c r="AR26" s="548"/>
      <c r="AS26" s="548"/>
      <c r="AT26" s="549"/>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18"/>
      <c r="C27" s="518"/>
      <c r="D27" s="519"/>
      <c r="E27" s="510"/>
      <c r="F27" s="511"/>
      <c r="G27" s="511"/>
      <c r="H27" s="511"/>
      <c r="I27" s="512"/>
      <c r="J27" s="524"/>
      <c r="K27" s="521"/>
      <c r="L27" s="521"/>
      <c r="M27" s="521"/>
      <c r="N27" s="521"/>
      <c r="O27" s="523"/>
      <c r="P27" s="524"/>
      <c r="Q27" s="521"/>
      <c r="R27" s="521"/>
      <c r="S27" s="521"/>
      <c r="T27" s="521"/>
      <c r="U27" s="523"/>
      <c r="V27" s="524"/>
      <c r="W27" s="521"/>
      <c r="X27" s="521"/>
      <c r="Y27" s="521"/>
      <c r="Z27" s="521"/>
      <c r="AA27" s="523"/>
      <c r="AB27" s="564"/>
      <c r="AC27" s="516"/>
      <c r="AD27" s="516"/>
      <c r="AE27" s="516"/>
      <c r="AF27" s="516"/>
      <c r="AG27" s="517"/>
      <c r="AH27" s="571"/>
      <c r="AI27" s="572"/>
      <c r="AJ27" s="572"/>
      <c r="AK27" s="572"/>
      <c r="AL27" s="572"/>
      <c r="AM27" s="573"/>
      <c r="AN27" s="69"/>
      <c r="AO27" s="547"/>
      <c r="AP27" s="548"/>
      <c r="AQ27" s="548"/>
      <c r="AR27" s="548"/>
      <c r="AS27" s="548"/>
      <c r="AT27" s="549"/>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18"/>
      <c r="C28" s="518"/>
      <c r="D28" s="519"/>
      <c r="E28" s="510"/>
      <c r="F28" s="511"/>
      <c r="G28" s="511"/>
      <c r="H28" s="511"/>
      <c r="I28" s="512"/>
      <c r="J28" s="524" t="str">
        <f ca="1">IF(AND('Mapa final'!$P$38="Media",'Mapa final'!$T$38="Leve"),CONCATENATE("R",'Mapa final'!$A$38),"")</f>
        <v/>
      </c>
      <c r="K28" s="521"/>
      <c r="L28" s="521" t="str">
        <f>IF(AND('Mapa final'!$P$248="Media",'Mapa final'!$T$248="Leve"),CONCATENATE("R",'Mapa final'!$A$248),"")</f>
        <v/>
      </c>
      <c r="M28" s="521"/>
      <c r="N28" s="521" t="str">
        <f>IF(AND('Mapa final'!$P$254="Media",'Mapa final'!$T$254="Leve"),CONCATENATE("R",'Mapa final'!$A$254),"")</f>
        <v/>
      </c>
      <c r="O28" s="523"/>
      <c r="P28" s="524" t="str">
        <f ca="1">IF(AND('Mapa final'!$P$38="Media",'Mapa final'!$T$38="Menor"),CONCATENATE("R",'Mapa final'!$A$38),"")</f>
        <v/>
      </c>
      <c r="Q28" s="521"/>
      <c r="R28" s="521" t="str">
        <f>IF(AND('Mapa final'!$P$248="Media",'Mapa final'!$T$248="Menor"),CONCATENATE("R",'Mapa final'!$A$248),"")</f>
        <v/>
      </c>
      <c r="S28" s="521"/>
      <c r="T28" s="521" t="str">
        <f>IF(AND('Mapa final'!$P$254="Media",'Mapa final'!$T$254="Menor"),CONCATENATE("R",'Mapa final'!$A$254),"")</f>
        <v/>
      </c>
      <c r="U28" s="523"/>
      <c r="V28" s="524" t="str">
        <f ca="1">IF(AND('Mapa final'!$P$38="Media",'Mapa final'!$T$38="Moderado"),CONCATENATE("R",'Mapa final'!$A$38),"")</f>
        <v/>
      </c>
      <c r="W28" s="521"/>
      <c r="X28" s="521" t="str">
        <f>IF(AND('Mapa final'!$P$248="Media",'Mapa final'!$T$248="Moderado"),CONCATENATE("R",'Mapa final'!$A$248),"")</f>
        <v/>
      </c>
      <c r="Y28" s="521"/>
      <c r="Z28" s="521" t="str">
        <f>IF(AND('Mapa final'!$P$254="Media",'Mapa final'!$T$254="Moderado"),CONCATENATE("R",'Mapa final'!$A$254),"")</f>
        <v/>
      </c>
      <c r="AA28" s="523"/>
      <c r="AB28" s="564" t="str">
        <f ca="1">IF(AND('Mapa final'!$P$38="Media",'Mapa final'!$T$38="Mayor"),CONCATENATE("R",'Mapa final'!$A$38),"")</f>
        <v/>
      </c>
      <c r="AC28" s="516"/>
      <c r="AD28" s="516" t="str">
        <f>IF(AND('Mapa final'!$P$248="Media",'Mapa final'!$T$248="Mayor"),CONCATENATE("R",'Mapa final'!$A$248),"")</f>
        <v/>
      </c>
      <c r="AE28" s="516"/>
      <c r="AF28" s="516" t="str">
        <f>IF(AND('Mapa final'!$P$254="Media",'Mapa final'!$T$254="Mayor"),CONCATENATE("R",'Mapa final'!$A$254),"")</f>
        <v/>
      </c>
      <c r="AG28" s="517"/>
      <c r="AH28" s="571" t="str">
        <f ca="1">IF(AND('Mapa final'!$P$38="Media",'Mapa final'!$T$38="Catastrófico"),CONCATENATE("R",'Mapa final'!$A$38),"")</f>
        <v/>
      </c>
      <c r="AI28" s="572"/>
      <c r="AJ28" s="572" t="str">
        <f>IF(AND('Mapa final'!$P$248="Media",'Mapa final'!$T$248="Catastrófico"),CONCATENATE("R",'Mapa final'!$A$248),"")</f>
        <v/>
      </c>
      <c r="AK28" s="572"/>
      <c r="AL28" s="572" t="str">
        <f>IF(AND('Mapa final'!$P$254="Media",'Mapa final'!$T$254="Catastrófico"),CONCATENATE("R",'Mapa final'!$A$254),"")</f>
        <v/>
      </c>
      <c r="AM28" s="573"/>
      <c r="AN28" s="69"/>
      <c r="AO28" s="547"/>
      <c r="AP28" s="548"/>
      <c r="AQ28" s="548"/>
      <c r="AR28" s="548"/>
      <c r="AS28" s="548"/>
      <c r="AT28" s="549"/>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18"/>
      <c r="C29" s="518"/>
      <c r="D29" s="519"/>
      <c r="E29" s="513"/>
      <c r="F29" s="514"/>
      <c r="G29" s="514"/>
      <c r="H29" s="514"/>
      <c r="I29" s="515"/>
      <c r="J29" s="524"/>
      <c r="K29" s="521"/>
      <c r="L29" s="521"/>
      <c r="M29" s="521"/>
      <c r="N29" s="521"/>
      <c r="O29" s="523"/>
      <c r="P29" s="580"/>
      <c r="Q29" s="581"/>
      <c r="R29" s="581"/>
      <c r="S29" s="581"/>
      <c r="T29" s="581"/>
      <c r="U29" s="582"/>
      <c r="V29" s="580"/>
      <c r="W29" s="581"/>
      <c r="X29" s="581"/>
      <c r="Y29" s="581"/>
      <c r="Z29" s="581"/>
      <c r="AA29" s="582"/>
      <c r="AB29" s="568"/>
      <c r="AC29" s="569"/>
      <c r="AD29" s="569"/>
      <c r="AE29" s="569"/>
      <c r="AF29" s="569"/>
      <c r="AG29" s="570"/>
      <c r="AH29" s="574"/>
      <c r="AI29" s="575"/>
      <c r="AJ29" s="575"/>
      <c r="AK29" s="575"/>
      <c r="AL29" s="575"/>
      <c r="AM29" s="576"/>
      <c r="AN29" s="69"/>
      <c r="AO29" s="550"/>
      <c r="AP29" s="551"/>
      <c r="AQ29" s="551"/>
      <c r="AR29" s="551"/>
      <c r="AS29" s="551"/>
      <c r="AT29" s="552"/>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18"/>
      <c r="C30" s="518"/>
      <c r="D30" s="519"/>
      <c r="E30" s="507" t="s">
        <v>135</v>
      </c>
      <c r="F30" s="508"/>
      <c r="G30" s="508"/>
      <c r="H30" s="508"/>
      <c r="I30" s="508"/>
      <c r="J30" s="589" t="str">
        <f ca="1">IF(AND('Mapa final'!$P$13="Baja",'Mapa final'!$T$13="Leve"),CONCATENATE("R",'Mapa final'!$A$13),"")</f>
        <v/>
      </c>
      <c r="K30" s="590"/>
      <c r="L30" s="590" t="str">
        <f ca="1">IF(AND('Mapa final'!$P$15="Baja",'Mapa final'!$T$15="Leve"),CONCATENATE("R",'Mapa final'!$A$15),"")</f>
        <v/>
      </c>
      <c r="M30" s="590"/>
      <c r="N30" s="590" t="str">
        <f ca="1">IF(AND('Mapa final'!$P$17="Baja",'Mapa final'!$T$17="Leve"),CONCATENATE("R",'Mapa final'!$A$17),"")</f>
        <v/>
      </c>
      <c r="O30" s="591"/>
      <c r="P30" s="520" t="str">
        <f ca="1">IF(AND('Mapa final'!$P$13="Baja",'Mapa final'!$T$13="Menor"),CONCATENATE("R",'Mapa final'!$A$13),"")</f>
        <v/>
      </c>
      <c r="Q30" s="520"/>
      <c r="R30" s="520" t="str">
        <f ca="1">IF(AND('Mapa final'!$P$15="Baja",'Mapa final'!$T$15="Menor"),CONCATENATE("R",'Mapa final'!$A$15),"")</f>
        <v/>
      </c>
      <c r="S30" s="520"/>
      <c r="T30" s="520" t="str">
        <f ca="1">IF(AND('Mapa final'!$P$17="Baja",'Mapa final'!$T$17="Menor"),CONCATENATE("R",'Mapa final'!$A$17),"")</f>
        <v/>
      </c>
      <c r="U30" s="522"/>
      <c r="V30" s="525" t="str">
        <f ca="1">IF(AND('Mapa final'!$P$13="Baja",'Mapa final'!$T$13="Moderado"),CONCATENATE("R",'Mapa final'!$A$13),"")</f>
        <v/>
      </c>
      <c r="W30" s="520"/>
      <c r="X30" s="520" t="str">
        <f ca="1">IF(AND('Mapa final'!$P$15="Baja",'Mapa final'!$T$15="Moderado"),CONCATENATE("R",'Mapa final'!$A$15),"")</f>
        <v/>
      </c>
      <c r="Y30" s="520"/>
      <c r="Z30" s="520" t="str">
        <f ca="1">IF(AND('Mapa final'!$P$17="Baja",'Mapa final'!$T$17="Moderado"),CONCATENATE("R",'Mapa final'!$A$17),"")</f>
        <v/>
      </c>
      <c r="AA30" s="522"/>
      <c r="AB30" s="562" t="str">
        <f ca="1">IF(AND('Mapa final'!$P$13="Baja",'Mapa final'!$T$13="Mayor"),CONCATENATE("R",'Mapa final'!$A$13),"")</f>
        <v/>
      </c>
      <c r="AC30" s="563"/>
      <c r="AD30" s="563" t="str">
        <f ca="1">IF(AND('Mapa final'!$P$15="Baja",'Mapa final'!$T$15="Mayor"),CONCATENATE("R",'Mapa final'!$A$15),"")</f>
        <v/>
      </c>
      <c r="AE30" s="563"/>
      <c r="AF30" s="563" t="str">
        <f ca="1">IF(AND('Mapa final'!$P$17="Baja",'Mapa final'!$T$17="Mayor"),CONCATENATE("R",'Mapa final'!$A$17),"")</f>
        <v/>
      </c>
      <c r="AG30" s="565"/>
      <c r="AH30" s="577" t="str">
        <f ca="1">IF(AND('Mapa final'!$P$13="Baja",'Mapa final'!$T$13="Catastrófico"),CONCATENATE("R",'Mapa final'!$A$13),"")</f>
        <v/>
      </c>
      <c r="AI30" s="578"/>
      <c r="AJ30" s="578" t="str">
        <f ca="1">IF(AND('Mapa final'!$P$15="Baja",'Mapa final'!$T$15="Catastrófico"),CONCATENATE("R",'Mapa final'!$A$15),"")</f>
        <v/>
      </c>
      <c r="AK30" s="578"/>
      <c r="AL30" s="578" t="str">
        <f ca="1">IF(AND('Mapa final'!$P$17="Baja",'Mapa final'!$T$17="Catastrófico"),CONCATENATE("R",'Mapa final'!$A$17),"")</f>
        <v/>
      </c>
      <c r="AM30" s="579"/>
      <c r="AN30" s="69"/>
      <c r="AO30" s="553" t="s">
        <v>136</v>
      </c>
      <c r="AP30" s="554"/>
      <c r="AQ30" s="554"/>
      <c r="AR30" s="554"/>
      <c r="AS30" s="554"/>
      <c r="AT30" s="555"/>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18"/>
      <c r="C31" s="518"/>
      <c r="D31" s="519"/>
      <c r="E31" s="510"/>
      <c r="F31" s="511"/>
      <c r="G31" s="511"/>
      <c r="H31" s="511"/>
      <c r="I31" s="511"/>
      <c r="J31" s="585"/>
      <c r="K31" s="583"/>
      <c r="L31" s="583"/>
      <c r="M31" s="583"/>
      <c r="N31" s="583"/>
      <c r="O31" s="584"/>
      <c r="P31" s="521"/>
      <c r="Q31" s="521"/>
      <c r="R31" s="521"/>
      <c r="S31" s="521"/>
      <c r="T31" s="521"/>
      <c r="U31" s="523"/>
      <c r="V31" s="524"/>
      <c r="W31" s="521"/>
      <c r="X31" s="521"/>
      <c r="Y31" s="521"/>
      <c r="Z31" s="521"/>
      <c r="AA31" s="523"/>
      <c r="AB31" s="564"/>
      <c r="AC31" s="516"/>
      <c r="AD31" s="516"/>
      <c r="AE31" s="516"/>
      <c r="AF31" s="516"/>
      <c r="AG31" s="517"/>
      <c r="AH31" s="571"/>
      <c r="AI31" s="572"/>
      <c r="AJ31" s="572"/>
      <c r="AK31" s="572"/>
      <c r="AL31" s="572"/>
      <c r="AM31" s="573"/>
      <c r="AN31" s="69"/>
      <c r="AO31" s="556"/>
      <c r="AP31" s="557"/>
      <c r="AQ31" s="557"/>
      <c r="AR31" s="557"/>
      <c r="AS31" s="557"/>
      <c r="AT31" s="558"/>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18"/>
      <c r="C32" s="518"/>
      <c r="D32" s="519"/>
      <c r="E32" s="510"/>
      <c r="F32" s="511"/>
      <c r="G32" s="511"/>
      <c r="H32" s="511"/>
      <c r="I32" s="511"/>
      <c r="J32" s="585" t="str">
        <f ca="1">IF(AND('Mapa final'!$P$20="Baja",'Mapa final'!$T$20="Leve"),CONCATENATE("R",'Mapa final'!$A$20),"")</f>
        <v/>
      </c>
      <c r="K32" s="583"/>
      <c r="L32" s="583" t="str">
        <f ca="1">IF(AND('Mapa final'!$P$22="Baja",'Mapa final'!$T$22="Leve"),CONCATENATE("R",'Mapa final'!$A$22),"")</f>
        <v/>
      </c>
      <c r="M32" s="583"/>
      <c r="N32" s="583" t="str">
        <f ca="1">IF(AND('Mapa final'!$P$25="Baja",'Mapa final'!$T$25="Leve"),CONCATENATE("R",'Mapa final'!$A$25),"")</f>
        <v/>
      </c>
      <c r="O32" s="584"/>
      <c r="P32" s="521" t="str">
        <f ca="1">IF(AND('Mapa final'!$P$20="Baja",'Mapa final'!$T$20="Menor"),CONCATENATE("R",'Mapa final'!$A$20),"")</f>
        <v/>
      </c>
      <c r="Q32" s="521"/>
      <c r="R32" s="521" t="str">
        <f ca="1">IF(AND('Mapa final'!$P$22="Baja",'Mapa final'!$T$22="Menor"),CONCATENATE("R",'Mapa final'!$A$22),"")</f>
        <v/>
      </c>
      <c r="S32" s="521"/>
      <c r="T32" s="521" t="str">
        <f ca="1">IF(AND('Mapa final'!$P$25="Baja",'Mapa final'!$T$25="Menor"),CONCATENATE("R",'Mapa final'!$A$25),"")</f>
        <v/>
      </c>
      <c r="U32" s="523"/>
      <c r="V32" s="524" t="str">
        <f ca="1">IF(AND('Mapa final'!$P$20="Baja",'Mapa final'!$T$20="Moderado"),CONCATENATE("R",'Mapa final'!$A$20),"")</f>
        <v>R4</v>
      </c>
      <c r="W32" s="521"/>
      <c r="X32" s="521" t="str">
        <f ca="1">IF(AND('Mapa final'!$P$22="Baja",'Mapa final'!$T$22="Moderado"),CONCATENATE("R",'Mapa final'!$A$22),"")</f>
        <v/>
      </c>
      <c r="Y32" s="521"/>
      <c r="Z32" s="521" t="str">
        <f ca="1">IF(AND('Mapa final'!$P$25="Baja",'Mapa final'!$T$25="Moderado"),CONCATENATE("R",'Mapa final'!$A$25),"")</f>
        <v/>
      </c>
      <c r="AA32" s="523"/>
      <c r="AB32" s="564" t="str">
        <f ca="1">IF(AND('Mapa final'!$P$20="Baja",'Mapa final'!$T$20="Mayor"),CONCATENATE("R",'Mapa final'!$A$20),"")</f>
        <v/>
      </c>
      <c r="AC32" s="516"/>
      <c r="AD32" s="516" t="str">
        <f ca="1">IF(AND('Mapa final'!$P$22="Baja",'Mapa final'!$T$22="Mayor"),CONCATENATE("R",'Mapa final'!$A$22),"")</f>
        <v/>
      </c>
      <c r="AE32" s="516"/>
      <c r="AF32" s="516" t="str">
        <f ca="1">IF(AND('Mapa final'!$P$25="Baja",'Mapa final'!$T$25="Mayor"),CONCATENATE("R",'Mapa final'!$A$25),"")</f>
        <v/>
      </c>
      <c r="AG32" s="517"/>
      <c r="AH32" s="571" t="str">
        <f ca="1">IF(AND('Mapa final'!$P$20="Baja",'Mapa final'!$T$20="Catastrófico"),CONCATENATE("R",'Mapa final'!$A$20),"")</f>
        <v/>
      </c>
      <c r="AI32" s="572"/>
      <c r="AJ32" s="572" t="str">
        <f ca="1">IF(AND('Mapa final'!$P$22="Baja",'Mapa final'!$T$22="Catastrófico"),CONCATENATE("R",'Mapa final'!$A$22),"")</f>
        <v/>
      </c>
      <c r="AK32" s="572"/>
      <c r="AL32" s="572" t="str">
        <f ca="1">IF(AND('Mapa final'!$P$25="Baja",'Mapa final'!$T$25="Catastrófico"),CONCATENATE("R",'Mapa final'!$A$25),"")</f>
        <v/>
      </c>
      <c r="AM32" s="573"/>
      <c r="AN32" s="69"/>
      <c r="AO32" s="556"/>
      <c r="AP32" s="557"/>
      <c r="AQ32" s="557"/>
      <c r="AR32" s="557"/>
      <c r="AS32" s="557"/>
      <c r="AT32" s="558"/>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18"/>
      <c r="C33" s="518"/>
      <c r="D33" s="519"/>
      <c r="E33" s="510"/>
      <c r="F33" s="511"/>
      <c r="G33" s="511"/>
      <c r="H33" s="511"/>
      <c r="I33" s="511"/>
      <c r="J33" s="585"/>
      <c r="K33" s="583"/>
      <c r="L33" s="583"/>
      <c r="M33" s="583"/>
      <c r="N33" s="583"/>
      <c r="O33" s="584"/>
      <c r="P33" s="521"/>
      <c r="Q33" s="521"/>
      <c r="R33" s="521"/>
      <c r="S33" s="521"/>
      <c r="T33" s="521"/>
      <c r="U33" s="523"/>
      <c r="V33" s="524"/>
      <c r="W33" s="521"/>
      <c r="X33" s="521"/>
      <c r="Y33" s="521"/>
      <c r="Z33" s="521"/>
      <c r="AA33" s="523"/>
      <c r="AB33" s="564"/>
      <c r="AC33" s="516"/>
      <c r="AD33" s="516"/>
      <c r="AE33" s="516"/>
      <c r="AF33" s="516"/>
      <c r="AG33" s="517"/>
      <c r="AH33" s="571"/>
      <c r="AI33" s="572"/>
      <c r="AJ33" s="572"/>
      <c r="AK33" s="572"/>
      <c r="AL33" s="572"/>
      <c r="AM33" s="573"/>
      <c r="AN33" s="69"/>
      <c r="AO33" s="556"/>
      <c r="AP33" s="557"/>
      <c r="AQ33" s="557"/>
      <c r="AR33" s="557"/>
      <c r="AS33" s="557"/>
      <c r="AT33" s="558"/>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18"/>
      <c r="C34" s="518"/>
      <c r="D34" s="519"/>
      <c r="E34" s="510"/>
      <c r="F34" s="511"/>
      <c r="G34" s="511"/>
      <c r="H34" s="511"/>
      <c r="I34" s="511"/>
      <c r="J34" s="585" t="str">
        <f ca="1">IF(AND('Mapa final'!$P$27="Baja",'Mapa final'!$T$27="Leve"),CONCATENATE("R",'Mapa final'!$B$27),"")</f>
        <v/>
      </c>
      <c r="K34" s="583"/>
      <c r="L34" s="583" t="str">
        <f ca="1">IF(AND('Mapa final'!$P$29="Baja",'Mapa final'!$T$29="Leve"),CONCATENATE("R",'Mapa final'!$A$29),"")</f>
        <v/>
      </c>
      <c r="M34" s="583"/>
      <c r="N34" s="583" t="str">
        <f ca="1">IF(AND('Mapa final'!$P$33="Baja",'Mapa final'!$T$33="Leve"),CONCATENATE("R",'Mapa final'!$A$33),"")</f>
        <v/>
      </c>
      <c r="O34" s="584"/>
      <c r="P34" s="521" t="str">
        <f ca="1">IF(AND('Mapa final'!$P$27="Baja",'Mapa final'!$T$27="Menor"),CONCATENATE("R",'Mapa final'!$B$27),"")</f>
        <v/>
      </c>
      <c r="Q34" s="521"/>
      <c r="R34" s="521" t="str">
        <f ca="1">IF(AND('Mapa final'!$P$29="Baja",'Mapa final'!$T$29="Menor"),CONCATENATE("R",'Mapa final'!$A$29),"")</f>
        <v/>
      </c>
      <c r="S34" s="521"/>
      <c r="T34" s="521" t="str">
        <f ca="1">IF(AND('Mapa final'!$P$33="Baja",'Mapa final'!$T$33="Menor"),CONCATENATE("R",'Mapa final'!$A$33),"")</f>
        <v/>
      </c>
      <c r="U34" s="523"/>
      <c r="V34" s="524" t="str">
        <f ca="1">IF(AND('Mapa final'!$P$27="Baja",'Mapa final'!$T$27="Moderado"),CONCATENATE("R",'Mapa final'!$B$27),"")</f>
        <v/>
      </c>
      <c r="W34" s="521"/>
      <c r="X34" s="521" t="str">
        <f ca="1">IF(AND('Mapa final'!$P$29="Baja",'Mapa final'!$T$29="Moderado"),CONCATENATE("R",'Mapa final'!$A$29),"")</f>
        <v/>
      </c>
      <c r="Y34" s="521"/>
      <c r="Z34" s="521" t="str">
        <f ca="1">IF(AND('Mapa final'!$P$33="Baja",'Mapa final'!$T$33="Moderado"),CONCATENATE("R",'Mapa final'!$A$33),"")</f>
        <v/>
      </c>
      <c r="AA34" s="523"/>
      <c r="AB34" s="564" t="str">
        <f ca="1">IF(AND('Mapa final'!$P$27="Baja",'Mapa final'!$T$27="Mayor"),CONCATENATE("R",'Mapa final'!$B$27),"")</f>
        <v/>
      </c>
      <c r="AC34" s="516"/>
      <c r="AD34" s="516" t="str">
        <f ca="1">IF(AND('Mapa final'!$P$29="Baja",'Mapa final'!$T$29="Mayor"),CONCATENATE("R",'Mapa final'!$A$29),"")</f>
        <v/>
      </c>
      <c r="AE34" s="516"/>
      <c r="AF34" s="516" t="str">
        <f ca="1">IF(AND('Mapa final'!$P$33="Baja",'Mapa final'!$T$33="Mayor"),CONCATENATE("R",'Mapa final'!$A$33),"")</f>
        <v/>
      </c>
      <c r="AG34" s="517"/>
      <c r="AH34" s="571" t="str">
        <f ca="1">IF(AND('Mapa final'!$P$27="Baja",'Mapa final'!$T$27="Catastrófico"),CONCATENATE("R",'Mapa final'!$B$27),"")</f>
        <v/>
      </c>
      <c r="AI34" s="572"/>
      <c r="AJ34" s="572" t="str">
        <f ca="1">IF(AND('Mapa final'!$P$29="Baja",'Mapa final'!$T$29="Catastrófico"),CONCATENATE("R",'Mapa final'!$A$29),"")</f>
        <v/>
      </c>
      <c r="AK34" s="572"/>
      <c r="AL34" s="572" t="str">
        <f ca="1">IF(AND('Mapa final'!$P$33="Baja",'Mapa final'!$T$33="Catastrófico"),CONCATENATE("R",'Mapa final'!$A$33),"")</f>
        <v/>
      </c>
      <c r="AM34" s="573"/>
      <c r="AN34" s="69"/>
      <c r="AO34" s="556"/>
      <c r="AP34" s="557"/>
      <c r="AQ34" s="557"/>
      <c r="AR34" s="557"/>
      <c r="AS34" s="557"/>
      <c r="AT34" s="558"/>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18"/>
      <c r="C35" s="518"/>
      <c r="D35" s="519"/>
      <c r="E35" s="510"/>
      <c r="F35" s="511"/>
      <c r="G35" s="511"/>
      <c r="H35" s="511"/>
      <c r="I35" s="511"/>
      <c r="J35" s="585"/>
      <c r="K35" s="583"/>
      <c r="L35" s="583"/>
      <c r="M35" s="583"/>
      <c r="N35" s="583"/>
      <c r="O35" s="584"/>
      <c r="P35" s="521"/>
      <c r="Q35" s="521"/>
      <c r="R35" s="521"/>
      <c r="S35" s="521"/>
      <c r="T35" s="521"/>
      <c r="U35" s="523"/>
      <c r="V35" s="524"/>
      <c r="W35" s="521"/>
      <c r="X35" s="521"/>
      <c r="Y35" s="521"/>
      <c r="Z35" s="521"/>
      <c r="AA35" s="523"/>
      <c r="AB35" s="564"/>
      <c r="AC35" s="516"/>
      <c r="AD35" s="516"/>
      <c r="AE35" s="516"/>
      <c r="AF35" s="516"/>
      <c r="AG35" s="517"/>
      <c r="AH35" s="571"/>
      <c r="AI35" s="572"/>
      <c r="AJ35" s="572"/>
      <c r="AK35" s="572"/>
      <c r="AL35" s="572"/>
      <c r="AM35" s="573"/>
      <c r="AN35" s="69"/>
      <c r="AO35" s="556"/>
      <c r="AP35" s="557"/>
      <c r="AQ35" s="557"/>
      <c r="AR35" s="557"/>
      <c r="AS35" s="557"/>
      <c r="AT35" s="558"/>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18"/>
      <c r="C36" s="518"/>
      <c r="D36" s="519"/>
      <c r="E36" s="510"/>
      <c r="F36" s="511"/>
      <c r="G36" s="511"/>
      <c r="H36" s="511"/>
      <c r="I36" s="511"/>
      <c r="J36" s="585" t="str">
        <f ca="1">IF(AND('Mapa final'!$P$38="Baja",'Mapa final'!$T$38="Leve"),CONCATENATE("R",'Mapa final'!$A$38),"")</f>
        <v/>
      </c>
      <c r="K36" s="583"/>
      <c r="L36" s="583" t="str">
        <f>IF(AND('Mapa final'!$P$248="Baja",'Mapa final'!$T$248="Leve"),CONCATENATE("R",'Mapa final'!$A$248),"")</f>
        <v/>
      </c>
      <c r="M36" s="583"/>
      <c r="N36" s="583" t="str">
        <f>IF(AND('Mapa final'!$P$254="Baja",'Mapa final'!$T$254="Leve"),CONCATENATE("R",'Mapa final'!$A$254),"")</f>
        <v/>
      </c>
      <c r="O36" s="584"/>
      <c r="P36" s="521" t="str">
        <f ca="1">IF(AND('Mapa final'!$P$38="Baja",'Mapa final'!$T$38="Menor"),CONCATENATE("R",'Mapa final'!$A$38),"")</f>
        <v/>
      </c>
      <c r="Q36" s="521"/>
      <c r="R36" s="521" t="str">
        <f>IF(AND('Mapa final'!$P$248="Baja",'Mapa final'!$T$248="Menor"),CONCATENATE("R",'Mapa final'!$A$248),"")</f>
        <v/>
      </c>
      <c r="S36" s="521"/>
      <c r="T36" s="521" t="str">
        <f>IF(AND('Mapa final'!$P$254="Baja",'Mapa final'!$T$254="Menor"),CONCATENATE("R",'Mapa final'!$A$254),"")</f>
        <v/>
      </c>
      <c r="U36" s="523"/>
      <c r="V36" s="524" t="str">
        <f ca="1">IF(AND('Mapa final'!$P$38="Baja",'Mapa final'!$T$38="Moderado"),CONCATENATE("R",'Mapa final'!$A$38),"")</f>
        <v/>
      </c>
      <c r="W36" s="521"/>
      <c r="X36" s="521" t="str">
        <f>IF(AND('Mapa final'!$P$248="Baja",'Mapa final'!$T$248="Moderado"),CONCATENATE("R",'Mapa final'!$A$248),"")</f>
        <v/>
      </c>
      <c r="Y36" s="521"/>
      <c r="Z36" s="521" t="str">
        <f>IF(AND('Mapa final'!$P$254="Baja",'Mapa final'!$T$254="Moderado"),CONCATENATE("R",'Mapa final'!$A$254),"")</f>
        <v/>
      </c>
      <c r="AA36" s="523"/>
      <c r="AB36" s="564" t="str">
        <f ca="1">IF(AND('Mapa final'!$P$38="Baja",'Mapa final'!$T$38="Mayor"),CONCATENATE("R",'Mapa final'!$A$38),"")</f>
        <v/>
      </c>
      <c r="AC36" s="516"/>
      <c r="AD36" s="516" t="str">
        <f>IF(AND('Mapa final'!$P$248="Baja",'Mapa final'!$T$248="Mayor"),CONCATENATE("R",'Mapa final'!$A$248),"")</f>
        <v/>
      </c>
      <c r="AE36" s="516"/>
      <c r="AF36" s="516" t="str">
        <f>IF(AND('Mapa final'!$P$254="Baja",'Mapa final'!$T$254="Mayor"),CONCATENATE("R",'Mapa final'!$A$254),"")</f>
        <v/>
      </c>
      <c r="AG36" s="517"/>
      <c r="AH36" s="571" t="str">
        <f ca="1">IF(AND('Mapa final'!$P$38="Baja",'Mapa final'!$T$38="Catastrófico"),CONCATENATE("R",'Mapa final'!$A$38),"")</f>
        <v/>
      </c>
      <c r="AI36" s="572"/>
      <c r="AJ36" s="572" t="str">
        <f>IF(AND('Mapa final'!$P$248="Baja",'Mapa final'!$T$248="Catastrófico"),CONCATENATE("R",'Mapa final'!$A$248),"")</f>
        <v/>
      </c>
      <c r="AK36" s="572"/>
      <c r="AL36" s="572" t="str">
        <f>IF(AND('Mapa final'!$P$254="Baja",'Mapa final'!$T$254="Catastrófico"),CONCATENATE("R",'Mapa final'!$A$254),"")</f>
        <v/>
      </c>
      <c r="AM36" s="573"/>
      <c r="AN36" s="69"/>
      <c r="AO36" s="556"/>
      <c r="AP36" s="557"/>
      <c r="AQ36" s="557"/>
      <c r="AR36" s="557"/>
      <c r="AS36" s="557"/>
      <c r="AT36" s="558"/>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18"/>
      <c r="C37" s="518"/>
      <c r="D37" s="519"/>
      <c r="E37" s="513"/>
      <c r="F37" s="514"/>
      <c r="G37" s="514"/>
      <c r="H37" s="514"/>
      <c r="I37" s="514"/>
      <c r="J37" s="586"/>
      <c r="K37" s="587"/>
      <c r="L37" s="587"/>
      <c r="M37" s="587"/>
      <c r="N37" s="587"/>
      <c r="O37" s="588"/>
      <c r="P37" s="581"/>
      <c r="Q37" s="581"/>
      <c r="R37" s="581"/>
      <c r="S37" s="581"/>
      <c r="T37" s="581"/>
      <c r="U37" s="582"/>
      <c r="V37" s="580"/>
      <c r="W37" s="581"/>
      <c r="X37" s="581"/>
      <c r="Y37" s="581"/>
      <c r="Z37" s="581"/>
      <c r="AA37" s="582"/>
      <c r="AB37" s="568"/>
      <c r="AC37" s="569"/>
      <c r="AD37" s="569"/>
      <c r="AE37" s="569"/>
      <c r="AF37" s="569"/>
      <c r="AG37" s="570"/>
      <c r="AH37" s="574"/>
      <c r="AI37" s="575"/>
      <c r="AJ37" s="575"/>
      <c r="AK37" s="575"/>
      <c r="AL37" s="575"/>
      <c r="AM37" s="576"/>
      <c r="AN37" s="69"/>
      <c r="AO37" s="559"/>
      <c r="AP37" s="560"/>
      <c r="AQ37" s="560"/>
      <c r="AR37" s="560"/>
      <c r="AS37" s="560"/>
      <c r="AT37" s="561"/>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18"/>
      <c r="C38" s="518"/>
      <c r="D38" s="519"/>
      <c r="E38" s="507" t="s">
        <v>137</v>
      </c>
      <c r="F38" s="508"/>
      <c r="G38" s="508"/>
      <c r="H38" s="508"/>
      <c r="I38" s="509"/>
      <c r="J38" s="589" t="str">
        <f ca="1">IF(AND('Mapa final'!$P$13="Muy Baja",'Mapa final'!$T$13="Leve"),CONCATENATE("R",'Mapa final'!$A$13),"")</f>
        <v/>
      </c>
      <c r="K38" s="590"/>
      <c r="L38" s="590" t="str">
        <f ca="1">IF(AND('Mapa final'!$P$15="Muy Baja",'Mapa final'!$T$15="Leve"),CONCATENATE("R",'Mapa final'!$A$15),"")</f>
        <v/>
      </c>
      <c r="M38" s="590"/>
      <c r="N38" s="590" t="str">
        <f ca="1">IF(AND('Mapa final'!$P$17="Muy Baja",'Mapa final'!$T$17="Leve"),CONCATENATE("R",'Mapa final'!$A$17),"")</f>
        <v/>
      </c>
      <c r="O38" s="591"/>
      <c r="P38" s="589" t="str">
        <f ca="1">IF(AND('Mapa final'!$P$13="Muy Baja",'Mapa final'!$T$13="Menor"),CONCATENATE("R",'Mapa final'!$A$13),"")</f>
        <v/>
      </c>
      <c r="Q38" s="590"/>
      <c r="R38" s="590" t="str">
        <f ca="1">IF(AND('Mapa final'!$P$15="Muy Baja",'Mapa final'!$T$15="Menor"),CONCATENATE("R",'Mapa final'!$A$15),"")</f>
        <v/>
      </c>
      <c r="S38" s="590"/>
      <c r="T38" s="590" t="str">
        <f ca="1">IF(AND('Mapa final'!$P$17="Muy Baja",'Mapa final'!$T$17="Menor"),CONCATENATE("R",'Mapa final'!$A$17),"")</f>
        <v/>
      </c>
      <c r="U38" s="591"/>
      <c r="V38" s="525" t="str">
        <f ca="1">IF(AND('Mapa final'!$P$13="Muy Baja",'Mapa final'!$T$13="Moderado"),CONCATENATE("R",'Mapa final'!$A$13),"")</f>
        <v/>
      </c>
      <c r="W38" s="520"/>
      <c r="X38" s="520" t="str">
        <f ca="1">IF(AND('Mapa final'!$P$15="Muy Baja",'Mapa final'!$T$15="Moderado"),CONCATENATE("R",'Mapa final'!$A$15),"")</f>
        <v/>
      </c>
      <c r="Y38" s="520"/>
      <c r="Z38" s="520" t="str">
        <f ca="1">IF(AND('Mapa final'!$P$17="Muy Baja",'Mapa final'!$T$17="Moderado"),CONCATENATE("R",'Mapa final'!$A$17),"")</f>
        <v/>
      </c>
      <c r="AA38" s="522"/>
      <c r="AB38" s="562" t="str">
        <f ca="1">IF(AND('Mapa final'!$P$13="Muy Baja",'Mapa final'!$T$13="Mayor"),CONCATENATE("R",'Mapa final'!$A$13),"")</f>
        <v/>
      </c>
      <c r="AC38" s="563"/>
      <c r="AD38" s="563" t="str">
        <f ca="1">IF(AND('Mapa final'!$P$15="Muy Baja",'Mapa final'!$T$15="Mayor"),CONCATENATE("R",'Mapa final'!$A$15),"")</f>
        <v/>
      </c>
      <c r="AE38" s="563"/>
      <c r="AF38" s="563" t="str">
        <f ca="1">IF(AND('Mapa final'!$P$17="Muy Baja",'Mapa final'!$T$17="Mayor"),CONCATENATE("R",'Mapa final'!$A$17),"")</f>
        <v>R3</v>
      </c>
      <c r="AG38" s="565"/>
      <c r="AH38" s="577" t="str">
        <f ca="1">IF(AND('Mapa final'!$P$13="Muy Baja",'Mapa final'!$T$13="Catastrófico"),CONCATENATE("R",'Mapa final'!$A$13),"")</f>
        <v/>
      </c>
      <c r="AI38" s="578"/>
      <c r="AJ38" s="578" t="str">
        <f ca="1">IF(AND('Mapa final'!$P$15="Muy Baja",'Mapa final'!$T$15="Catastrófico"),CONCATENATE("R",'Mapa final'!$A$15),"")</f>
        <v/>
      </c>
      <c r="AK38" s="578"/>
      <c r="AL38" s="578" t="str">
        <f ca="1">IF(AND('Mapa final'!$P$17="Muy Baja",'Mapa final'!$T$17="Catastrófico"),CONCATENATE("R",'Mapa final'!$A$17),"")</f>
        <v/>
      </c>
      <c r="AM38" s="579"/>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18"/>
      <c r="C39" s="518"/>
      <c r="D39" s="519"/>
      <c r="E39" s="510"/>
      <c r="F39" s="511"/>
      <c r="G39" s="511"/>
      <c r="H39" s="511"/>
      <c r="I39" s="512"/>
      <c r="J39" s="585"/>
      <c r="K39" s="583"/>
      <c r="L39" s="583"/>
      <c r="M39" s="583"/>
      <c r="N39" s="583"/>
      <c r="O39" s="584"/>
      <c r="P39" s="585"/>
      <c r="Q39" s="583"/>
      <c r="R39" s="583"/>
      <c r="S39" s="583"/>
      <c r="T39" s="583"/>
      <c r="U39" s="584"/>
      <c r="V39" s="524"/>
      <c r="W39" s="521"/>
      <c r="X39" s="521"/>
      <c r="Y39" s="521"/>
      <c r="Z39" s="521"/>
      <c r="AA39" s="523"/>
      <c r="AB39" s="564"/>
      <c r="AC39" s="516"/>
      <c r="AD39" s="516"/>
      <c r="AE39" s="516"/>
      <c r="AF39" s="516"/>
      <c r="AG39" s="517"/>
      <c r="AH39" s="571"/>
      <c r="AI39" s="572"/>
      <c r="AJ39" s="572"/>
      <c r="AK39" s="572"/>
      <c r="AL39" s="572"/>
      <c r="AM39" s="573"/>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18"/>
      <c r="C40" s="518"/>
      <c r="D40" s="519"/>
      <c r="E40" s="510"/>
      <c r="F40" s="511"/>
      <c r="G40" s="511"/>
      <c r="H40" s="511"/>
      <c r="I40" s="512"/>
      <c r="J40" s="585" t="str">
        <f ca="1">IF(AND('Mapa final'!$P$20="Muy Baja",'Mapa final'!$T$20="Leve"),CONCATENATE("R",'Mapa final'!$A$20),"")</f>
        <v/>
      </c>
      <c r="K40" s="583"/>
      <c r="L40" s="583" t="str">
        <f ca="1">IF(AND('Mapa final'!$P$22="Muy Baja",'Mapa final'!$T$22="Leve"),CONCATENATE("R",'Mapa final'!$A$22),"")</f>
        <v/>
      </c>
      <c r="M40" s="583"/>
      <c r="N40" s="583" t="str">
        <f ca="1">IF(AND('Mapa final'!$P$25="Muy Baja",'Mapa final'!$T$25="Leve"),CONCATENATE("R",'Mapa final'!$A$25),"")</f>
        <v/>
      </c>
      <c r="O40" s="584"/>
      <c r="P40" s="585" t="str">
        <f ca="1">IF(AND('Mapa final'!$P$20="Muy Baja",'Mapa final'!$T$20="Menor"),CONCATENATE("R",'Mapa final'!$A$20),"")</f>
        <v/>
      </c>
      <c r="Q40" s="583"/>
      <c r="R40" s="583" t="str">
        <f ca="1">IF(AND('Mapa final'!$P$22="Muy Baja",'Mapa final'!$T$22="Menor"),CONCATENATE("R",'Mapa final'!$A$22),"")</f>
        <v/>
      </c>
      <c r="S40" s="583"/>
      <c r="T40" s="583" t="str">
        <f ca="1">IF(AND('Mapa final'!$P$25="Muy Baja",'Mapa final'!$T$25="Menor"),CONCATENATE("R",'Mapa final'!$A$25),"")</f>
        <v/>
      </c>
      <c r="U40" s="584"/>
      <c r="V40" s="524" t="str">
        <f ca="1">IF(AND('Mapa final'!$P$20="Muy Baja",'Mapa final'!$T$20="Moderado"),CONCATENATE("R",'Mapa final'!$A$20),"")</f>
        <v/>
      </c>
      <c r="W40" s="521"/>
      <c r="X40" s="521" t="str">
        <f ca="1">IF(AND('Mapa final'!$P$22="Muy Baja",'Mapa final'!$T$22="Moderado"),CONCATENATE("R",'Mapa final'!$A$22),"")</f>
        <v/>
      </c>
      <c r="Y40" s="521"/>
      <c r="Z40" s="521" t="str">
        <f ca="1">IF(AND('Mapa final'!$P$25="Muy Baja",'Mapa final'!$T$25="Moderado"),CONCATENATE("R",'Mapa final'!$A$25),"")</f>
        <v/>
      </c>
      <c r="AA40" s="523"/>
      <c r="AB40" s="564" t="str">
        <f ca="1">IF(AND('Mapa final'!$P$20="Muy Baja",'Mapa final'!$T$20="Mayor"),CONCATENATE("R",'Mapa final'!$A$20),"")</f>
        <v/>
      </c>
      <c r="AC40" s="516"/>
      <c r="AD40" s="516" t="str">
        <f ca="1">IF(AND('Mapa final'!$P$22="Muy Baja",'Mapa final'!$T$22="Mayor"),CONCATENATE("R",'Mapa final'!$A$22),"")</f>
        <v>R5</v>
      </c>
      <c r="AE40" s="516"/>
      <c r="AF40" s="516" t="str">
        <f ca="1">IF(AND('Mapa final'!$P$25="Muy Baja",'Mapa final'!$T$25="Mayor"),CONCATENATE("R",'Mapa final'!$A$25),"")</f>
        <v/>
      </c>
      <c r="AG40" s="517"/>
      <c r="AH40" s="571" t="str">
        <f ca="1">IF(AND('Mapa final'!$P$20="Muy Baja",'Mapa final'!$T$20="Catastrófico"),CONCATENATE("R",'Mapa final'!$A$20),"")</f>
        <v/>
      </c>
      <c r="AI40" s="572"/>
      <c r="AJ40" s="572" t="str">
        <f ca="1">IF(AND('Mapa final'!$P$22="Muy Baja",'Mapa final'!$T$22="Catastrófico"),CONCATENATE("R",'Mapa final'!$A$22),"")</f>
        <v/>
      </c>
      <c r="AK40" s="572"/>
      <c r="AL40" s="572" t="str">
        <f ca="1">IF(AND('Mapa final'!$P$25="Muy Baja",'Mapa final'!$T$25="Catastrófico"),CONCATENATE("R",'Mapa final'!$A$25),"")</f>
        <v/>
      </c>
      <c r="AM40" s="573"/>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18"/>
      <c r="C41" s="518"/>
      <c r="D41" s="519"/>
      <c r="E41" s="510"/>
      <c r="F41" s="511"/>
      <c r="G41" s="511"/>
      <c r="H41" s="511"/>
      <c r="I41" s="512"/>
      <c r="J41" s="585"/>
      <c r="K41" s="583"/>
      <c r="L41" s="583"/>
      <c r="M41" s="583"/>
      <c r="N41" s="583"/>
      <c r="O41" s="584"/>
      <c r="P41" s="585"/>
      <c r="Q41" s="583"/>
      <c r="R41" s="583"/>
      <c r="S41" s="583"/>
      <c r="T41" s="583"/>
      <c r="U41" s="584"/>
      <c r="V41" s="524"/>
      <c r="W41" s="521"/>
      <c r="X41" s="521"/>
      <c r="Y41" s="521"/>
      <c r="Z41" s="521"/>
      <c r="AA41" s="523"/>
      <c r="AB41" s="564"/>
      <c r="AC41" s="516"/>
      <c r="AD41" s="516"/>
      <c r="AE41" s="516"/>
      <c r="AF41" s="516"/>
      <c r="AG41" s="517"/>
      <c r="AH41" s="571"/>
      <c r="AI41" s="572"/>
      <c r="AJ41" s="572"/>
      <c r="AK41" s="572"/>
      <c r="AL41" s="572"/>
      <c r="AM41" s="573"/>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18"/>
      <c r="C42" s="518"/>
      <c r="D42" s="519"/>
      <c r="E42" s="510"/>
      <c r="F42" s="511"/>
      <c r="G42" s="511"/>
      <c r="H42" s="511"/>
      <c r="I42" s="512"/>
      <c r="J42" s="585" t="str">
        <f ca="1">IF(AND('Mapa final'!$P$27="Muy Baja",'Mapa final'!$T$27="Leve"),CONCATENATE("R",'Mapa final'!$B$27),"")</f>
        <v/>
      </c>
      <c r="K42" s="583"/>
      <c r="L42" s="583" t="str">
        <f ca="1">IF(AND('Mapa final'!$P$29="Muy Baja",'Mapa final'!$T$29="Leve"),CONCATENATE("R",'Mapa final'!$A$29),"")</f>
        <v/>
      </c>
      <c r="M42" s="583"/>
      <c r="N42" s="583" t="str">
        <f ca="1">IF(AND('Mapa final'!$P$33="Muy Baja",'Mapa final'!$T$33="Leve"),CONCATENATE("R",'Mapa final'!$A$33),"")</f>
        <v/>
      </c>
      <c r="O42" s="584"/>
      <c r="P42" s="585" t="str">
        <f ca="1">IF(AND('Mapa final'!$P$27="Muy Baja",'Mapa final'!$T$27="Menor"),CONCATENATE("R",'Mapa final'!$B$27),"")</f>
        <v/>
      </c>
      <c r="Q42" s="583"/>
      <c r="R42" s="583" t="str">
        <f ca="1">IF(AND('Mapa final'!$P$29="Muy Baja",'Mapa final'!$T$29="Menor"),CONCATENATE("R",'Mapa final'!$A$29),"")</f>
        <v/>
      </c>
      <c r="S42" s="583"/>
      <c r="T42" s="583" t="str">
        <f ca="1">IF(AND('Mapa final'!$P$33="Muy Baja",'Mapa final'!$T$33="Menor"),CONCATENATE("R",'Mapa final'!$A$33),"")</f>
        <v/>
      </c>
      <c r="U42" s="584"/>
      <c r="V42" s="524" t="str">
        <f ca="1">IF(AND('Mapa final'!$P$27="Muy Baja",'Mapa final'!$T$27="Moderado"),CONCATENATE("R",'Mapa final'!$B$27),"")</f>
        <v/>
      </c>
      <c r="W42" s="521"/>
      <c r="X42" s="521" t="str">
        <f ca="1">IF(AND('Mapa final'!$P$29="Muy Baja",'Mapa final'!$T$29="Moderado"),CONCATENATE("R",'Mapa final'!$A$29),"")</f>
        <v/>
      </c>
      <c r="Y42" s="521"/>
      <c r="Z42" s="521" t="str">
        <f ca="1">IF(AND('Mapa final'!$P$33="Muy Baja",'Mapa final'!$T$33="Moderado"),CONCATENATE("R",'Mapa final'!$A$33),"")</f>
        <v/>
      </c>
      <c r="AA42" s="523"/>
      <c r="AB42" s="564" t="str">
        <f ca="1">IF(AND('Mapa final'!$P$27="Muy Baja",'Mapa final'!$T$27="Mayor"),CONCATENATE("R",'Mapa final'!$B$27),"")</f>
        <v/>
      </c>
      <c r="AC42" s="516"/>
      <c r="AD42" s="516" t="str">
        <f ca="1">IF(AND('Mapa final'!$P$29="Muy Baja",'Mapa final'!$T$29="Mayor"),CONCATENATE("R",'Mapa final'!$A$29),"")</f>
        <v/>
      </c>
      <c r="AE42" s="516"/>
      <c r="AF42" s="516" t="str">
        <f ca="1">IF(AND('Mapa final'!$P$33="Muy Baja",'Mapa final'!$T$33="Mayor"),CONCATENATE("R",'Mapa final'!$A$33),"")</f>
        <v/>
      </c>
      <c r="AG42" s="517"/>
      <c r="AH42" s="571" t="str">
        <f ca="1">IF(AND('Mapa final'!$P$27="Muy Baja",'Mapa final'!$T$27="Catastrófico"),CONCATENATE("R",'Mapa final'!$B$27),"")</f>
        <v/>
      </c>
      <c r="AI42" s="572"/>
      <c r="AJ42" s="572" t="str">
        <f ca="1">IF(AND('Mapa final'!$P$29="Muy Baja",'Mapa final'!$T$29="Catastrófico"),CONCATENATE("R",'Mapa final'!$A$29),"")</f>
        <v/>
      </c>
      <c r="AK42" s="572"/>
      <c r="AL42" s="572" t="str">
        <f ca="1">IF(AND('Mapa final'!$P$33="Muy Baja",'Mapa final'!$T$33="Catastrófico"),CONCATENATE("R",'Mapa final'!$A$33),"")</f>
        <v/>
      </c>
      <c r="AM42" s="573"/>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18"/>
      <c r="C43" s="518"/>
      <c r="D43" s="519"/>
      <c r="E43" s="510"/>
      <c r="F43" s="511"/>
      <c r="G43" s="511"/>
      <c r="H43" s="511"/>
      <c r="I43" s="512"/>
      <c r="J43" s="585"/>
      <c r="K43" s="583"/>
      <c r="L43" s="583"/>
      <c r="M43" s="583"/>
      <c r="N43" s="583"/>
      <c r="O43" s="584"/>
      <c r="P43" s="585"/>
      <c r="Q43" s="583"/>
      <c r="R43" s="583"/>
      <c r="S43" s="583"/>
      <c r="T43" s="583"/>
      <c r="U43" s="584"/>
      <c r="V43" s="524"/>
      <c r="W43" s="521"/>
      <c r="X43" s="521"/>
      <c r="Y43" s="521"/>
      <c r="Z43" s="521"/>
      <c r="AA43" s="523"/>
      <c r="AB43" s="564"/>
      <c r="AC43" s="516"/>
      <c r="AD43" s="516"/>
      <c r="AE43" s="516"/>
      <c r="AF43" s="516"/>
      <c r="AG43" s="517"/>
      <c r="AH43" s="571"/>
      <c r="AI43" s="572"/>
      <c r="AJ43" s="572"/>
      <c r="AK43" s="572"/>
      <c r="AL43" s="572"/>
      <c r="AM43" s="573"/>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18"/>
      <c r="C44" s="518"/>
      <c r="D44" s="519"/>
      <c r="E44" s="510"/>
      <c r="F44" s="511"/>
      <c r="G44" s="511"/>
      <c r="H44" s="511"/>
      <c r="I44" s="512"/>
      <c r="J44" s="585" t="str">
        <f ca="1">IF(AND('Mapa final'!$P$38="Muy Baja",'Mapa final'!$T$38="Leve"),CONCATENATE("R",'Mapa final'!$A$38),"")</f>
        <v/>
      </c>
      <c r="K44" s="583"/>
      <c r="L44" s="583" t="str">
        <f>IF(AND('Mapa final'!$P$248="Muy Baja",'Mapa final'!$T$248="Leve"),CONCATENATE("R",'Mapa final'!$A$248),"")</f>
        <v/>
      </c>
      <c r="M44" s="583"/>
      <c r="N44" s="583" t="str">
        <f>IF(AND('Mapa final'!$P$254="Muy Baja",'Mapa final'!$T$254="Leve"),CONCATENATE("R",'Mapa final'!$A$254),"")</f>
        <v/>
      </c>
      <c r="O44" s="584"/>
      <c r="P44" s="585" t="str">
        <f ca="1">IF(AND('Mapa final'!$P$38="Muy Baja",'Mapa final'!$T$38="Menor"),CONCATENATE("R",'Mapa final'!$A$38),"")</f>
        <v/>
      </c>
      <c r="Q44" s="583"/>
      <c r="R44" s="583" t="str">
        <f>IF(AND('Mapa final'!$P$248="Muy Baja",'Mapa final'!$T$248="Menor"),CONCATENATE("R",'Mapa final'!$A$248),"")</f>
        <v/>
      </c>
      <c r="S44" s="583"/>
      <c r="T44" s="583" t="str">
        <f>IF(AND('Mapa final'!$P$254="Muy Baja",'Mapa final'!$T$254="Menor"),CONCATENATE("R",'Mapa final'!$A$254),"")</f>
        <v/>
      </c>
      <c r="U44" s="584"/>
      <c r="V44" s="524" t="str">
        <f ca="1">IF(AND('Mapa final'!$P$38="Muy Baja",'Mapa final'!$T$38="Moderado"),CONCATENATE("R",'Mapa final'!$A$38),"")</f>
        <v/>
      </c>
      <c r="W44" s="521"/>
      <c r="X44" s="521" t="str">
        <f>IF(AND('Mapa final'!$P$248="Muy Baja",'Mapa final'!$T$248="Moderado"),CONCATENATE("R",'Mapa final'!$A$248),"")</f>
        <v/>
      </c>
      <c r="Y44" s="521"/>
      <c r="Z44" s="521" t="str">
        <f>IF(AND('Mapa final'!$P$254="Muy Baja",'Mapa final'!$T$254="Moderado"),CONCATENATE("R",'Mapa final'!$A$254),"")</f>
        <v/>
      </c>
      <c r="AA44" s="523"/>
      <c r="AB44" s="564" t="str">
        <f ca="1">IF(AND('Mapa final'!$P$38="Muy Baja",'Mapa final'!$T$38="Mayor"),CONCATENATE("R",'Mapa final'!$A$38),"")</f>
        <v/>
      </c>
      <c r="AC44" s="516"/>
      <c r="AD44" s="516" t="str">
        <f>IF(AND('Mapa final'!$P$248="Muy Baja",'Mapa final'!$T$248="Mayor"),CONCATENATE("R",'Mapa final'!$A$248),"")</f>
        <v/>
      </c>
      <c r="AE44" s="516"/>
      <c r="AF44" s="516" t="str">
        <f>IF(AND('Mapa final'!$P$254="Muy Baja",'Mapa final'!$T$254="Mayor"),CONCATENATE("R",'Mapa final'!$A$254),"")</f>
        <v/>
      </c>
      <c r="AG44" s="517"/>
      <c r="AH44" s="571" t="str">
        <f ca="1">IF(AND('Mapa final'!$P$38="Muy Baja",'Mapa final'!$T$38="Catastrófico"),CONCATENATE("R",'Mapa final'!$A$38),"")</f>
        <v/>
      </c>
      <c r="AI44" s="572"/>
      <c r="AJ44" s="572" t="str">
        <f>IF(AND('Mapa final'!$P$248="Muy Baja",'Mapa final'!$T$248="Catastrófico"),CONCATENATE("R",'Mapa final'!$A$248),"")</f>
        <v/>
      </c>
      <c r="AK44" s="572"/>
      <c r="AL44" s="572" t="str">
        <f>IF(AND('Mapa final'!$P$254="Muy Baja",'Mapa final'!$T$254="Catastrófico"),CONCATENATE("R",'Mapa final'!$A$254),"")</f>
        <v/>
      </c>
      <c r="AM44" s="573"/>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18"/>
      <c r="C45" s="518"/>
      <c r="D45" s="519"/>
      <c r="E45" s="513"/>
      <c r="F45" s="514"/>
      <c r="G45" s="514"/>
      <c r="H45" s="514"/>
      <c r="I45" s="515"/>
      <c r="J45" s="586"/>
      <c r="K45" s="587"/>
      <c r="L45" s="587"/>
      <c r="M45" s="587"/>
      <c r="N45" s="587"/>
      <c r="O45" s="588"/>
      <c r="P45" s="586"/>
      <c r="Q45" s="587"/>
      <c r="R45" s="587"/>
      <c r="S45" s="587"/>
      <c r="T45" s="587"/>
      <c r="U45" s="588"/>
      <c r="V45" s="580"/>
      <c r="W45" s="581"/>
      <c r="X45" s="581"/>
      <c r="Y45" s="581"/>
      <c r="Z45" s="581"/>
      <c r="AA45" s="582"/>
      <c r="AB45" s="568"/>
      <c r="AC45" s="569"/>
      <c r="AD45" s="569"/>
      <c r="AE45" s="569"/>
      <c r="AF45" s="569"/>
      <c r="AG45" s="570"/>
      <c r="AH45" s="574"/>
      <c r="AI45" s="575"/>
      <c r="AJ45" s="575"/>
      <c r="AK45" s="575"/>
      <c r="AL45" s="575"/>
      <c r="AM45" s="576"/>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507" t="s">
        <v>138</v>
      </c>
      <c r="K46" s="508"/>
      <c r="L46" s="508"/>
      <c r="M46" s="508"/>
      <c r="N46" s="508"/>
      <c r="O46" s="509"/>
      <c r="P46" s="507" t="s">
        <v>139</v>
      </c>
      <c r="Q46" s="508"/>
      <c r="R46" s="508"/>
      <c r="S46" s="508"/>
      <c r="T46" s="508"/>
      <c r="U46" s="509"/>
      <c r="V46" s="507" t="s">
        <v>140</v>
      </c>
      <c r="W46" s="508"/>
      <c r="X46" s="508"/>
      <c r="Y46" s="508"/>
      <c r="Z46" s="508"/>
      <c r="AA46" s="509"/>
      <c r="AB46" s="507" t="s">
        <v>141</v>
      </c>
      <c r="AC46" s="567"/>
      <c r="AD46" s="508"/>
      <c r="AE46" s="508"/>
      <c r="AF46" s="508"/>
      <c r="AG46" s="509"/>
      <c r="AH46" s="507" t="s">
        <v>142</v>
      </c>
      <c r="AI46" s="508"/>
      <c r="AJ46" s="508"/>
      <c r="AK46" s="508"/>
      <c r="AL46" s="508"/>
      <c r="AM46" s="509"/>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510"/>
      <c r="K47" s="511"/>
      <c r="L47" s="511"/>
      <c r="M47" s="511"/>
      <c r="N47" s="511"/>
      <c r="O47" s="512"/>
      <c r="P47" s="510"/>
      <c r="Q47" s="511"/>
      <c r="R47" s="511"/>
      <c r="S47" s="511"/>
      <c r="T47" s="511"/>
      <c r="U47" s="512"/>
      <c r="V47" s="510"/>
      <c r="W47" s="511"/>
      <c r="X47" s="511"/>
      <c r="Y47" s="511"/>
      <c r="Z47" s="511"/>
      <c r="AA47" s="512"/>
      <c r="AB47" s="510"/>
      <c r="AC47" s="511"/>
      <c r="AD47" s="511"/>
      <c r="AE47" s="511"/>
      <c r="AF47" s="511"/>
      <c r="AG47" s="512"/>
      <c r="AH47" s="510"/>
      <c r="AI47" s="511"/>
      <c r="AJ47" s="511"/>
      <c r="AK47" s="511"/>
      <c r="AL47" s="511"/>
      <c r="AM47" s="512"/>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510"/>
      <c r="K48" s="511"/>
      <c r="L48" s="511"/>
      <c r="M48" s="511"/>
      <c r="N48" s="511"/>
      <c r="O48" s="512"/>
      <c r="P48" s="510"/>
      <c r="Q48" s="511"/>
      <c r="R48" s="511"/>
      <c r="S48" s="511"/>
      <c r="T48" s="511"/>
      <c r="U48" s="512"/>
      <c r="V48" s="510"/>
      <c r="W48" s="511"/>
      <c r="X48" s="511"/>
      <c r="Y48" s="511"/>
      <c r="Z48" s="511"/>
      <c r="AA48" s="512"/>
      <c r="AB48" s="510"/>
      <c r="AC48" s="511"/>
      <c r="AD48" s="511"/>
      <c r="AE48" s="511"/>
      <c r="AF48" s="511"/>
      <c r="AG48" s="512"/>
      <c r="AH48" s="510"/>
      <c r="AI48" s="511"/>
      <c r="AJ48" s="511"/>
      <c r="AK48" s="511"/>
      <c r="AL48" s="511"/>
      <c r="AM48" s="512"/>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510"/>
      <c r="K49" s="511"/>
      <c r="L49" s="511"/>
      <c r="M49" s="511"/>
      <c r="N49" s="511"/>
      <c r="O49" s="512"/>
      <c r="P49" s="510"/>
      <c r="Q49" s="511"/>
      <c r="R49" s="511"/>
      <c r="S49" s="511"/>
      <c r="T49" s="511"/>
      <c r="U49" s="512"/>
      <c r="V49" s="510"/>
      <c r="W49" s="511"/>
      <c r="X49" s="511"/>
      <c r="Y49" s="511"/>
      <c r="Z49" s="511"/>
      <c r="AA49" s="512"/>
      <c r="AB49" s="510"/>
      <c r="AC49" s="511"/>
      <c r="AD49" s="511"/>
      <c r="AE49" s="511"/>
      <c r="AF49" s="511"/>
      <c r="AG49" s="512"/>
      <c r="AH49" s="510"/>
      <c r="AI49" s="511"/>
      <c r="AJ49" s="511"/>
      <c r="AK49" s="511"/>
      <c r="AL49" s="511"/>
      <c r="AM49" s="512"/>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510"/>
      <c r="K50" s="511"/>
      <c r="L50" s="511"/>
      <c r="M50" s="511"/>
      <c r="N50" s="511"/>
      <c r="O50" s="512"/>
      <c r="P50" s="510"/>
      <c r="Q50" s="511"/>
      <c r="R50" s="511"/>
      <c r="S50" s="511"/>
      <c r="T50" s="511"/>
      <c r="U50" s="512"/>
      <c r="V50" s="510"/>
      <c r="W50" s="511"/>
      <c r="X50" s="511"/>
      <c r="Y50" s="511"/>
      <c r="Z50" s="511"/>
      <c r="AA50" s="512"/>
      <c r="AB50" s="510"/>
      <c r="AC50" s="511"/>
      <c r="AD50" s="511"/>
      <c r="AE50" s="511"/>
      <c r="AF50" s="511"/>
      <c r="AG50" s="512"/>
      <c r="AH50" s="510"/>
      <c r="AI50" s="511"/>
      <c r="AJ50" s="511"/>
      <c r="AK50" s="511"/>
      <c r="AL50" s="511"/>
      <c r="AM50" s="512"/>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513"/>
      <c r="K51" s="514"/>
      <c r="L51" s="514"/>
      <c r="M51" s="514"/>
      <c r="N51" s="514"/>
      <c r="O51" s="515"/>
      <c r="P51" s="513"/>
      <c r="Q51" s="514"/>
      <c r="R51" s="514"/>
      <c r="S51" s="514"/>
      <c r="T51" s="514"/>
      <c r="U51" s="515"/>
      <c r="V51" s="513"/>
      <c r="W51" s="514"/>
      <c r="X51" s="514"/>
      <c r="Y51" s="514"/>
      <c r="Z51" s="514"/>
      <c r="AA51" s="515"/>
      <c r="AB51" s="513"/>
      <c r="AC51" s="514"/>
      <c r="AD51" s="514"/>
      <c r="AE51" s="514"/>
      <c r="AF51" s="514"/>
      <c r="AG51" s="515"/>
      <c r="AH51" s="513"/>
      <c r="AI51" s="514"/>
      <c r="AJ51" s="514"/>
      <c r="AK51" s="514"/>
      <c r="AL51" s="514"/>
      <c r="AM51" s="515"/>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X22:Y23"/>
    <mergeCell ref="Z22:AA23"/>
    <mergeCell ref="V24:W25"/>
    <mergeCell ref="X24:Y25"/>
    <mergeCell ref="Z24:AA25"/>
    <mergeCell ref="V26:W27"/>
    <mergeCell ref="X26:Y27"/>
    <mergeCell ref="Z26:AA27"/>
    <mergeCell ref="R26:S27"/>
    <mergeCell ref="T26:U27"/>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R18:S19"/>
    <mergeCell ref="T18:U19"/>
    <mergeCell ref="P20:Q21"/>
    <mergeCell ref="R20:S21"/>
    <mergeCell ref="T20:U21"/>
    <mergeCell ref="J22:K23"/>
    <mergeCell ref="L22:M23"/>
    <mergeCell ref="N22:O23"/>
    <mergeCell ref="J20:K21"/>
    <mergeCell ref="L20:M21"/>
    <mergeCell ref="N20:O2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J42:AK43"/>
    <mergeCell ref="AL42:AM43"/>
    <mergeCell ref="AH44:AI45"/>
    <mergeCell ref="AJ44:AK45"/>
    <mergeCell ref="AL44:AM45"/>
    <mergeCell ref="AH38:AI39"/>
    <mergeCell ref="AJ38:AK39"/>
    <mergeCell ref="AL38:AM39"/>
    <mergeCell ref="AH40:AI41"/>
    <mergeCell ref="AJ40:AK41"/>
    <mergeCell ref="AL40:AM41"/>
    <mergeCell ref="AH42:AI43"/>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18:AK19"/>
    <mergeCell ref="AL18:AM19"/>
    <mergeCell ref="AH20:AI21"/>
    <mergeCell ref="AJ20:AK21"/>
    <mergeCell ref="AL20:AM21"/>
    <mergeCell ref="AH14:AI15"/>
    <mergeCell ref="AJ14:AK15"/>
    <mergeCell ref="AL14:AM15"/>
    <mergeCell ref="AH16:AI17"/>
    <mergeCell ref="AJ16:AK17"/>
    <mergeCell ref="AL16:AM17"/>
    <mergeCell ref="AH18:AI19"/>
    <mergeCell ref="AH10:AI11"/>
    <mergeCell ref="AJ10:AK11"/>
    <mergeCell ref="AL10:AM11"/>
    <mergeCell ref="AH12:AI13"/>
    <mergeCell ref="AJ12:AK13"/>
    <mergeCell ref="AL12:AM13"/>
    <mergeCell ref="AH6:AI7"/>
    <mergeCell ref="AJ6:AK7"/>
    <mergeCell ref="AL6:AM7"/>
    <mergeCell ref="AH8:AI9"/>
    <mergeCell ref="AJ8:AK9"/>
    <mergeCell ref="AL8:AM9"/>
    <mergeCell ref="AB44:AC45"/>
    <mergeCell ref="AD44:AE45"/>
    <mergeCell ref="AF44:AG45"/>
    <mergeCell ref="AB38:AC39"/>
    <mergeCell ref="AD38:AE39"/>
    <mergeCell ref="AF38:AG39"/>
    <mergeCell ref="AB40:AC41"/>
    <mergeCell ref="AD40:AE41"/>
    <mergeCell ref="AF40:AG41"/>
    <mergeCell ref="AB42:AC43"/>
    <mergeCell ref="AD42:AE43"/>
    <mergeCell ref="AF42:AG43"/>
    <mergeCell ref="AB28:AC29"/>
    <mergeCell ref="AD28:AE29"/>
    <mergeCell ref="AF28:AG29"/>
    <mergeCell ref="AB22:AC23"/>
    <mergeCell ref="AD22:AE23"/>
    <mergeCell ref="AF22:AG23"/>
    <mergeCell ref="AB24:AC25"/>
    <mergeCell ref="AD24:AE25"/>
    <mergeCell ref="AF24:AG25"/>
    <mergeCell ref="AD16:AE17"/>
    <mergeCell ref="AF16:AG17"/>
    <mergeCell ref="AB18:AC19"/>
    <mergeCell ref="AD18:AE19"/>
    <mergeCell ref="AF18:AG19"/>
    <mergeCell ref="AB26:AC27"/>
    <mergeCell ref="AD26:AE27"/>
    <mergeCell ref="AF26:AG27"/>
    <mergeCell ref="AB20:AC21"/>
    <mergeCell ref="AD20:AE21"/>
    <mergeCell ref="AF20:AG2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5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612" t="s">
        <v>143</v>
      </c>
      <c r="C2" s="613"/>
      <c r="D2" s="613"/>
      <c r="E2" s="613"/>
      <c r="F2" s="613"/>
      <c r="G2" s="613"/>
      <c r="H2" s="613"/>
      <c r="I2" s="613"/>
      <c r="J2" s="566" t="s">
        <v>15</v>
      </c>
      <c r="K2" s="566"/>
      <c r="L2" s="566"/>
      <c r="M2" s="566"/>
      <c r="N2" s="566"/>
      <c r="O2" s="566"/>
      <c r="P2" s="566"/>
      <c r="Q2" s="566"/>
      <c r="R2" s="566"/>
      <c r="S2" s="566"/>
      <c r="T2" s="566"/>
      <c r="U2" s="566"/>
      <c r="V2" s="566"/>
      <c r="W2" s="566"/>
      <c r="X2" s="566"/>
      <c r="Y2" s="566"/>
      <c r="Z2" s="566"/>
      <c r="AA2" s="566"/>
      <c r="AB2" s="566"/>
      <c r="AC2" s="566"/>
      <c r="AD2" s="566"/>
      <c r="AE2" s="566"/>
      <c r="AF2" s="566"/>
      <c r="AG2" s="566"/>
      <c r="AH2" s="566"/>
      <c r="AI2" s="566"/>
      <c r="AJ2" s="566"/>
      <c r="AK2" s="566"/>
      <c r="AL2" s="566"/>
      <c r="AM2" s="566"/>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613"/>
      <c r="C3" s="613"/>
      <c r="D3" s="613"/>
      <c r="E3" s="613"/>
      <c r="F3" s="613"/>
      <c r="G3" s="613"/>
      <c r="H3" s="613"/>
      <c r="I3" s="613"/>
      <c r="J3" s="566"/>
      <c r="K3" s="566"/>
      <c r="L3" s="566"/>
      <c r="M3" s="566"/>
      <c r="N3" s="566"/>
      <c r="O3" s="566"/>
      <c r="P3" s="566"/>
      <c r="Q3" s="566"/>
      <c r="R3" s="566"/>
      <c r="S3" s="566"/>
      <c r="T3" s="566"/>
      <c r="U3" s="566"/>
      <c r="V3" s="566"/>
      <c r="W3" s="566"/>
      <c r="X3" s="566"/>
      <c r="Y3" s="566"/>
      <c r="Z3" s="566"/>
      <c r="AA3" s="566"/>
      <c r="AB3" s="566"/>
      <c r="AC3" s="566"/>
      <c r="AD3" s="566"/>
      <c r="AE3" s="566"/>
      <c r="AF3" s="566"/>
      <c r="AG3" s="566"/>
      <c r="AH3" s="566"/>
      <c r="AI3" s="566"/>
      <c r="AJ3" s="566"/>
      <c r="AK3" s="566"/>
      <c r="AL3" s="566"/>
      <c r="AM3" s="566"/>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613"/>
      <c r="C4" s="613"/>
      <c r="D4" s="613"/>
      <c r="E4" s="613"/>
      <c r="F4" s="613"/>
      <c r="G4" s="613"/>
      <c r="H4" s="613"/>
      <c r="I4" s="613"/>
      <c r="J4" s="566"/>
      <c r="K4" s="566"/>
      <c r="L4" s="566"/>
      <c r="M4" s="566"/>
      <c r="N4" s="566"/>
      <c r="O4" s="566"/>
      <c r="P4" s="566"/>
      <c r="Q4" s="566"/>
      <c r="R4" s="566"/>
      <c r="S4" s="566"/>
      <c r="T4" s="566"/>
      <c r="U4" s="566"/>
      <c r="V4" s="566"/>
      <c r="W4" s="566"/>
      <c r="X4" s="566"/>
      <c r="Y4" s="566"/>
      <c r="Z4" s="566"/>
      <c r="AA4" s="566"/>
      <c r="AB4" s="566"/>
      <c r="AC4" s="566"/>
      <c r="AD4" s="566"/>
      <c r="AE4" s="566"/>
      <c r="AF4" s="566"/>
      <c r="AG4" s="566"/>
      <c r="AH4" s="566"/>
      <c r="AI4" s="566"/>
      <c r="AJ4" s="566"/>
      <c r="AK4" s="566"/>
      <c r="AL4" s="566"/>
      <c r="AM4" s="566"/>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18" t="s">
        <v>128</v>
      </c>
      <c r="C6" s="518"/>
      <c r="D6" s="519"/>
      <c r="E6" s="593" t="s">
        <v>129</v>
      </c>
      <c r="F6" s="594"/>
      <c r="G6" s="594"/>
      <c r="H6" s="594"/>
      <c r="I6" s="595"/>
      <c r="J6" s="32" t="str">
        <f ca="1">IF(AND('Mapa final'!$AG$13="Muy Alta",'Mapa final'!$AI$13="Leve"),CONCATENATE("R1C",'Mapa final'!$W$13),"")</f>
        <v/>
      </c>
      <c r="K6" s="33" t="str">
        <f ca="1">IF(AND('Mapa final'!$AG$14="Muy Alta",'Mapa final'!$AI$14="Leve"),CONCATENATE("R1C",'Mapa final'!$W$14),"")</f>
        <v/>
      </c>
      <c r="L6" s="33" t="e">
        <f>IF(AND('Mapa final'!#REF!="Muy Alta",'Mapa final'!#REF!="Leve"),CONCATENATE("R1C",'Mapa final'!#REF!),"")</f>
        <v>#REF!</v>
      </c>
      <c r="M6" s="33" t="e">
        <f>IF(AND('Mapa final'!#REF!="Muy Alta",'Mapa final'!#REF!="Leve"),CONCATENATE("R1C",'Mapa final'!#REF!),"")</f>
        <v>#REF!</v>
      </c>
      <c r="N6" s="33" t="e">
        <f>IF(AND('Mapa final'!#REF!="Muy Alta",'Mapa final'!#REF!="Leve"),CONCATENATE("R1C",'Mapa final'!#REF!),"")</f>
        <v>#REF!</v>
      </c>
      <c r="O6" s="34" t="e">
        <f>IF(AND('Mapa final'!#REF!="Muy Alta",'Mapa final'!#REF!="Leve"),CONCATENATE("R1C",'Mapa final'!#REF!),"")</f>
        <v>#REF!</v>
      </c>
      <c r="P6" s="32" t="str">
        <f ca="1">IF(AND('Mapa final'!$AG$13="Muy Alta",'Mapa final'!$AI$13="Menor"),CONCATENATE("R1C",'Mapa final'!$W$13),"")</f>
        <v/>
      </c>
      <c r="Q6" s="33" t="str">
        <f ca="1">IF(AND('Mapa final'!$AG$14="Muy Alta",'Mapa final'!$AI$14="Menor"),CONCATENATE("R1C",'Mapa final'!$W$14),"")</f>
        <v/>
      </c>
      <c r="R6" s="33" t="e">
        <f>IF(AND('Mapa final'!#REF!="Muy Alta",'Mapa final'!#REF!="Menor"),CONCATENATE("R1C",'Mapa final'!#REF!),"")</f>
        <v>#REF!</v>
      </c>
      <c r="S6" s="33" t="e">
        <f>IF(AND('Mapa final'!#REF!="Muy Alta",'Mapa final'!#REF!="Menor"),CONCATENATE("R1C",'Mapa final'!#REF!),"")</f>
        <v>#REF!</v>
      </c>
      <c r="T6" s="33" t="e">
        <f>IF(AND('Mapa final'!#REF!="Muy Alta",'Mapa final'!#REF!="Menor"),CONCATENATE("R1C",'Mapa final'!#REF!),"")</f>
        <v>#REF!</v>
      </c>
      <c r="U6" s="34" t="e">
        <f>IF(AND('Mapa final'!#REF!="Muy Alta",'Mapa final'!#REF!="Menor"),CONCATENATE("R1C",'Mapa final'!#REF!),"")</f>
        <v>#REF!</v>
      </c>
      <c r="V6" s="32" t="str">
        <f ca="1">IF(AND('Mapa final'!$AG$13="Muy Alta",'Mapa final'!$AI$13="Moderado"),CONCATENATE("R1C",'Mapa final'!$W$13),"")</f>
        <v/>
      </c>
      <c r="W6" s="33" t="str">
        <f ca="1">IF(AND('Mapa final'!$AG$14="Muy Alta",'Mapa final'!$AI$14="Moderado"),CONCATENATE("R1C",'Mapa final'!$W$14),"")</f>
        <v/>
      </c>
      <c r="X6" s="33" t="e">
        <f>IF(AND('Mapa final'!#REF!="Muy Alta",'Mapa final'!#REF!="Moderado"),CONCATENATE("R1C",'Mapa final'!#REF!),"")</f>
        <v>#REF!</v>
      </c>
      <c r="Y6" s="33" t="e">
        <f>IF(AND('Mapa final'!#REF!="Muy Alta",'Mapa final'!#REF!="Moderado"),CONCATENATE("R1C",'Mapa final'!#REF!),"")</f>
        <v>#REF!</v>
      </c>
      <c r="Z6" s="33" t="e">
        <f>IF(AND('Mapa final'!#REF!="Muy Alta",'Mapa final'!#REF!="Moderado"),CONCATENATE("R1C",'Mapa final'!#REF!),"")</f>
        <v>#REF!</v>
      </c>
      <c r="AA6" s="34" t="e">
        <f>IF(AND('Mapa final'!#REF!="Muy Alta",'Mapa final'!#REF!="Moderado"),CONCATENATE("R1C",'Mapa final'!#REF!),"")</f>
        <v>#REF!</v>
      </c>
      <c r="AB6" s="32" t="str">
        <f ca="1">IF(AND('Mapa final'!$AG$13="Muy Alta",'Mapa final'!$AI$13="Mayor"),CONCATENATE("R1C",'Mapa final'!$W$13),"")</f>
        <v/>
      </c>
      <c r="AC6" s="33" t="str">
        <f ca="1">IF(AND('Mapa final'!$AG$14="Muy Alta",'Mapa final'!$AI$14="Mayor"),CONCATENATE("R1C",'Mapa final'!$W$14),"")</f>
        <v/>
      </c>
      <c r="AD6" s="33" t="e">
        <f>IF(AND('Mapa final'!#REF!="Muy Alta",'Mapa final'!#REF!="Mayor"),CONCATENATE("R1C",'Mapa final'!#REF!),"")</f>
        <v>#REF!</v>
      </c>
      <c r="AE6" s="33" t="e">
        <f>IF(AND('Mapa final'!#REF!="Muy Alta",'Mapa final'!#REF!="Mayor"),CONCATENATE("R1C",'Mapa final'!#REF!),"")</f>
        <v>#REF!</v>
      </c>
      <c r="AF6" s="33" t="e">
        <f>IF(AND('Mapa final'!#REF!="Muy Alta",'Mapa final'!#REF!="Mayor"),CONCATENATE("R1C",'Mapa final'!#REF!),"")</f>
        <v>#REF!</v>
      </c>
      <c r="AG6" s="34" t="e">
        <f>IF(AND('Mapa final'!#REF!="Muy Alta",'Mapa final'!#REF!="Mayor"),CONCATENATE("R1C",'Mapa final'!#REF!),"")</f>
        <v>#REF!</v>
      </c>
      <c r="AH6" s="35" t="str">
        <f ca="1">IF(AND('Mapa final'!$AG$13="Muy Alta",'Mapa final'!$AI$13="Catastrófico"),CONCATENATE("R1C",'Mapa final'!$W$13),"")</f>
        <v/>
      </c>
      <c r="AI6" s="36" t="str">
        <f ca="1">IF(AND('Mapa final'!$AG$14="Muy Alta",'Mapa final'!$AI$14="Catastrófico"),CONCATENATE("R1C",'Mapa final'!$W$14),"")</f>
        <v/>
      </c>
      <c r="AJ6" s="36" t="e">
        <f>IF(AND('Mapa final'!#REF!="Muy Alta",'Mapa final'!#REF!="Catastrófico"),CONCATENATE("R1C",'Mapa final'!#REF!),"")</f>
        <v>#REF!</v>
      </c>
      <c r="AK6" s="36" t="e">
        <f>IF(AND('Mapa final'!#REF!="Muy Alta",'Mapa final'!#REF!="Catastrófico"),CONCATENATE("R1C",'Mapa final'!#REF!),"")</f>
        <v>#REF!</v>
      </c>
      <c r="AL6" s="36" t="e">
        <f>IF(AND('Mapa final'!#REF!="Muy Alta",'Mapa final'!#REF!="Catastrófico"),CONCATENATE("R1C",'Mapa final'!#REF!),"")</f>
        <v>#REF!</v>
      </c>
      <c r="AM6" s="37" t="e">
        <f>IF(AND('Mapa final'!#REF!="Muy Alta",'Mapa final'!#REF!="Catastrófico"),CONCATENATE("R1C",'Mapa final'!#REF!),"")</f>
        <v>#REF!</v>
      </c>
      <c r="AN6" s="69"/>
      <c r="AO6" s="603" t="s">
        <v>130</v>
      </c>
      <c r="AP6" s="604"/>
      <c r="AQ6" s="604"/>
      <c r="AR6" s="604"/>
      <c r="AS6" s="604"/>
      <c r="AT6" s="605"/>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18"/>
      <c r="C7" s="518"/>
      <c r="D7" s="519"/>
      <c r="E7" s="599"/>
      <c r="F7" s="597"/>
      <c r="G7" s="597"/>
      <c r="H7" s="597"/>
      <c r="I7" s="598"/>
      <c r="J7" s="38" t="str">
        <f ca="1">IF(AND('Mapa final'!$AG$15="Muy Alta",'Mapa final'!$AI$15="Leve"),CONCATENATE("R2C",'Mapa final'!$W$15),"")</f>
        <v/>
      </c>
      <c r="K7" s="39" t="str">
        <f ca="1">IF(AND('Mapa final'!$AG$16="Muy Alta",'Mapa final'!$AI$16="Leve"),CONCATENATE("R2C",'Mapa final'!$W$16),"")</f>
        <v/>
      </c>
      <c r="L7" s="39" t="e">
        <f>IF(AND('Mapa final'!#REF!="Muy Alta",'Mapa final'!#REF!="Leve"),CONCATENATE("R2C",'Mapa final'!#REF!),"")</f>
        <v>#REF!</v>
      </c>
      <c r="M7" s="39" t="e">
        <f>IF(AND('Mapa final'!#REF!="Muy Alta",'Mapa final'!#REF!="Leve"),CONCATENATE("R2C",'Mapa final'!#REF!),"")</f>
        <v>#REF!</v>
      </c>
      <c r="N7" s="39" t="e">
        <f>IF(AND('Mapa final'!#REF!="Muy Alta",'Mapa final'!#REF!="Leve"),CONCATENATE("R2C",'Mapa final'!#REF!),"")</f>
        <v>#REF!</v>
      </c>
      <c r="O7" s="40" t="e">
        <f>IF(AND('Mapa final'!#REF!="Muy Alta",'Mapa final'!#REF!="Leve"),CONCATENATE("R2C",'Mapa final'!#REF!),"")</f>
        <v>#REF!</v>
      </c>
      <c r="P7" s="38" t="str">
        <f ca="1">IF(AND('Mapa final'!$AG$15="Muy Alta",'Mapa final'!$AI$15="Menor"),CONCATENATE("R2C",'Mapa final'!$W$15),"")</f>
        <v/>
      </c>
      <c r="Q7" s="39" t="str">
        <f ca="1">IF(AND('Mapa final'!$AG$16="Muy Alta",'Mapa final'!$AI$16="Menor"),CONCATENATE("R2C",'Mapa final'!$W$16),"")</f>
        <v/>
      </c>
      <c r="R7" s="39" t="e">
        <f>IF(AND('Mapa final'!#REF!="Muy Alta",'Mapa final'!#REF!="Menor"),CONCATENATE("R2C",'Mapa final'!#REF!),"")</f>
        <v>#REF!</v>
      </c>
      <c r="S7" s="39" t="e">
        <f>IF(AND('Mapa final'!#REF!="Muy Alta",'Mapa final'!#REF!="Menor"),CONCATENATE("R2C",'Mapa final'!#REF!),"")</f>
        <v>#REF!</v>
      </c>
      <c r="T7" s="39" t="e">
        <f>IF(AND('Mapa final'!#REF!="Muy Alta",'Mapa final'!#REF!="Menor"),CONCATENATE("R2C",'Mapa final'!#REF!),"")</f>
        <v>#REF!</v>
      </c>
      <c r="U7" s="40" t="e">
        <f>IF(AND('Mapa final'!#REF!="Muy Alta",'Mapa final'!#REF!="Menor"),CONCATENATE("R2C",'Mapa final'!#REF!),"")</f>
        <v>#REF!</v>
      </c>
      <c r="V7" s="38" t="str">
        <f ca="1">IF(AND('Mapa final'!$AG$15="Muy Alta",'Mapa final'!$AI$15="Moderado"),CONCATENATE("R2C",'Mapa final'!$W$15),"")</f>
        <v/>
      </c>
      <c r="W7" s="39" t="str">
        <f ca="1">IF(AND('Mapa final'!$AG$16="Muy Alta",'Mapa final'!$AI$16="Moderado"),CONCATENATE("R2C",'Mapa final'!$W$16),"")</f>
        <v/>
      </c>
      <c r="X7" s="39" t="e">
        <f>IF(AND('Mapa final'!#REF!="Muy Alta",'Mapa final'!#REF!="Moderado"),CONCATENATE("R2C",'Mapa final'!#REF!),"")</f>
        <v>#REF!</v>
      </c>
      <c r="Y7" s="39" t="e">
        <f>IF(AND('Mapa final'!#REF!="Muy Alta",'Mapa final'!#REF!="Moderado"),CONCATENATE("R2C",'Mapa final'!#REF!),"")</f>
        <v>#REF!</v>
      </c>
      <c r="Z7" s="39" t="e">
        <f>IF(AND('Mapa final'!#REF!="Muy Alta",'Mapa final'!#REF!="Moderado"),CONCATENATE("R2C",'Mapa final'!#REF!),"")</f>
        <v>#REF!</v>
      </c>
      <c r="AA7" s="40" t="e">
        <f>IF(AND('Mapa final'!#REF!="Muy Alta",'Mapa final'!#REF!="Moderado"),CONCATENATE("R2C",'Mapa final'!#REF!),"")</f>
        <v>#REF!</v>
      </c>
      <c r="AB7" s="38" t="str">
        <f ca="1">IF(AND('Mapa final'!$AG$15="Muy Alta",'Mapa final'!$AI$15="Mayor"),CONCATENATE("R2C",'Mapa final'!$W$15),"")</f>
        <v/>
      </c>
      <c r="AC7" s="39" t="str">
        <f ca="1">IF(AND('Mapa final'!$AG$16="Muy Alta",'Mapa final'!$AI$16="Mayor"),CONCATENATE("R2C",'Mapa final'!$W$16),"")</f>
        <v/>
      </c>
      <c r="AD7" s="39" t="e">
        <f>IF(AND('Mapa final'!#REF!="Muy Alta",'Mapa final'!#REF!="Mayor"),CONCATENATE("R2C",'Mapa final'!#REF!),"")</f>
        <v>#REF!</v>
      </c>
      <c r="AE7" s="39" t="e">
        <f>IF(AND('Mapa final'!#REF!="Muy Alta",'Mapa final'!#REF!="Mayor"),CONCATENATE("R2C",'Mapa final'!#REF!),"")</f>
        <v>#REF!</v>
      </c>
      <c r="AF7" s="39" t="e">
        <f>IF(AND('Mapa final'!#REF!="Muy Alta",'Mapa final'!#REF!="Mayor"),CONCATENATE("R2C",'Mapa final'!#REF!),"")</f>
        <v>#REF!</v>
      </c>
      <c r="AG7" s="40" t="e">
        <f>IF(AND('Mapa final'!#REF!="Muy Alta",'Mapa final'!#REF!="Mayor"),CONCATENATE("R2C",'Mapa final'!#REF!),"")</f>
        <v>#REF!</v>
      </c>
      <c r="AH7" s="41" t="str">
        <f ca="1">IF(AND('Mapa final'!$AG$15="Muy Alta",'Mapa final'!$AI$15="Catastrófico"),CONCATENATE("R2C",'Mapa final'!$W$15),"")</f>
        <v/>
      </c>
      <c r="AI7" s="42" t="str">
        <f ca="1">IF(AND('Mapa final'!$AG$16="Muy Alta",'Mapa final'!$AI$16="Catastrófico"),CONCATENATE("R2C",'Mapa final'!$W$16),"")</f>
        <v/>
      </c>
      <c r="AJ7" s="42" t="e">
        <f>IF(AND('Mapa final'!#REF!="Muy Alta",'Mapa final'!#REF!="Catastrófico"),CONCATENATE("R2C",'Mapa final'!#REF!),"")</f>
        <v>#REF!</v>
      </c>
      <c r="AK7" s="42" t="e">
        <f>IF(AND('Mapa final'!#REF!="Muy Alta",'Mapa final'!#REF!="Catastrófico"),CONCATENATE("R2C",'Mapa final'!#REF!),"")</f>
        <v>#REF!</v>
      </c>
      <c r="AL7" s="42" t="e">
        <f>IF(AND('Mapa final'!#REF!="Muy Alta",'Mapa final'!#REF!="Catastrófico"),CONCATENATE("R2C",'Mapa final'!#REF!),"")</f>
        <v>#REF!</v>
      </c>
      <c r="AM7" s="43" t="e">
        <f>IF(AND('Mapa final'!#REF!="Muy Alta",'Mapa final'!#REF!="Catastrófico"),CONCATENATE("R2C",'Mapa final'!#REF!),"")</f>
        <v>#REF!</v>
      </c>
      <c r="AN7" s="69"/>
      <c r="AO7" s="606"/>
      <c r="AP7" s="607"/>
      <c r="AQ7" s="607"/>
      <c r="AR7" s="607"/>
      <c r="AS7" s="607"/>
      <c r="AT7" s="608"/>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18"/>
      <c r="C8" s="518"/>
      <c r="D8" s="519"/>
      <c r="E8" s="599"/>
      <c r="F8" s="597"/>
      <c r="G8" s="597"/>
      <c r="H8" s="597"/>
      <c r="I8" s="598"/>
      <c r="J8" s="38" t="str">
        <f ca="1">IF(AND('Mapa final'!$AG$17="Muy Alta",'Mapa final'!$AI$17="Leve"),CONCATENATE("R3C",'Mapa final'!$W$17),"")</f>
        <v/>
      </c>
      <c r="K8" s="39" t="str">
        <f ca="1">IF(AND('Mapa final'!$AG$18="Muy Alta",'Mapa final'!$AI$18="Leve"),CONCATENATE("R3C",'Mapa final'!$W$18),"")</f>
        <v/>
      </c>
      <c r="L8" s="39" t="str">
        <f ca="1">IF(AND('Mapa final'!$AG$19="Muy Alta",'Mapa final'!$AI$19="Leve"),CONCATENATE("R3C",'Mapa final'!$W$19),"")</f>
        <v/>
      </c>
      <c r="M8" s="39" t="e">
        <f>IF(AND('Mapa final'!#REF!="Muy Alta",'Mapa final'!#REF!="Leve"),CONCATENATE("R3C",'Mapa final'!#REF!),"")</f>
        <v>#REF!</v>
      </c>
      <c r="N8" s="39" t="e">
        <f>IF(AND('Mapa final'!#REF!="Muy Alta",'Mapa final'!#REF!="Leve"),CONCATENATE("R3C",'Mapa final'!#REF!),"")</f>
        <v>#REF!</v>
      </c>
      <c r="O8" s="40" t="e">
        <f>IF(AND('Mapa final'!#REF!="Muy Alta",'Mapa final'!#REF!="Leve"),CONCATENATE("R3C",'Mapa final'!#REF!),"")</f>
        <v>#REF!</v>
      </c>
      <c r="P8" s="38" t="str">
        <f ca="1">IF(AND('Mapa final'!$AG$17="Muy Alta",'Mapa final'!$AI$17="Menor"),CONCATENATE("R3C",'Mapa final'!$W$17),"")</f>
        <v/>
      </c>
      <c r="Q8" s="39" t="str">
        <f ca="1">IF(AND('Mapa final'!$AG$18="Muy Alta",'Mapa final'!$AI$18="Menor"),CONCATENATE("R3C",'Mapa final'!$W$18),"")</f>
        <v/>
      </c>
      <c r="R8" s="39" t="str">
        <f ca="1">IF(AND('Mapa final'!$AG$19="Muy Alta",'Mapa final'!$AI$19="Menor"),CONCATENATE("R3C",'Mapa final'!$W$19),"")</f>
        <v/>
      </c>
      <c r="S8" s="39" t="e">
        <f>IF(AND('Mapa final'!#REF!="Muy Alta",'Mapa final'!#REF!="Menor"),CONCATENATE("R3C",'Mapa final'!#REF!),"")</f>
        <v>#REF!</v>
      </c>
      <c r="T8" s="39" t="e">
        <f>IF(AND('Mapa final'!#REF!="Muy Alta",'Mapa final'!#REF!="Menor"),CONCATENATE("R3C",'Mapa final'!#REF!),"")</f>
        <v>#REF!</v>
      </c>
      <c r="U8" s="40" t="e">
        <f>IF(AND('Mapa final'!#REF!="Muy Alta",'Mapa final'!#REF!="Menor"),CONCATENATE("R3C",'Mapa final'!#REF!),"")</f>
        <v>#REF!</v>
      </c>
      <c r="V8" s="38" t="str">
        <f ca="1">IF(AND('Mapa final'!$AG$17="Muy Alta",'Mapa final'!$AI$17="Moderado"),CONCATENATE("R3C",'Mapa final'!$W$17),"")</f>
        <v/>
      </c>
      <c r="W8" s="39" t="str">
        <f ca="1">IF(AND('Mapa final'!$AG$18="Muy Alta",'Mapa final'!$AI$18="Moderado"),CONCATENATE("R3C",'Mapa final'!$W$18),"")</f>
        <v/>
      </c>
      <c r="X8" s="39" t="str">
        <f ca="1">IF(AND('Mapa final'!$AG$19="Muy Alta",'Mapa final'!$AI$19="Moderado"),CONCATENATE("R3C",'Mapa final'!$W$19),"")</f>
        <v/>
      </c>
      <c r="Y8" s="39" t="e">
        <f>IF(AND('Mapa final'!#REF!="Muy Alta",'Mapa final'!#REF!="Moderado"),CONCATENATE("R3C",'Mapa final'!#REF!),"")</f>
        <v>#REF!</v>
      </c>
      <c r="Z8" s="39" t="e">
        <f>IF(AND('Mapa final'!#REF!="Muy Alta",'Mapa final'!#REF!="Moderado"),CONCATENATE("R3C",'Mapa final'!#REF!),"")</f>
        <v>#REF!</v>
      </c>
      <c r="AA8" s="40" t="e">
        <f>IF(AND('Mapa final'!#REF!="Muy Alta",'Mapa final'!#REF!="Moderado"),CONCATENATE("R3C",'Mapa final'!#REF!),"")</f>
        <v>#REF!</v>
      </c>
      <c r="AB8" s="38" t="str">
        <f ca="1">IF(AND('Mapa final'!$AG$17="Muy Alta",'Mapa final'!$AI$17="Mayor"),CONCATENATE("R3C",'Mapa final'!$W$17),"")</f>
        <v/>
      </c>
      <c r="AC8" s="39" t="str">
        <f ca="1">IF(AND('Mapa final'!$AG$18="Muy Alta",'Mapa final'!$AI$18="Mayor"),CONCATENATE("R3C",'Mapa final'!$W$18),"")</f>
        <v/>
      </c>
      <c r="AD8" s="39" t="str">
        <f ca="1">IF(AND('Mapa final'!$AG$19="Muy Alta",'Mapa final'!$AI$19="Mayor"),CONCATENATE("R3C",'Mapa final'!$W$19),"")</f>
        <v/>
      </c>
      <c r="AE8" s="39" t="e">
        <f>IF(AND('Mapa final'!#REF!="Muy Alta",'Mapa final'!#REF!="Mayor"),CONCATENATE("R3C",'Mapa final'!#REF!),"")</f>
        <v>#REF!</v>
      </c>
      <c r="AF8" s="39" t="e">
        <f>IF(AND('Mapa final'!#REF!="Muy Alta",'Mapa final'!#REF!="Mayor"),CONCATENATE("R3C",'Mapa final'!#REF!),"")</f>
        <v>#REF!</v>
      </c>
      <c r="AG8" s="40" t="e">
        <f>IF(AND('Mapa final'!#REF!="Muy Alta",'Mapa final'!#REF!="Mayor"),CONCATENATE("R3C",'Mapa final'!#REF!),"")</f>
        <v>#REF!</v>
      </c>
      <c r="AH8" s="41" t="str">
        <f ca="1">IF(AND('Mapa final'!$AG$17="Muy Alta",'Mapa final'!$AI$17="Catastrófico"),CONCATENATE("R3C",'Mapa final'!$W$17),"")</f>
        <v/>
      </c>
      <c r="AI8" s="42" t="str">
        <f ca="1">IF(AND('Mapa final'!$AG$18="Muy Alta",'Mapa final'!$AI$18="Catastrófico"),CONCATENATE("R3C",'Mapa final'!$W$18),"")</f>
        <v/>
      </c>
      <c r="AJ8" s="42" t="str">
        <f ca="1">IF(AND('Mapa final'!$AG$19="Muy Alta",'Mapa final'!$AI$19="Catastrófico"),CONCATENATE("R3C",'Mapa final'!$W$19),"")</f>
        <v/>
      </c>
      <c r="AK8" s="42" t="e">
        <f>IF(AND('Mapa final'!#REF!="Muy Alta",'Mapa final'!#REF!="Catastrófico"),CONCATENATE("R3C",'Mapa final'!#REF!),"")</f>
        <v>#REF!</v>
      </c>
      <c r="AL8" s="42" t="e">
        <f>IF(AND('Mapa final'!#REF!="Muy Alta",'Mapa final'!#REF!="Catastrófico"),CONCATENATE("R3C",'Mapa final'!#REF!),"")</f>
        <v>#REF!</v>
      </c>
      <c r="AM8" s="43" t="e">
        <f>IF(AND('Mapa final'!#REF!="Muy Alta",'Mapa final'!#REF!="Catastrófico"),CONCATENATE("R3C",'Mapa final'!#REF!),"")</f>
        <v>#REF!</v>
      </c>
      <c r="AN8" s="69"/>
      <c r="AO8" s="606"/>
      <c r="AP8" s="607"/>
      <c r="AQ8" s="607"/>
      <c r="AR8" s="607"/>
      <c r="AS8" s="607"/>
      <c r="AT8" s="608"/>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18"/>
      <c r="C9" s="518"/>
      <c r="D9" s="519"/>
      <c r="E9" s="599"/>
      <c r="F9" s="597"/>
      <c r="G9" s="597"/>
      <c r="H9" s="597"/>
      <c r="I9" s="598"/>
      <c r="J9" s="38" t="str">
        <f ca="1">IF(AND('Mapa final'!$AG$20="Muy Alta",'Mapa final'!$AI$20="Leve"),CONCATENATE("R4C",'Mapa final'!$W$20),"")</f>
        <v/>
      </c>
      <c r="K9" s="39" t="str">
        <f ca="1">IF(AND('Mapa final'!$AG$21="Muy Alta",'Mapa final'!$AI$21="Leve"),CONCATENATE("R4C",'Mapa final'!$W$21),"")</f>
        <v/>
      </c>
      <c r="L9" s="39" t="e">
        <f>IF(AND('Mapa final'!#REF!="Muy Alta",'Mapa final'!#REF!="Leve"),CONCATENATE("R4C",'Mapa final'!#REF!),"")</f>
        <v>#REF!</v>
      </c>
      <c r="M9" s="39" t="e">
        <f>IF(AND('Mapa final'!#REF!="Muy Alta",'Mapa final'!#REF!="Leve"),CONCATENATE("R4C",'Mapa final'!#REF!),"")</f>
        <v>#REF!</v>
      </c>
      <c r="N9" s="39" t="e">
        <f>IF(AND('Mapa final'!#REF!="Muy Alta",'Mapa final'!#REF!="Leve"),CONCATENATE("R4C",'Mapa final'!#REF!),"")</f>
        <v>#REF!</v>
      </c>
      <c r="O9" s="40" t="e">
        <f>IF(AND('Mapa final'!#REF!="Muy Alta",'Mapa final'!#REF!="Leve"),CONCATENATE("R4C",'Mapa final'!#REF!),"")</f>
        <v>#REF!</v>
      </c>
      <c r="P9" s="38" t="str">
        <f ca="1">IF(AND('Mapa final'!$AG$20="Muy Alta",'Mapa final'!$AI$20="Menor"),CONCATENATE("R4C",'Mapa final'!$W$20),"")</f>
        <v/>
      </c>
      <c r="Q9" s="39" t="str">
        <f ca="1">IF(AND('Mapa final'!$AG$21="Muy Alta",'Mapa final'!$AI$21="Menor"),CONCATENATE("R4C",'Mapa final'!$W$21),"")</f>
        <v/>
      </c>
      <c r="R9" s="39" t="e">
        <f>IF(AND('Mapa final'!#REF!="Muy Alta",'Mapa final'!#REF!="Menor"),CONCATENATE("R4C",'Mapa final'!#REF!),"")</f>
        <v>#REF!</v>
      </c>
      <c r="S9" s="39" t="e">
        <f>IF(AND('Mapa final'!#REF!="Muy Alta",'Mapa final'!#REF!="Menor"),CONCATENATE("R4C",'Mapa final'!#REF!),"")</f>
        <v>#REF!</v>
      </c>
      <c r="T9" s="39" t="e">
        <f>IF(AND('Mapa final'!#REF!="Muy Alta",'Mapa final'!#REF!="Menor"),CONCATENATE("R4C",'Mapa final'!#REF!),"")</f>
        <v>#REF!</v>
      </c>
      <c r="U9" s="40" t="e">
        <f>IF(AND('Mapa final'!#REF!="Muy Alta",'Mapa final'!#REF!="Menor"),CONCATENATE("R4C",'Mapa final'!#REF!),"")</f>
        <v>#REF!</v>
      </c>
      <c r="V9" s="38" t="str">
        <f ca="1">IF(AND('Mapa final'!$AG$20="Muy Alta",'Mapa final'!$AI$20="Moderado"),CONCATENATE("R4C",'Mapa final'!$W$20),"")</f>
        <v/>
      </c>
      <c r="W9" s="39" t="str">
        <f ca="1">IF(AND('Mapa final'!$AG$21="Muy Alta",'Mapa final'!$AI$21="Moderado"),CONCATENATE("R4C",'Mapa final'!$W$21),"")</f>
        <v/>
      </c>
      <c r="X9" s="39" t="e">
        <f>IF(AND('Mapa final'!#REF!="Muy Alta",'Mapa final'!#REF!="Moderado"),CONCATENATE("R4C",'Mapa final'!#REF!),"")</f>
        <v>#REF!</v>
      </c>
      <c r="Y9" s="39" t="e">
        <f>IF(AND('Mapa final'!#REF!="Muy Alta",'Mapa final'!#REF!="Moderado"),CONCATENATE("R4C",'Mapa final'!#REF!),"")</f>
        <v>#REF!</v>
      </c>
      <c r="Z9" s="39" t="e">
        <f>IF(AND('Mapa final'!#REF!="Muy Alta",'Mapa final'!#REF!="Moderado"),CONCATENATE("R4C",'Mapa final'!#REF!),"")</f>
        <v>#REF!</v>
      </c>
      <c r="AA9" s="40" t="e">
        <f>IF(AND('Mapa final'!#REF!="Muy Alta",'Mapa final'!#REF!="Moderado"),CONCATENATE("R4C",'Mapa final'!#REF!),"")</f>
        <v>#REF!</v>
      </c>
      <c r="AB9" s="38" t="str">
        <f ca="1">IF(AND('Mapa final'!$AG$20="Muy Alta",'Mapa final'!$AI$20="Mayor"),CONCATENATE("R4C",'Mapa final'!$W$20),"")</f>
        <v/>
      </c>
      <c r="AC9" s="39" t="str">
        <f ca="1">IF(AND('Mapa final'!$AG$21="Muy Alta",'Mapa final'!$AI$21="Mayor"),CONCATENATE("R4C",'Mapa final'!$W$21),"")</f>
        <v/>
      </c>
      <c r="AD9" s="39" t="e">
        <f>IF(AND('Mapa final'!#REF!="Muy Alta",'Mapa final'!#REF!="Mayor"),CONCATENATE("R4C",'Mapa final'!#REF!),"")</f>
        <v>#REF!</v>
      </c>
      <c r="AE9" s="39" t="e">
        <f>IF(AND('Mapa final'!#REF!="Muy Alta",'Mapa final'!#REF!="Mayor"),CONCATENATE("R4C",'Mapa final'!#REF!),"")</f>
        <v>#REF!</v>
      </c>
      <c r="AF9" s="39" t="e">
        <f>IF(AND('Mapa final'!#REF!="Muy Alta",'Mapa final'!#REF!="Mayor"),CONCATENATE("R4C",'Mapa final'!#REF!),"")</f>
        <v>#REF!</v>
      </c>
      <c r="AG9" s="40" t="e">
        <f>IF(AND('Mapa final'!#REF!="Muy Alta",'Mapa final'!#REF!="Mayor"),CONCATENATE("R4C",'Mapa final'!#REF!),"")</f>
        <v>#REF!</v>
      </c>
      <c r="AH9" s="41" t="str">
        <f ca="1">IF(AND('Mapa final'!$AG$20="Muy Alta",'Mapa final'!$AI$20="Catastrófico"),CONCATENATE("R4C",'Mapa final'!$W$20),"")</f>
        <v/>
      </c>
      <c r="AI9" s="42" t="str">
        <f ca="1">IF(AND('Mapa final'!$AG$21="Muy Alta",'Mapa final'!$AI$21="Catastrófico"),CONCATENATE("R4C",'Mapa final'!$W$21),"")</f>
        <v/>
      </c>
      <c r="AJ9" s="42" t="e">
        <f>IF(AND('Mapa final'!#REF!="Muy Alta",'Mapa final'!#REF!="Catastrófico"),CONCATENATE("R4C",'Mapa final'!#REF!),"")</f>
        <v>#REF!</v>
      </c>
      <c r="AK9" s="42" t="e">
        <f>IF(AND('Mapa final'!#REF!="Muy Alta",'Mapa final'!#REF!="Catastrófico"),CONCATENATE("R4C",'Mapa final'!#REF!),"")</f>
        <v>#REF!</v>
      </c>
      <c r="AL9" s="42" t="e">
        <f>IF(AND('Mapa final'!#REF!="Muy Alta",'Mapa final'!#REF!="Catastrófico"),CONCATENATE("R4C",'Mapa final'!#REF!),"")</f>
        <v>#REF!</v>
      </c>
      <c r="AM9" s="43" t="e">
        <f>IF(AND('Mapa final'!#REF!="Muy Alta",'Mapa final'!#REF!="Catastrófico"),CONCATENATE("R4C",'Mapa final'!#REF!),"")</f>
        <v>#REF!</v>
      </c>
      <c r="AN9" s="69"/>
      <c r="AO9" s="606"/>
      <c r="AP9" s="607"/>
      <c r="AQ9" s="607"/>
      <c r="AR9" s="607"/>
      <c r="AS9" s="607"/>
      <c r="AT9" s="608"/>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18"/>
      <c r="C10" s="518"/>
      <c r="D10" s="519"/>
      <c r="E10" s="599"/>
      <c r="F10" s="597"/>
      <c r="G10" s="597"/>
      <c r="H10" s="597"/>
      <c r="I10" s="598"/>
      <c r="J10" s="38" t="str">
        <f ca="1">IF(AND('Mapa final'!$AG$22="Muy Alta",'Mapa final'!$AI$22="Leve"),CONCATENATE("R5C",'Mapa final'!$W$22),"")</f>
        <v/>
      </c>
      <c r="K10" s="39" t="str">
        <f ca="1">IF(AND('Mapa final'!$AG$23="Muy Alta",'Mapa final'!$AI$23="Leve"),CONCATENATE("R5C",'Mapa final'!$W$23),"")</f>
        <v/>
      </c>
      <c r="L10" s="39" t="str">
        <f ca="1">IF(AND('Mapa final'!$AG$24="Muy Alta",'Mapa final'!$AI$24="Leve"),CONCATENATE("R5C",'Mapa final'!$W$24),"")</f>
        <v/>
      </c>
      <c r="M10" s="39" t="e">
        <f>IF(AND('Mapa final'!#REF!="Muy Alta",'Mapa final'!#REF!="Leve"),CONCATENATE("R5C",'Mapa final'!#REF!),"")</f>
        <v>#REF!</v>
      </c>
      <c r="N10" s="39" t="e">
        <f>IF(AND('Mapa final'!#REF!="Muy Alta",'Mapa final'!#REF!="Leve"),CONCATENATE("R5C",'Mapa final'!#REF!),"")</f>
        <v>#REF!</v>
      </c>
      <c r="O10" s="40" t="e">
        <f>IF(AND('Mapa final'!#REF!="Muy Alta",'Mapa final'!#REF!="Leve"),CONCATENATE("R5C",'Mapa final'!#REF!),"")</f>
        <v>#REF!</v>
      </c>
      <c r="P10" s="38" t="str">
        <f ca="1">IF(AND('Mapa final'!$AG$22="Muy Alta",'Mapa final'!$AI$22="Menor"),CONCATENATE("R5C",'Mapa final'!$W$22),"")</f>
        <v/>
      </c>
      <c r="Q10" s="39" t="str">
        <f ca="1">IF(AND('Mapa final'!$AG$23="Muy Alta",'Mapa final'!$AI$23="Menor"),CONCATENATE("R5C",'Mapa final'!$W$23),"")</f>
        <v/>
      </c>
      <c r="R10" s="39" t="str">
        <f ca="1">IF(AND('Mapa final'!$AG$24="Muy Alta",'Mapa final'!$AI$24="Menor"),CONCATENATE("R5C",'Mapa final'!$W$24),"")</f>
        <v/>
      </c>
      <c r="S10" s="39" t="e">
        <f>IF(AND('Mapa final'!#REF!="Muy Alta",'Mapa final'!#REF!="Menor"),CONCATENATE("R5C",'Mapa final'!#REF!),"")</f>
        <v>#REF!</v>
      </c>
      <c r="T10" s="39" t="e">
        <f>IF(AND('Mapa final'!#REF!="Muy Alta",'Mapa final'!#REF!="Menor"),CONCATENATE("R5C",'Mapa final'!#REF!),"")</f>
        <v>#REF!</v>
      </c>
      <c r="U10" s="40" t="e">
        <f>IF(AND('Mapa final'!#REF!="Muy Alta",'Mapa final'!#REF!="Menor"),CONCATENATE("R5C",'Mapa final'!#REF!),"")</f>
        <v>#REF!</v>
      </c>
      <c r="V10" s="38" t="str">
        <f ca="1">IF(AND('Mapa final'!$AG$22="Muy Alta",'Mapa final'!$AI$22="Moderado"),CONCATENATE("R5C",'Mapa final'!$W$22),"")</f>
        <v/>
      </c>
      <c r="W10" s="39" t="str">
        <f ca="1">IF(AND('Mapa final'!$AG$23="Muy Alta",'Mapa final'!$AI$23="Moderado"),CONCATENATE("R5C",'Mapa final'!$W$23),"")</f>
        <v/>
      </c>
      <c r="X10" s="39" t="str">
        <f ca="1">IF(AND('Mapa final'!$AG$24="Muy Alta",'Mapa final'!$AI$24="Moderado"),CONCATENATE("R5C",'Mapa final'!$W$24),"")</f>
        <v/>
      </c>
      <c r="Y10" s="39" t="e">
        <f>IF(AND('Mapa final'!#REF!="Muy Alta",'Mapa final'!#REF!="Moderado"),CONCATENATE("R5C",'Mapa final'!#REF!),"")</f>
        <v>#REF!</v>
      </c>
      <c r="Z10" s="39" t="e">
        <f>IF(AND('Mapa final'!#REF!="Muy Alta",'Mapa final'!#REF!="Moderado"),CONCATENATE("R5C",'Mapa final'!#REF!),"")</f>
        <v>#REF!</v>
      </c>
      <c r="AA10" s="40" t="e">
        <f>IF(AND('Mapa final'!#REF!="Muy Alta",'Mapa final'!#REF!="Moderado"),CONCATENATE("R5C",'Mapa final'!#REF!),"")</f>
        <v>#REF!</v>
      </c>
      <c r="AB10" s="38" t="str">
        <f ca="1">IF(AND('Mapa final'!$AG$22="Muy Alta",'Mapa final'!$AI$22="Mayor"),CONCATENATE("R5C",'Mapa final'!$W$22),"")</f>
        <v/>
      </c>
      <c r="AC10" s="39" t="str">
        <f ca="1">IF(AND('Mapa final'!$AG$23="Muy Alta",'Mapa final'!$AI$23="Mayor"),CONCATENATE("R5C",'Mapa final'!$W$23),"")</f>
        <v/>
      </c>
      <c r="AD10" s="39" t="str">
        <f ca="1">IF(AND('Mapa final'!$AG$24="Muy Alta",'Mapa final'!$AI$24="Mayor"),CONCATENATE("R5C",'Mapa final'!$W$24),"")</f>
        <v/>
      </c>
      <c r="AE10" s="39" t="e">
        <f>IF(AND('Mapa final'!#REF!="Muy Alta",'Mapa final'!#REF!="Mayor"),CONCATENATE("R5C",'Mapa final'!#REF!),"")</f>
        <v>#REF!</v>
      </c>
      <c r="AF10" s="39" t="e">
        <f>IF(AND('Mapa final'!#REF!="Muy Alta",'Mapa final'!#REF!="Mayor"),CONCATENATE("R5C",'Mapa final'!#REF!),"")</f>
        <v>#REF!</v>
      </c>
      <c r="AG10" s="40" t="e">
        <f>IF(AND('Mapa final'!#REF!="Muy Alta",'Mapa final'!#REF!="Mayor"),CONCATENATE("R5C",'Mapa final'!#REF!),"")</f>
        <v>#REF!</v>
      </c>
      <c r="AH10" s="41" t="str">
        <f ca="1">IF(AND('Mapa final'!$AG$22="Muy Alta",'Mapa final'!$AI$22="Catastrófico"),CONCATENATE("R5C",'Mapa final'!$W$22),"")</f>
        <v/>
      </c>
      <c r="AI10" s="42" t="str">
        <f ca="1">IF(AND('Mapa final'!$AG$23="Muy Alta",'Mapa final'!$AI$23="Catastrófico"),CONCATENATE("R5C",'Mapa final'!$W$23),"")</f>
        <v/>
      </c>
      <c r="AJ10" s="42" t="str">
        <f ca="1">IF(AND('Mapa final'!$AG$24="Muy Alta",'Mapa final'!$AI$24="Catastrófico"),CONCATENATE("R5C",'Mapa final'!$W$24),"")</f>
        <v/>
      </c>
      <c r="AK10" s="42" t="e">
        <f>IF(AND('Mapa final'!#REF!="Muy Alta",'Mapa final'!#REF!="Catastrófico"),CONCATENATE("R5C",'Mapa final'!#REF!),"")</f>
        <v>#REF!</v>
      </c>
      <c r="AL10" s="42" t="e">
        <f>IF(AND('Mapa final'!#REF!="Muy Alta",'Mapa final'!#REF!="Catastrófico"),CONCATENATE("R5C",'Mapa final'!#REF!),"")</f>
        <v>#REF!</v>
      </c>
      <c r="AM10" s="43" t="e">
        <f>IF(AND('Mapa final'!#REF!="Muy Alta",'Mapa final'!#REF!="Catastrófico"),CONCATENATE("R5C",'Mapa final'!#REF!),"")</f>
        <v>#REF!</v>
      </c>
      <c r="AN10" s="69"/>
      <c r="AO10" s="606"/>
      <c r="AP10" s="607"/>
      <c r="AQ10" s="607"/>
      <c r="AR10" s="607"/>
      <c r="AS10" s="607"/>
      <c r="AT10" s="608"/>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18"/>
      <c r="C11" s="518"/>
      <c r="D11" s="519"/>
      <c r="E11" s="599"/>
      <c r="F11" s="597"/>
      <c r="G11" s="597"/>
      <c r="H11" s="597"/>
      <c r="I11" s="598"/>
      <c r="J11" s="38" t="str">
        <f ca="1">IF(AND('Mapa final'!$AG$25="Muy Alta",'Mapa final'!$AI$25="Leve"),CONCATENATE("R6C",'Mapa final'!$W$25),"")</f>
        <v/>
      </c>
      <c r="K11" s="39" t="str">
        <f ca="1">IF(AND('Mapa final'!$AG$26="Muy Alta",'Mapa final'!$AI$26="Leve"),CONCATENATE("R6C",'Mapa final'!$W$26),"")</f>
        <v/>
      </c>
      <c r="L11" s="39" t="e">
        <f>IF(AND('Mapa final'!#REF!="Muy Alta",'Mapa final'!#REF!="Leve"),CONCATENATE("R6C",'Mapa final'!#REF!),"")</f>
        <v>#REF!</v>
      </c>
      <c r="M11" s="39" t="e">
        <f>IF(AND('Mapa final'!#REF!="Muy Alta",'Mapa final'!#REF!="Leve"),CONCATENATE("R6C",'Mapa final'!#REF!),"")</f>
        <v>#REF!</v>
      </c>
      <c r="N11" s="39" t="e">
        <f>IF(AND('Mapa final'!#REF!="Muy Alta",'Mapa final'!#REF!="Leve"),CONCATENATE("R6C",'Mapa final'!#REF!),"")</f>
        <v>#REF!</v>
      </c>
      <c r="O11" s="40" t="e">
        <f>IF(AND('Mapa final'!#REF!="Muy Alta",'Mapa final'!#REF!="Leve"),CONCATENATE("R6C",'Mapa final'!#REF!),"")</f>
        <v>#REF!</v>
      </c>
      <c r="P11" s="38" t="str">
        <f ca="1">IF(AND('Mapa final'!$AG$25="Muy Alta",'Mapa final'!$AI$25="Menor"),CONCATENATE("R6C",'Mapa final'!$W$25),"")</f>
        <v/>
      </c>
      <c r="Q11" s="39" t="str">
        <f ca="1">IF(AND('Mapa final'!$AG$26="Muy Alta",'Mapa final'!$AI$26="Menor"),CONCATENATE("R6C",'Mapa final'!$W$26),"")</f>
        <v/>
      </c>
      <c r="R11" s="39" t="e">
        <f>IF(AND('Mapa final'!#REF!="Muy Alta",'Mapa final'!#REF!="Menor"),CONCATENATE("R6C",'Mapa final'!#REF!),"")</f>
        <v>#REF!</v>
      </c>
      <c r="S11" s="39" t="e">
        <f>IF(AND('Mapa final'!#REF!="Muy Alta",'Mapa final'!#REF!="Menor"),CONCATENATE("R6C",'Mapa final'!#REF!),"")</f>
        <v>#REF!</v>
      </c>
      <c r="T11" s="39" t="e">
        <f>IF(AND('Mapa final'!#REF!="Muy Alta",'Mapa final'!#REF!="Menor"),CONCATENATE("R6C",'Mapa final'!#REF!),"")</f>
        <v>#REF!</v>
      </c>
      <c r="U11" s="40" t="e">
        <f>IF(AND('Mapa final'!#REF!="Muy Alta",'Mapa final'!#REF!="Menor"),CONCATENATE("R6C",'Mapa final'!#REF!),"")</f>
        <v>#REF!</v>
      </c>
      <c r="V11" s="38" t="str">
        <f ca="1">IF(AND('Mapa final'!$AG$25="Muy Alta",'Mapa final'!$AI$25="Moderado"),CONCATENATE("R6C",'Mapa final'!$W$25),"")</f>
        <v/>
      </c>
      <c r="W11" s="39" t="str">
        <f ca="1">IF(AND('Mapa final'!$AG$26="Muy Alta",'Mapa final'!$AI$26="Moderado"),CONCATENATE("R6C",'Mapa final'!$W$26),"")</f>
        <v/>
      </c>
      <c r="X11" s="39" t="e">
        <f>IF(AND('Mapa final'!#REF!="Muy Alta",'Mapa final'!#REF!="Moderado"),CONCATENATE("R6C",'Mapa final'!#REF!),"")</f>
        <v>#REF!</v>
      </c>
      <c r="Y11" s="39" t="e">
        <f>IF(AND('Mapa final'!#REF!="Muy Alta",'Mapa final'!#REF!="Moderado"),CONCATENATE("R6C",'Mapa final'!#REF!),"")</f>
        <v>#REF!</v>
      </c>
      <c r="Z11" s="39" t="e">
        <f>IF(AND('Mapa final'!#REF!="Muy Alta",'Mapa final'!#REF!="Moderado"),CONCATENATE("R6C",'Mapa final'!#REF!),"")</f>
        <v>#REF!</v>
      </c>
      <c r="AA11" s="40" t="e">
        <f>IF(AND('Mapa final'!#REF!="Muy Alta",'Mapa final'!#REF!="Moderado"),CONCATENATE("R6C",'Mapa final'!#REF!),"")</f>
        <v>#REF!</v>
      </c>
      <c r="AB11" s="38" t="str">
        <f ca="1">IF(AND('Mapa final'!$AG$25="Muy Alta",'Mapa final'!$AI$25="Mayor"),CONCATENATE("R6C",'Mapa final'!$W$25),"")</f>
        <v/>
      </c>
      <c r="AC11" s="39" t="str">
        <f ca="1">IF(AND('Mapa final'!$AG$26="Muy Alta",'Mapa final'!$AI$26="Mayor"),CONCATENATE("R6C",'Mapa final'!$W$26),"")</f>
        <v/>
      </c>
      <c r="AD11" s="39" t="e">
        <f>IF(AND('Mapa final'!#REF!="Muy Alta",'Mapa final'!#REF!="Mayor"),CONCATENATE("R6C",'Mapa final'!#REF!),"")</f>
        <v>#REF!</v>
      </c>
      <c r="AE11" s="39" t="e">
        <f>IF(AND('Mapa final'!#REF!="Muy Alta",'Mapa final'!#REF!="Mayor"),CONCATENATE("R6C",'Mapa final'!#REF!),"")</f>
        <v>#REF!</v>
      </c>
      <c r="AF11" s="39" t="e">
        <f>IF(AND('Mapa final'!#REF!="Muy Alta",'Mapa final'!#REF!="Mayor"),CONCATENATE("R6C",'Mapa final'!#REF!),"")</f>
        <v>#REF!</v>
      </c>
      <c r="AG11" s="40" t="e">
        <f>IF(AND('Mapa final'!#REF!="Muy Alta",'Mapa final'!#REF!="Mayor"),CONCATENATE("R6C",'Mapa final'!#REF!),"")</f>
        <v>#REF!</v>
      </c>
      <c r="AH11" s="41" t="str">
        <f ca="1">IF(AND('Mapa final'!$AG$25="Muy Alta",'Mapa final'!$AI$25="Catastrófico"),CONCATENATE("R6C",'Mapa final'!$W$25),"")</f>
        <v/>
      </c>
      <c r="AI11" s="42" t="str">
        <f ca="1">IF(AND('Mapa final'!$AG$26="Muy Alta",'Mapa final'!$AI$26="Catastrófico"),CONCATENATE("R6C",'Mapa final'!$W$26),"")</f>
        <v/>
      </c>
      <c r="AJ11" s="42" t="e">
        <f>IF(AND('Mapa final'!#REF!="Muy Alta",'Mapa final'!#REF!="Catastrófico"),CONCATENATE("R6C",'Mapa final'!#REF!),"")</f>
        <v>#REF!</v>
      </c>
      <c r="AK11" s="42" t="e">
        <f>IF(AND('Mapa final'!#REF!="Muy Alta",'Mapa final'!#REF!="Catastrófico"),CONCATENATE("R6C",'Mapa final'!#REF!),"")</f>
        <v>#REF!</v>
      </c>
      <c r="AL11" s="42" t="e">
        <f>IF(AND('Mapa final'!#REF!="Muy Alta",'Mapa final'!#REF!="Catastrófico"),CONCATENATE("R6C",'Mapa final'!#REF!),"")</f>
        <v>#REF!</v>
      </c>
      <c r="AM11" s="43" t="e">
        <f>IF(AND('Mapa final'!#REF!="Muy Alta",'Mapa final'!#REF!="Catastrófico"),CONCATENATE("R6C",'Mapa final'!#REF!),"")</f>
        <v>#REF!</v>
      </c>
      <c r="AN11" s="69"/>
      <c r="AO11" s="606"/>
      <c r="AP11" s="607"/>
      <c r="AQ11" s="607"/>
      <c r="AR11" s="607"/>
      <c r="AS11" s="607"/>
      <c r="AT11" s="608"/>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18"/>
      <c r="C12" s="518"/>
      <c r="D12" s="519"/>
      <c r="E12" s="599"/>
      <c r="F12" s="597"/>
      <c r="G12" s="597"/>
      <c r="H12" s="597"/>
      <c r="I12" s="598"/>
      <c r="J12" s="38" t="str">
        <f ca="1">IF(AND('Mapa final'!$AG$27="Muy Alta",'Mapa final'!$AI$27="Leve"),CONCATENATE("R7C",'Mapa final'!$W$27),"")</f>
        <v/>
      </c>
      <c r="K12" s="39" t="str">
        <f ca="1">IF(AND('Mapa final'!$AG$28="Muy Alta",'Mapa final'!$AI$28="Leve"),CONCATENATE("R7C",'Mapa final'!$W$28),"")</f>
        <v/>
      </c>
      <c r="L12" s="39" t="e">
        <f>IF(AND('Mapa final'!#REF!="Muy Alta",'Mapa final'!#REF!="Leve"),CONCATENATE("R7C",'Mapa final'!#REF!),"")</f>
        <v>#REF!</v>
      </c>
      <c r="M12" s="39" t="e">
        <f>IF(AND('Mapa final'!#REF!="Muy Alta",'Mapa final'!#REF!="Leve"),CONCATENATE("R7C",'Mapa final'!#REF!),"")</f>
        <v>#REF!</v>
      </c>
      <c r="N12" s="39" t="e">
        <f>IF(AND('Mapa final'!#REF!="Muy Alta",'Mapa final'!#REF!="Leve"),CONCATENATE("R7C",'Mapa final'!#REF!),"")</f>
        <v>#REF!</v>
      </c>
      <c r="O12" s="40" t="e">
        <f>IF(AND('Mapa final'!#REF!="Muy Alta",'Mapa final'!#REF!="Leve"),CONCATENATE("R7C",'Mapa final'!#REF!),"")</f>
        <v>#REF!</v>
      </c>
      <c r="P12" s="38" t="str">
        <f ca="1">IF(AND('Mapa final'!$AG$27="Muy Alta",'Mapa final'!$AI$27="Menor"),CONCATENATE("R7C",'Mapa final'!$W$27),"")</f>
        <v/>
      </c>
      <c r="Q12" s="39" t="str">
        <f ca="1">IF(AND('Mapa final'!$AG$28="Muy Alta",'Mapa final'!$AI$28="Menor"),CONCATENATE("R7C",'Mapa final'!$W$28),"")</f>
        <v/>
      </c>
      <c r="R12" s="39" t="e">
        <f>IF(AND('Mapa final'!#REF!="Muy Alta",'Mapa final'!#REF!="Menor"),CONCATENATE("R7C",'Mapa final'!#REF!),"")</f>
        <v>#REF!</v>
      </c>
      <c r="S12" s="39" t="e">
        <f>IF(AND('Mapa final'!#REF!="Muy Alta",'Mapa final'!#REF!="Menor"),CONCATENATE("R7C",'Mapa final'!#REF!),"")</f>
        <v>#REF!</v>
      </c>
      <c r="T12" s="39" t="e">
        <f>IF(AND('Mapa final'!#REF!="Muy Alta",'Mapa final'!#REF!="Menor"),CONCATENATE("R7C",'Mapa final'!#REF!),"")</f>
        <v>#REF!</v>
      </c>
      <c r="U12" s="40" t="e">
        <f>IF(AND('Mapa final'!#REF!="Muy Alta",'Mapa final'!#REF!="Menor"),CONCATENATE("R7C",'Mapa final'!#REF!),"")</f>
        <v>#REF!</v>
      </c>
      <c r="V12" s="38" t="str">
        <f ca="1">IF(AND('Mapa final'!$AG$27="Muy Alta",'Mapa final'!$AI$27="Moderado"),CONCATENATE("R7C",'Mapa final'!$W$27),"")</f>
        <v/>
      </c>
      <c r="W12" s="39" t="str">
        <f ca="1">IF(AND('Mapa final'!$AG$28="Muy Alta",'Mapa final'!$AI$28="Moderado"),CONCATENATE("R7C",'Mapa final'!$W$28),"")</f>
        <v/>
      </c>
      <c r="X12" s="39" t="e">
        <f>IF(AND('Mapa final'!#REF!="Muy Alta",'Mapa final'!#REF!="Moderado"),CONCATENATE("R7C",'Mapa final'!#REF!),"")</f>
        <v>#REF!</v>
      </c>
      <c r="Y12" s="39" t="e">
        <f>IF(AND('Mapa final'!#REF!="Muy Alta",'Mapa final'!#REF!="Moderado"),CONCATENATE("R7C",'Mapa final'!#REF!),"")</f>
        <v>#REF!</v>
      </c>
      <c r="Z12" s="39" t="e">
        <f>IF(AND('Mapa final'!#REF!="Muy Alta",'Mapa final'!#REF!="Moderado"),CONCATENATE("R7C",'Mapa final'!#REF!),"")</f>
        <v>#REF!</v>
      </c>
      <c r="AA12" s="40" t="e">
        <f>IF(AND('Mapa final'!#REF!="Muy Alta",'Mapa final'!#REF!="Moderado"),CONCATENATE("R7C",'Mapa final'!#REF!),"")</f>
        <v>#REF!</v>
      </c>
      <c r="AB12" s="38" t="str">
        <f ca="1">IF(AND('Mapa final'!$AG$27="Muy Alta",'Mapa final'!$AI$27="Mayor"),CONCATENATE("R7C",'Mapa final'!$W$27),"")</f>
        <v/>
      </c>
      <c r="AC12" s="39" t="str">
        <f ca="1">IF(AND('Mapa final'!$AG$28="Muy Alta",'Mapa final'!$AI$28="Mayor"),CONCATENATE("R7C",'Mapa final'!$W$28),"")</f>
        <v/>
      </c>
      <c r="AD12" s="39" t="e">
        <f>IF(AND('Mapa final'!#REF!="Muy Alta",'Mapa final'!#REF!="Mayor"),CONCATENATE("R7C",'Mapa final'!#REF!),"")</f>
        <v>#REF!</v>
      </c>
      <c r="AE12" s="39" t="e">
        <f>IF(AND('Mapa final'!#REF!="Muy Alta",'Mapa final'!#REF!="Mayor"),CONCATENATE("R7C",'Mapa final'!#REF!),"")</f>
        <v>#REF!</v>
      </c>
      <c r="AF12" s="39" t="e">
        <f>IF(AND('Mapa final'!#REF!="Muy Alta",'Mapa final'!#REF!="Mayor"),CONCATENATE("R7C",'Mapa final'!#REF!),"")</f>
        <v>#REF!</v>
      </c>
      <c r="AG12" s="40" t="e">
        <f>IF(AND('Mapa final'!#REF!="Muy Alta",'Mapa final'!#REF!="Mayor"),CONCATENATE("R7C",'Mapa final'!#REF!),"")</f>
        <v>#REF!</v>
      </c>
      <c r="AH12" s="41" t="str">
        <f ca="1">IF(AND('Mapa final'!$AG$27="Muy Alta",'Mapa final'!$AI$27="Catastrófico"),CONCATENATE("R7C",'Mapa final'!$W$27),"")</f>
        <v/>
      </c>
      <c r="AI12" s="42" t="str">
        <f ca="1">IF(AND('Mapa final'!$AG$28="Muy Alta",'Mapa final'!$AI$28="Catastrófico"),CONCATENATE("R7C",'Mapa final'!$W$28),"")</f>
        <v/>
      </c>
      <c r="AJ12" s="42" t="e">
        <f>IF(AND('Mapa final'!#REF!="Muy Alta",'Mapa final'!#REF!="Catastrófico"),CONCATENATE("R7C",'Mapa final'!#REF!),"")</f>
        <v>#REF!</v>
      </c>
      <c r="AK12" s="42" t="e">
        <f>IF(AND('Mapa final'!#REF!="Muy Alta",'Mapa final'!#REF!="Catastrófico"),CONCATENATE("R7C",'Mapa final'!#REF!),"")</f>
        <v>#REF!</v>
      </c>
      <c r="AL12" s="42" t="e">
        <f>IF(AND('Mapa final'!#REF!="Muy Alta",'Mapa final'!#REF!="Catastrófico"),CONCATENATE("R7C",'Mapa final'!#REF!),"")</f>
        <v>#REF!</v>
      </c>
      <c r="AM12" s="43" t="e">
        <f>IF(AND('Mapa final'!#REF!="Muy Alta",'Mapa final'!#REF!="Catastrófico"),CONCATENATE("R7C",'Mapa final'!#REF!),"")</f>
        <v>#REF!</v>
      </c>
      <c r="AN12" s="69"/>
      <c r="AO12" s="606"/>
      <c r="AP12" s="607"/>
      <c r="AQ12" s="607"/>
      <c r="AR12" s="607"/>
      <c r="AS12" s="607"/>
      <c r="AT12" s="608"/>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18"/>
      <c r="C13" s="518"/>
      <c r="D13" s="519"/>
      <c r="E13" s="599"/>
      <c r="F13" s="597"/>
      <c r="G13" s="597"/>
      <c r="H13" s="597"/>
      <c r="I13" s="598"/>
      <c r="J13" s="38" t="str">
        <f ca="1">IF(AND('Mapa final'!$AG$29="Muy Alta",'Mapa final'!$AI$29="Leve"),CONCATENATE("R8C",'Mapa final'!$W$29),"")</f>
        <v/>
      </c>
      <c r="K13" s="39" t="str">
        <f ca="1">IF(AND('Mapa final'!$AG$30="Muy Alta",'Mapa final'!$AI$30="Leve"),CONCATENATE("R8C",'Mapa final'!$W$30),"")</f>
        <v/>
      </c>
      <c r="L13" s="39" t="str">
        <f ca="1">IF(AND('Mapa final'!$AG$31="Muy Alta",'Mapa final'!$AI$31="Leve"),CONCATENATE("R8C",'Mapa final'!$W$31),"")</f>
        <v/>
      </c>
      <c r="M13" s="39" t="str">
        <f ca="1">IF(AND('Mapa final'!$AG$32="Muy Alta",'Mapa final'!$AI$32="Leve"),CONCATENATE("R8C",'Mapa final'!$W$32),"")</f>
        <v/>
      </c>
      <c r="N13" s="39" t="e">
        <f>IF(AND('Mapa final'!#REF!="Muy Alta",'Mapa final'!#REF!="Leve"),CONCATENATE("R8C",'Mapa final'!#REF!),"")</f>
        <v>#REF!</v>
      </c>
      <c r="O13" s="40" t="e">
        <f>IF(AND('Mapa final'!#REF!="Muy Alta",'Mapa final'!#REF!="Leve"),CONCATENATE("R8C",'Mapa final'!#REF!),"")</f>
        <v>#REF!</v>
      </c>
      <c r="P13" s="38" t="str">
        <f ca="1">IF(AND('Mapa final'!$AG$29="Muy Alta",'Mapa final'!$AI$29="Menor"),CONCATENATE("R8C",'Mapa final'!$W$29),"")</f>
        <v/>
      </c>
      <c r="Q13" s="39" t="str">
        <f ca="1">IF(AND('Mapa final'!$AG$30="Muy Alta",'Mapa final'!$AI$30="Menor"),CONCATENATE("R8C",'Mapa final'!$W$30),"")</f>
        <v/>
      </c>
      <c r="R13" s="39" t="str">
        <f ca="1">IF(AND('Mapa final'!$AG$31="Muy Alta",'Mapa final'!$AI$31="Menor"),CONCATENATE("R8C",'Mapa final'!$W$31),"")</f>
        <v/>
      </c>
      <c r="S13" s="39" t="str">
        <f ca="1">IF(AND('Mapa final'!$AG$32="Muy Alta",'Mapa final'!$AI$32="Menor"),CONCATENATE("R8C",'Mapa final'!$W$32),"")</f>
        <v/>
      </c>
      <c r="T13" s="39" t="e">
        <f>IF(AND('Mapa final'!#REF!="Muy Alta",'Mapa final'!#REF!="Menor"),CONCATENATE("R8C",'Mapa final'!#REF!),"")</f>
        <v>#REF!</v>
      </c>
      <c r="U13" s="40" t="e">
        <f>IF(AND('Mapa final'!#REF!="Muy Alta",'Mapa final'!#REF!="Menor"),CONCATENATE("R8C",'Mapa final'!#REF!),"")</f>
        <v>#REF!</v>
      </c>
      <c r="V13" s="38" t="str">
        <f ca="1">IF(AND('Mapa final'!$AG$29="Muy Alta",'Mapa final'!$AI$29="Moderado"),CONCATENATE("R8C",'Mapa final'!$W$29),"")</f>
        <v/>
      </c>
      <c r="W13" s="39" t="str">
        <f ca="1">IF(AND('Mapa final'!$AG$30="Muy Alta",'Mapa final'!$AI$30="Moderado"),CONCATENATE("R8C",'Mapa final'!$W$30),"")</f>
        <v/>
      </c>
      <c r="X13" s="39" t="str">
        <f ca="1">IF(AND('Mapa final'!$AG$31="Muy Alta",'Mapa final'!$AI$31="Moderado"),CONCATENATE("R8C",'Mapa final'!$W$31),"")</f>
        <v/>
      </c>
      <c r="Y13" s="39" t="str">
        <f ca="1">IF(AND('Mapa final'!$AG$32="Muy Alta",'Mapa final'!$AI$32="Moderado"),CONCATENATE("R8C",'Mapa final'!$W$32),"")</f>
        <v/>
      </c>
      <c r="Z13" s="39" t="e">
        <f>IF(AND('Mapa final'!#REF!="Muy Alta",'Mapa final'!#REF!="Moderado"),CONCATENATE("R8C",'Mapa final'!#REF!),"")</f>
        <v>#REF!</v>
      </c>
      <c r="AA13" s="40" t="e">
        <f>IF(AND('Mapa final'!#REF!="Muy Alta",'Mapa final'!#REF!="Moderado"),CONCATENATE("R8C",'Mapa final'!#REF!),"")</f>
        <v>#REF!</v>
      </c>
      <c r="AB13" s="38" t="str">
        <f ca="1">IF(AND('Mapa final'!$AG$29="Muy Alta",'Mapa final'!$AI$29="Mayor"),CONCATENATE("R8C",'Mapa final'!$W$29),"")</f>
        <v/>
      </c>
      <c r="AC13" s="39" t="str">
        <f ca="1">IF(AND('Mapa final'!$AG$30="Muy Alta",'Mapa final'!$AI$30="Mayor"),CONCATENATE("R8C",'Mapa final'!$W$30),"")</f>
        <v/>
      </c>
      <c r="AD13" s="39" t="str">
        <f ca="1">IF(AND('Mapa final'!$AG$31="Muy Alta",'Mapa final'!$AI$31="Mayor"),CONCATENATE("R8C",'Mapa final'!$W$31),"")</f>
        <v/>
      </c>
      <c r="AE13" s="39" t="str">
        <f ca="1">IF(AND('Mapa final'!$AG$32="Muy Alta",'Mapa final'!$AI$32="Mayor"),CONCATENATE("R8C",'Mapa final'!$W$32),"")</f>
        <v/>
      </c>
      <c r="AF13" s="39" t="e">
        <f>IF(AND('Mapa final'!#REF!="Muy Alta",'Mapa final'!#REF!="Mayor"),CONCATENATE("R8C",'Mapa final'!#REF!),"")</f>
        <v>#REF!</v>
      </c>
      <c r="AG13" s="40" t="e">
        <f>IF(AND('Mapa final'!#REF!="Muy Alta",'Mapa final'!#REF!="Mayor"),CONCATENATE("R8C",'Mapa final'!#REF!),"")</f>
        <v>#REF!</v>
      </c>
      <c r="AH13" s="41" t="str">
        <f ca="1">IF(AND('Mapa final'!$AG$29="Muy Alta",'Mapa final'!$AI$29="Catastrófico"),CONCATENATE("R8C",'Mapa final'!$W$29),"")</f>
        <v/>
      </c>
      <c r="AI13" s="42" t="str">
        <f ca="1">IF(AND('Mapa final'!$AG$30="Muy Alta",'Mapa final'!$AI$30="Catastrófico"),CONCATENATE("R8C",'Mapa final'!$W$30),"")</f>
        <v/>
      </c>
      <c r="AJ13" s="42" t="str">
        <f ca="1">IF(AND('Mapa final'!$AG$31="Muy Alta",'Mapa final'!$AI$31="Catastrófico"),CONCATENATE("R8C",'Mapa final'!$W$31),"")</f>
        <v/>
      </c>
      <c r="AK13" s="42" t="str">
        <f ca="1">IF(AND('Mapa final'!$AG$32="Muy Alta",'Mapa final'!$AI$32="Catastrófico"),CONCATENATE("R8C",'Mapa final'!$W$32),"")</f>
        <v/>
      </c>
      <c r="AL13" s="42" t="e">
        <f>IF(AND('Mapa final'!#REF!="Muy Alta",'Mapa final'!#REF!="Catastrófico"),CONCATENATE("R8C",'Mapa final'!#REF!),"")</f>
        <v>#REF!</v>
      </c>
      <c r="AM13" s="43" t="e">
        <f>IF(AND('Mapa final'!#REF!="Muy Alta",'Mapa final'!#REF!="Catastrófico"),CONCATENATE("R8C",'Mapa final'!#REF!),"")</f>
        <v>#REF!</v>
      </c>
      <c r="AN13" s="69"/>
      <c r="AO13" s="606"/>
      <c r="AP13" s="607"/>
      <c r="AQ13" s="607"/>
      <c r="AR13" s="607"/>
      <c r="AS13" s="607"/>
      <c r="AT13" s="608"/>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18"/>
      <c r="C14" s="518"/>
      <c r="D14" s="519"/>
      <c r="E14" s="599"/>
      <c r="F14" s="597"/>
      <c r="G14" s="597"/>
      <c r="H14" s="597"/>
      <c r="I14" s="598"/>
      <c r="J14" s="38" t="str">
        <f ca="1">IF(AND('Mapa final'!$AG$33="Muy Alta",'Mapa final'!$AI$33="Leve"),CONCATENATE("R9C",'Mapa final'!$W$33),"")</f>
        <v/>
      </c>
      <c r="K14" s="39" t="str">
        <f ca="1">IF(AND('Mapa final'!$AG$34="Muy Alta",'Mapa final'!$AI$34="Leve"),CONCATENATE("R9C",'Mapa final'!$W$34),"")</f>
        <v/>
      </c>
      <c r="L14" s="39" t="str">
        <f ca="1">IF(AND('Mapa final'!$AG$35="Muy Alta",'Mapa final'!$AI$35="Leve"),CONCATENATE("R9C",'Mapa final'!$W$35),"")</f>
        <v/>
      </c>
      <c r="M14" s="39" t="str">
        <f ca="1">IF(AND('Mapa final'!$AG$36="Muy Alta",'Mapa final'!$AI$36="Leve"),CONCATENATE("R9C",'Mapa final'!$W$36),"")</f>
        <v/>
      </c>
      <c r="N14" s="39" t="str">
        <f ca="1">IF(AND('Mapa final'!$AG$37="Muy Alta",'Mapa final'!$AI$37="Leve"),CONCATENATE("R9C",'Mapa final'!$W$37),"")</f>
        <v/>
      </c>
      <c r="O14" s="40" t="e">
        <f>IF(AND('Mapa final'!#REF!="Muy Alta",'Mapa final'!#REF!="Leve"),CONCATENATE("R9C",'Mapa final'!#REF!),"")</f>
        <v>#REF!</v>
      </c>
      <c r="P14" s="38" t="str">
        <f ca="1">IF(AND('Mapa final'!$AG$33="Muy Alta",'Mapa final'!$AI$33="Menor"),CONCATENATE("R9C",'Mapa final'!$W$33),"")</f>
        <v/>
      </c>
      <c r="Q14" s="39" t="str">
        <f ca="1">IF(AND('Mapa final'!$AG$34="Muy Alta",'Mapa final'!$AI$34="Menor"),CONCATENATE("R9C",'Mapa final'!$W$34),"")</f>
        <v/>
      </c>
      <c r="R14" s="39" t="str">
        <f ca="1">IF(AND('Mapa final'!$AG$35="Muy Alta",'Mapa final'!$AI$35="Menor"),CONCATENATE("R9C",'Mapa final'!$W$35),"")</f>
        <v/>
      </c>
      <c r="S14" s="39" t="str">
        <f ca="1">IF(AND('Mapa final'!$AG$36="Muy Alta",'Mapa final'!$AI$36="Menor"),CONCATENATE("R9C",'Mapa final'!$W$36),"")</f>
        <v/>
      </c>
      <c r="T14" s="39" t="str">
        <f ca="1">IF(AND('Mapa final'!$AG$37="Muy Alta",'Mapa final'!$AI$37="Menor"),CONCATENATE("R9C",'Mapa final'!$W$37),"")</f>
        <v/>
      </c>
      <c r="U14" s="40" t="e">
        <f>IF(AND('Mapa final'!#REF!="Muy Alta",'Mapa final'!#REF!="Menor"),CONCATENATE("R9C",'Mapa final'!#REF!),"")</f>
        <v>#REF!</v>
      </c>
      <c r="V14" s="38" t="str">
        <f ca="1">IF(AND('Mapa final'!$AG$33="Muy Alta",'Mapa final'!$AI$33="Moderado"),CONCATENATE("R9C",'Mapa final'!$W$33),"")</f>
        <v/>
      </c>
      <c r="W14" s="39" t="str">
        <f ca="1">IF(AND('Mapa final'!$AG$34="Muy Alta",'Mapa final'!$AI$34="Moderado"),CONCATENATE("R9C",'Mapa final'!$W$34),"")</f>
        <v/>
      </c>
      <c r="X14" s="39" t="str">
        <f ca="1">IF(AND('Mapa final'!$AG$35="Muy Alta",'Mapa final'!$AI$35="Moderado"),CONCATENATE("R9C",'Mapa final'!$W$35),"")</f>
        <v/>
      </c>
      <c r="Y14" s="39" t="str">
        <f ca="1">IF(AND('Mapa final'!$AG$36="Muy Alta",'Mapa final'!$AI$36="Moderado"),CONCATENATE("R9C",'Mapa final'!$W$36),"")</f>
        <v/>
      </c>
      <c r="Z14" s="39" t="str">
        <f ca="1">IF(AND('Mapa final'!$AG$37="Muy Alta",'Mapa final'!$AI$37="Moderado"),CONCATENATE("R9C",'Mapa final'!$W$37),"")</f>
        <v/>
      </c>
      <c r="AA14" s="40" t="e">
        <f>IF(AND('Mapa final'!#REF!="Muy Alta",'Mapa final'!#REF!="Moderado"),CONCATENATE("R9C",'Mapa final'!#REF!),"")</f>
        <v>#REF!</v>
      </c>
      <c r="AB14" s="38" t="str">
        <f ca="1">IF(AND('Mapa final'!$AG$33="Muy Alta",'Mapa final'!$AI$33="Mayor"),CONCATENATE("R9C",'Mapa final'!$W$33),"")</f>
        <v/>
      </c>
      <c r="AC14" s="39" t="str">
        <f ca="1">IF(AND('Mapa final'!$AG$34="Muy Alta",'Mapa final'!$AI$34="Mayor"),CONCATENATE("R9C",'Mapa final'!$W$34),"")</f>
        <v/>
      </c>
      <c r="AD14" s="39" t="str">
        <f ca="1">IF(AND('Mapa final'!$AG$35="Muy Alta",'Mapa final'!$AI$35="Mayor"),CONCATENATE("R9C",'Mapa final'!$W$35),"")</f>
        <v/>
      </c>
      <c r="AE14" s="39" t="str">
        <f ca="1">IF(AND('Mapa final'!$AG$36="Muy Alta",'Mapa final'!$AI$36="Mayor"),CONCATENATE("R9C",'Mapa final'!$W$36),"")</f>
        <v/>
      </c>
      <c r="AF14" s="39" t="str">
        <f ca="1">IF(AND('Mapa final'!$AG$37="Muy Alta",'Mapa final'!$AI$37="Mayor"),CONCATENATE("R9C",'Mapa final'!$W$37),"")</f>
        <v/>
      </c>
      <c r="AG14" s="40" t="e">
        <f>IF(AND('Mapa final'!#REF!="Muy Alta",'Mapa final'!#REF!="Mayor"),CONCATENATE("R9C",'Mapa final'!#REF!),"")</f>
        <v>#REF!</v>
      </c>
      <c r="AH14" s="41" t="str">
        <f ca="1">IF(AND('Mapa final'!$AG$33="Muy Alta",'Mapa final'!$AI$33="Catastrófico"),CONCATENATE("R9C",'Mapa final'!$W$33),"")</f>
        <v/>
      </c>
      <c r="AI14" s="42" t="str">
        <f ca="1">IF(AND('Mapa final'!$AG$34="Muy Alta",'Mapa final'!$AI$34="Catastrófico"),CONCATENATE("R9C",'Mapa final'!$W$34),"")</f>
        <v/>
      </c>
      <c r="AJ14" s="42" t="str">
        <f ca="1">IF(AND('Mapa final'!$AG$35="Muy Alta",'Mapa final'!$AI$35="Catastrófico"),CONCATENATE("R9C",'Mapa final'!$W$35),"")</f>
        <v/>
      </c>
      <c r="AK14" s="42" t="str">
        <f ca="1">IF(AND('Mapa final'!$AG$36="Muy Alta",'Mapa final'!$AI$36="Catastrófico"),CONCATENATE("R9C",'Mapa final'!$W$36),"")</f>
        <v/>
      </c>
      <c r="AL14" s="42" t="str">
        <f ca="1">IF(AND('Mapa final'!$AG$37="Muy Alta",'Mapa final'!$AI$37="Catastrófico"),CONCATENATE("R9C",'Mapa final'!$W$37),"")</f>
        <v/>
      </c>
      <c r="AM14" s="43" t="e">
        <f>IF(AND('Mapa final'!#REF!="Muy Alta",'Mapa final'!#REF!="Catastrófico"),CONCATENATE("R9C",'Mapa final'!#REF!),"")</f>
        <v>#REF!</v>
      </c>
      <c r="AN14" s="69"/>
      <c r="AO14" s="606"/>
      <c r="AP14" s="607"/>
      <c r="AQ14" s="607"/>
      <c r="AR14" s="607"/>
      <c r="AS14" s="607"/>
      <c r="AT14" s="608"/>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18"/>
      <c r="C15" s="518"/>
      <c r="D15" s="519"/>
      <c r="E15" s="600"/>
      <c r="F15" s="601"/>
      <c r="G15" s="601"/>
      <c r="H15" s="601"/>
      <c r="I15" s="602"/>
      <c r="J15" s="44" t="str">
        <f ca="1">IF(AND('Mapa final'!$AG$38="Muy Alta",'Mapa final'!$AI$38="Leve"),CONCATENATE("R10C",'Mapa final'!$W$38),"")</f>
        <v/>
      </c>
      <c r="K15" s="45" t="str">
        <f ca="1">IF(AND('Mapa final'!$AG$39="Muy Alta",'Mapa final'!$AI$39="Leve"),CONCATENATE("R10C",'Mapa final'!$W$39),"")</f>
        <v/>
      </c>
      <c r="L15" s="45" t="e">
        <f>IF(AND('Mapa final'!#REF!="Muy Alta",'Mapa final'!#REF!="Leve"),CONCATENATE("R10C",'Mapa final'!#REF!),"")</f>
        <v>#REF!</v>
      </c>
      <c r="M15" s="45" t="e">
        <f>IF(AND('Mapa final'!#REF!="Muy Alta",'Mapa final'!#REF!="Leve"),CONCATENATE("R10C",'Mapa final'!#REF!),"")</f>
        <v>#REF!</v>
      </c>
      <c r="N15" s="45" t="e">
        <f>IF(AND('Mapa final'!#REF!="Muy Alta",'Mapa final'!#REF!="Leve"),CONCATENATE("R10C",'Mapa final'!#REF!),"")</f>
        <v>#REF!</v>
      </c>
      <c r="O15" s="46" t="e">
        <f>IF(AND('Mapa final'!#REF!="Muy Alta",'Mapa final'!#REF!="Leve"),CONCATENATE("R10C",'Mapa final'!#REF!),"")</f>
        <v>#REF!</v>
      </c>
      <c r="P15" s="38" t="str">
        <f ca="1">IF(AND('Mapa final'!$AG$38="Muy Alta",'Mapa final'!$AI$38="Menor"),CONCATENATE("R10C",'Mapa final'!$W$38),"")</f>
        <v/>
      </c>
      <c r="Q15" s="39" t="str">
        <f ca="1">IF(AND('Mapa final'!$AG$39="Muy Alta",'Mapa final'!$AI$39="Menor"),CONCATENATE("R10C",'Mapa final'!$W$39),"")</f>
        <v/>
      </c>
      <c r="R15" s="39" t="e">
        <f>IF(AND('Mapa final'!#REF!="Muy Alta",'Mapa final'!#REF!="Menor"),CONCATENATE("R10C",'Mapa final'!#REF!),"")</f>
        <v>#REF!</v>
      </c>
      <c r="S15" s="39" t="e">
        <f>IF(AND('Mapa final'!#REF!="Muy Alta",'Mapa final'!#REF!="Menor"),CONCATENATE("R10C",'Mapa final'!#REF!),"")</f>
        <v>#REF!</v>
      </c>
      <c r="T15" s="39" t="e">
        <f>IF(AND('Mapa final'!#REF!="Muy Alta",'Mapa final'!#REF!="Menor"),CONCATENATE("R10C",'Mapa final'!#REF!),"")</f>
        <v>#REF!</v>
      </c>
      <c r="U15" s="40" t="e">
        <f>IF(AND('Mapa final'!#REF!="Muy Alta",'Mapa final'!#REF!="Menor"),CONCATENATE("R10C",'Mapa final'!#REF!),"")</f>
        <v>#REF!</v>
      </c>
      <c r="V15" s="44" t="str">
        <f ca="1">IF(AND('Mapa final'!$AG$38="Muy Alta",'Mapa final'!$AI$38="Moderado"),CONCATENATE("R10C",'Mapa final'!$W$38),"")</f>
        <v/>
      </c>
      <c r="W15" s="45" t="str">
        <f ca="1">IF(AND('Mapa final'!$AG$39="Muy Alta",'Mapa final'!$AI$39="Moderado"),CONCATENATE("R10C",'Mapa final'!$W$39),"")</f>
        <v/>
      </c>
      <c r="X15" s="45" t="e">
        <f>IF(AND('Mapa final'!#REF!="Muy Alta",'Mapa final'!#REF!="Moderado"),CONCATENATE("R10C",'Mapa final'!#REF!),"")</f>
        <v>#REF!</v>
      </c>
      <c r="Y15" s="45" t="e">
        <f>IF(AND('Mapa final'!#REF!="Muy Alta",'Mapa final'!#REF!="Moderado"),CONCATENATE("R10C",'Mapa final'!#REF!),"")</f>
        <v>#REF!</v>
      </c>
      <c r="Z15" s="45" t="e">
        <f>IF(AND('Mapa final'!#REF!="Muy Alta",'Mapa final'!#REF!="Moderado"),CONCATENATE("R10C",'Mapa final'!#REF!),"")</f>
        <v>#REF!</v>
      </c>
      <c r="AA15" s="46" t="e">
        <f>IF(AND('Mapa final'!#REF!="Muy Alta",'Mapa final'!#REF!="Moderado"),CONCATENATE("R10C",'Mapa final'!#REF!),"")</f>
        <v>#REF!</v>
      </c>
      <c r="AB15" s="38" t="str">
        <f ca="1">IF(AND('Mapa final'!$AG$38="Muy Alta",'Mapa final'!$AI$38="Mayor"),CONCATENATE("R10C",'Mapa final'!$W$38),"")</f>
        <v/>
      </c>
      <c r="AC15" s="39" t="str">
        <f ca="1">IF(AND('Mapa final'!$AG$39="Muy Alta",'Mapa final'!$AI$39="Mayor"),CONCATENATE("R10C",'Mapa final'!$W$39),"")</f>
        <v/>
      </c>
      <c r="AD15" s="39" t="e">
        <f>IF(AND('Mapa final'!#REF!="Muy Alta",'Mapa final'!#REF!="Mayor"),CONCATENATE("R10C",'Mapa final'!#REF!),"")</f>
        <v>#REF!</v>
      </c>
      <c r="AE15" s="39" t="e">
        <f>IF(AND('Mapa final'!#REF!="Muy Alta",'Mapa final'!#REF!="Mayor"),CONCATENATE("R10C",'Mapa final'!#REF!),"")</f>
        <v>#REF!</v>
      </c>
      <c r="AF15" s="39" t="e">
        <f>IF(AND('Mapa final'!#REF!="Muy Alta",'Mapa final'!#REF!="Mayor"),CONCATENATE("R10C",'Mapa final'!#REF!),"")</f>
        <v>#REF!</v>
      </c>
      <c r="AG15" s="40" t="e">
        <f>IF(AND('Mapa final'!#REF!="Muy Alta",'Mapa final'!#REF!="Mayor"),CONCATENATE("R10C",'Mapa final'!#REF!),"")</f>
        <v>#REF!</v>
      </c>
      <c r="AH15" s="47" t="str">
        <f ca="1">IF(AND('Mapa final'!$AG$38="Muy Alta",'Mapa final'!$AI$38="Catastrófico"),CONCATENATE("R10C",'Mapa final'!$W$38),"")</f>
        <v/>
      </c>
      <c r="AI15" s="48" t="str">
        <f ca="1">IF(AND('Mapa final'!$AG$39="Muy Alta",'Mapa final'!$AI$39="Catastrófico"),CONCATENATE("R10C",'Mapa final'!$W$39),"")</f>
        <v/>
      </c>
      <c r="AJ15" s="48" t="e">
        <f>IF(AND('Mapa final'!#REF!="Muy Alta",'Mapa final'!#REF!="Catastrófico"),CONCATENATE("R10C",'Mapa final'!#REF!),"")</f>
        <v>#REF!</v>
      </c>
      <c r="AK15" s="48" t="e">
        <f>IF(AND('Mapa final'!#REF!="Muy Alta",'Mapa final'!#REF!="Catastrófico"),CONCATENATE("R10C",'Mapa final'!#REF!),"")</f>
        <v>#REF!</v>
      </c>
      <c r="AL15" s="48" t="e">
        <f>IF(AND('Mapa final'!#REF!="Muy Alta",'Mapa final'!#REF!="Catastrófico"),CONCATENATE("R10C",'Mapa final'!#REF!),"")</f>
        <v>#REF!</v>
      </c>
      <c r="AM15" s="49" t="e">
        <f>IF(AND('Mapa final'!#REF!="Muy Alta",'Mapa final'!#REF!="Catastrófico"),CONCATENATE("R10C",'Mapa final'!#REF!),"")</f>
        <v>#REF!</v>
      </c>
      <c r="AN15" s="69"/>
      <c r="AO15" s="609"/>
      <c r="AP15" s="610"/>
      <c r="AQ15" s="610"/>
      <c r="AR15" s="610"/>
      <c r="AS15" s="610"/>
      <c r="AT15" s="611"/>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18"/>
      <c r="C16" s="518"/>
      <c r="D16" s="519"/>
      <c r="E16" s="593" t="s">
        <v>131</v>
      </c>
      <c r="F16" s="594"/>
      <c r="G16" s="594"/>
      <c r="H16" s="594"/>
      <c r="I16" s="594"/>
      <c r="J16" s="50" t="str">
        <f ca="1">IF(AND('Mapa final'!$AG$13="Alta",'Mapa final'!$AI$13="Leve"),CONCATENATE("R1C",'Mapa final'!$W$13),"")</f>
        <v/>
      </c>
      <c r="K16" s="51" t="str">
        <f ca="1">IF(AND('Mapa final'!$AG$14="Alta",'Mapa final'!$AI$14="Leve"),CONCATENATE("R1C",'Mapa final'!$W$14),"")</f>
        <v/>
      </c>
      <c r="L16" s="51" t="e">
        <f>IF(AND('Mapa final'!#REF!="Alta",'Mapa final'!#REF!="Leve"),CONCATENATE("R1C",'Mapa final'!#REF!),"")</f>
        <v>#REF!</v>
      </c>
      <c r="M16" s="51" t="e">
        <f>IF(AND('Mapa final'!#REF!="Alta",'Mapa final'!#REF!="Leve"),CONCATENATE("R1C",'Mapa final'!#REF!),"")</f>
        <v>#REF!</v>
      </c>
      <c r="N16" s="51" t="e">
        <f>IF(AND('Mapa final'!#REF!="Alta",'Mapa final'!#REF!="Leve"),CONCATENATE("R1C",'Mapa final'!#REF!),"")</f>
        <v>#REF!</v>
      </c>
      <c r="O16" s="52" t="e">
        <f>IF(AND('Mapa final'!#REF!="Alta",'Mapa final'!#REF!="Leve"),CONCATENATE("R1C",'Mapa final'!#REF!),"")</f>
        <v>#REF!</v>
      </c>
      <c r="P16" s="50" t="str">
        <f ca="1">IF(AND('Mapa final'!$AG$13="Alta",'Mapa final'!$AI$13="Menor"),CONCATENATE("R1C",'Mapa final'!$W$13),"")</f>
        <v/>
      </c>
      <c r="Q16" s="51" t="str">
        <f ca="1">IF(AND('Mapa final'!$AG$14="Alta",'Mapa final'!$AI$14="Menor"),CONCATENATE("R1C",'Mapa final'!$W$14),"")</f>
        <v/>
      </c>
      <c r="R16" s="51" t="e">
        <f>IF(AND('Mapa final'!#REF!="Alta",'Mapa final'!#REF!="Menor"),CONCATENATE("R1C",'Mapa final'!#REF!),"")</f>
        <v>#REF!</v>
      </c>
      <c r="S16" s="51" t="e">
        <f>IF(AND('Mapa final'!#REF!="Alta",'Mapa final'!#REF!="Menor"),CONCATENATE("R1C",'Mapa final'!#REF!),"")</f>
        <v>#REF!</v>
      </c>
      <c r="T16" s="51" t="e">
        <f>IF(AND('Mapa final'!#REF!="Alta",'Mapa final'!#REF!="Menor"),CONCATENATE("R1C",'Mapa final'!#REF!),"")</f>
        <v>#REF!</v>
      </c>
      <c r="U16" s="52" t="e">
        <f>IF(AND('Mapa final'!#REF!="Alta",'Mapa final'!#REF!="Menor"),CONCATENATE("R1C",'Mapa final'!#REF!),"")</f>
        <v>#REF!</v>
      </c>
      <c r="V16" s="32" t="str">
        <f ca="1">IF(AND('Mapa final'!$AG$13="Alta",'Mapa final'!$AI$13="Moderado"),CONCATENATE("R1C",'Mapa final'!$W$13),"")</f>
        <v/>
      </c>
      <c r="W16" s="33" t="str">
        <f ca="1">IF(AND('Mapa final'!$AG$14="Alta",'Mapa final'!$AI$14="Moderado"),CONCATENATE("R1C",'Mapa final'!$W$14),"")</f>
        <v/>
      </c>
      <c r="X16" s="33" t="e">
        <f>IF(AND('Mapa final'!#REF!="Alta",'Mapa final'!#REF!="Moderado"),CONCATENATE("R1C",'Mapa final'!#REF!),"")</f>
        <v>#REF!</v>
      </c>
      <c r="Y16" s="33" t="e">
        <f>IF(AND('Mapa final'!#REF!="Alta",'Mapa final'!#REF!="Moderado"),CONCATENATE("R1C",'Mapa final'!#REF!),"")</f>
        <v>#REF!</v>
      </c>
      <c r="Z16" s="33" t="e">
        <f>IF(AND('Mapa final'!#REF!="Alta",'Mapa final'!#REF!="Moderado"),CONCATENATE("R1C",'Mapa final'!#REF!),"")</f>
        <v>#REF!</v>
      </c>
      <c r="AA16" s="34" t="e">
        <f>IF(AND('Mapa final'!#REF!="Alta",'Mapa final'!#REF!="Moderado"),CONCATENATE("R1C",'Mapa final'!#REF!),"")</f>
        <v>#REF!</v>
      </c>
      <c r="AB16" s="32" t="str">
        <f ca="1">IF(AND('Mapa final'!$AG$13="Alta",'Mapa final'!$AI$13="Mayor"),CONCATENATE("R1C",'Mapa final'!$W$13),"")</f>
        <v/>
      </c>
      <c r="AC16" s="33" t="str">
        <f ca="1">IF(AND('Mapa final'!$AG$14="Alta",'Mapa final'!$AI$14="Mayor"),CONCATENATE("R1C",'Mapa final'!$W$14),"")</f>
        <v/>
      </c>
      <c r="AD16" s="33" t="e">
        <f>IF(AND('Mapa final'!#REF!="Alta",'Mapa final'!#REF!="Mayor"),CONCATENATE("R1C",'Mapa final'!#REF!),"")</f>
        <v>#REF!</v>
      </c>
      <c r="AE16" s="33" t="e">
        <f>IF(AND('Mapa final'!#REF!="Alta",'Mapa final'!#REF!="Mayor"),CONCATENATE("R1C",'Mapa final'!#REF!),"")</f>
        <v>#REF!</v>
      </c>
      <c r="AF16" s="33" t="e">
        <f>IF(AND('Mapa final'!#REF!="Alta",'Mapa final'!#REF!="Mayor"),CONCATENATE("R1C",'Mapa final'!#REF!),"")</f>
        <v>#REF!</v>
      </c>
      <c r="AG16" s="34" t="e">
        <f>IF(AND('Mapa final'!#REF!="Alta",'Mapa final'!#REF!="Mayor"),CONCATENATE("R1C",'Mapa final'!#REF!),"")</f>
        <v>#REF!</v>
      </c>
      <c r="AH16" s="35" t="str">
        <f ca="1">IF(AND('Mapa final'!$AG$13="Alta",'Mapa final'!$AI$13="Catastrófico"),CONCATENATE("R1C",'Mapa final'!$W$13),"")</f>
        <v/>
      </c>
      <c r="AI16" s="36" t="str">
        <f ca="1">IF(AND('Mapa final'!$AG$14="Alta",'Mapa final'!$AI$14="Catastrófico"),CONCATENATE("R1C",'Mapa final'!$W$14),"")</f>
        <v/>
      </c>
      <c r="AJ16" s="36" t="e">
        <f>IF(AND('Mapa final'!#REF!="Alta",'Mapa final'!#REF!="Catastrófico"),CONCATENATE("R1C",'Mapa final'!#REF!),"")</f>
        <v>#REF!</v>
      </c>
      <c r="AK16" s="36" t="e">
        <f>IF(AND('Mapa final'!#REF!="Alta",'Mapa final'!#REF!="Catastrófico"),CONCATENATE("R1C",'Mapa final'!#REF!),"")</f>
        <v>#REF!</v>
      </c>
      <c r="AL16" s="36" t="e">
        <f>IF(AND('Mapa final'!#REF!="Alta",'Mapa final'!#REF!="Catastrófico"),CONCATENATE("R1C",'Mapa final'!#REF!),"")</f>
        <v>#REF!</v>
      </c>
      <c r="AM16" s="37" t="e">
        <f>IF(AND('Mapa final'!#REF!="Alta",'Mapa final'!#REF!="Catastrófico"),CONCATENATE("R1C",'Mapa final'!#REF!),"")</f>
        <v>#REF!</v>
      </c>
      <c r="AN16" s="69"/>
      <c r="AO16" s="623" t="s">
        <v>132</v>
      </c>
      <c r="AP16" s="624"/>
      <c r="AQ16" s="624"/>
      <c r="AR16" s="624"/>
      <c r="AS16" s="624"/>
      <c r="AT16" s="625"/>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18"/>
      <c r="C17" s="518"/>
      <c r="D17" s="519"/>
      <c r="E17" s="596"/>
      <c r="F17" s="597"/>
      <c r="G17" s="597"/>
      <c r="H17" s="597"/>
      <c r="I17" s="597"/>
      <c r="J17" s="53" t="str">
        <f ca="1">IF(AND('Mapa final'!$AG$15="Alta",'Mapa final'!$AI$15="Leve"),CONCATENATE("R2C",'Mapa final'!$W$15),"")</f>
        <v/>
      </c>
      <c r="K17" s="54" t="str">
        <f ca="1">IF(AND('Mapa final'!$AG$16="Alta",'Mapa final'!$AI$16="Leve"),CONCATENATE("R2C",'Mapa final'!$W$16),"")</f>
        <v/>
      </c>
      <c r="L17" s="54" t="e">
        <f>IF(AND('Mapa final'!#REF!="Alta",'Mapa final'!#REF!="Leve"),CONCATENATE("R2C",'Mapa final'!#REF!),"")</f>
        <v>#REF!</v>
      </c>
      <c r="M17" s="54" t="e">
        <f>IF(AND('Mapa final'!#REF!="Alta",'Mapa final'!#REF!="Leve"),CONCATENATE("R2C",'Mapa final'!#REF!),"")</f>
        <v>#REF!</v>
      </c>
      <c r="N17" s="54" t="e">
        <f>IF(AND('Mapa final'!#REF!="Alta",'Mapa final'!#REF!="Leve"),CONCATENATE("R2C",'Mapa final'!#REF!),"")</f>
        <v>#REF!</v>
      </c>
      <c r="O17" s="55" t="e">
        <f>IF(AND('Mapa final'!#REF!="Alta",'Mapa final'!#REF!="Leve"),CONCATENATE("R2C",'Mapa final'!#REF!),"")</f>
        <v>#REF!</v>
      </c>
      <c r="P17" s="53" t="str">
        <f ca="1">IF(AND('Mapa final'!$AG$15="Alta",'Mapa final'!$AI$15="Menor"),CONCATENATE("R2C",'Mapa final'!$W$15),"")</f>
        <v/>
      </c>
      <c r="Q17" s="54" t="str">
        <f ca="1">IF(AND('Mapa final'!$AG$16="Alta",'Mapa final'!$AI$16="Menor"),CONCATENATE("R2C",'Mapa final'!$W$16),"")</f>
        <v/>
      </c>
      <c r="R17" s="54" t="e">
        <f>IF(AND('Mapa final'!#REF!="Alta",'Mapa final'!#REF!="Menor"),CONCATENATE("R2C",'Mapa final'!#REF!),"")</f>
        <v>#REF!</v>
      </c>
      <c r="S17" s="54" t="e">
        <f>IF(AND('Mapa final'!#REF!="Alta",'Mapa final'!#REF!="Menor"),CONCATENATE("R2C",'Mapa final'!#REF!),"")</f>
        <v>#REF!</v>
      </c>
      <c r="T17" s="54" t="e">
        <f>IF(AND('Mapa final'!#REF!="Alta",'Mapa final'!#REF!="Menor"),CONCATENATE("R2C",'Mapa final'!#REF!),"")</f>
        <v>#REF!</v>
      </c>
      <c r="U17" s="55" t="e">
        <f>IF(AND('Mapa final'!#REF!="Alta",'Mapa final'!#REF!="Menor"),CONCATENATE("R2C",'Mapa final'!#REF!),"")</f>
        <v>#REF!</v>
      </c>
      <c r="V17" s="38" t="str">
        <f ca="1">IF(AND('Mapa final'!$AG$15="Alta",'Mapa final'!$AI$15="Moderado"),CONCATENATE("R2C",'Mapa final'!$W$15),"")</f>
        <v/>
      </c>
      <c r="W17" s="39" t="str">
        <f ca="1">IF(AND('Mapa final'!$AG$16="Alta",'Mapa final'!$AI$16="Moderado"),CONCATENATE("R2C",'Mapa final'!$W$16),"")</f>
        <v/>
      </c>
      <c r="X17" s="39" t="e">
        <f>IF(AND('Mapa final'!#REF!="Alta",'Mapa final'!#REF!="Moderado"),CONCATENATE("R2C",'Mapa final'!#REF!),"")</f>
        <v>#REF!</v>
      </c>
      <c r="Y17" s="39" t="e">
        <f>IF(AND('Mapa final'!#REF!="Alta",'Mapa final'!#REF!="Moderado"),CONCATENATE("R2C",'Mapa final'!#REF!),"")</f>
        <v>#REF!</v>
      </c>
      <c r="Z17" s="39" t="e">
        <f>IF(AND('Mapa final'!#REF!="Alta",'Mapa final'!#REF!="Moderado"),CONCATENATE("R2C",'Mapa final'!#REF!),"")</f>
        <v>#REF!</v>
      </c>
      <c r="AA17" s="40" t="e">
        <f>IF(AND('Mapa final'!#REF!="Alta",'Mapa final'!#REF!="Moderado"),CONCATENATE("R2C",'Mapa final'!#REF!),"")</f>
        <v>#REF!</v>
      </c>
      <c r="AB17" s="38" t="str">
        <f ca="1">IF(AND('Mapa final'!$AG$15="Alta",'Mapa final'!$AI$15="Mayor"),CONCATENATE("R2C",'Mapa final'!$W$15),"")</f>
        <v/>
      </c>
      <c r="AC17" s="39" t="str">
        <f ca="1">IF(AND('Mapa final'!$AG$16="Alta",'Mapa final'!$AI$16="Mayor"),CONCATENATE("R2C",'Mapa final'!$W$16),"")</f>
        <v/>
      </c>
      <c r="AD17" s="39" t="e">
        <f>IF(AND('Mapa final'!#REF!="Alta",'Mapa final'!#REF!="Mayor"),CONCATENATE("R2C",'Mapa final'!#REF!),"")</f>
        <v>#REF!</v>
      </c>
      <c r="AE17" s="39" t="e">
        <f>IF(AND('Mapa final'!#REF!="Alta",'Mapa final'!#REF!="Mayor"),CONCATENATE("R2C",'Mapa final'!#REF!),"")</f>
        <v>#REF!</v>
      </c>
      <c r="AF17" s="39" t="e">
        <f>IF(AND('Mapa final'!#REF!="Alta",'Mapa final'!#REF!="Mayor"),CONCATENATE("R2C",'Mapa final'!#REF!),"")</f>
        <v>#REF!</v>
      </c>
      <c r="AG17" s="40" t="e">
        <f>IF(AND('Mapa final'!#REF!="Alta",'Mapa final'!#REF!="Mayor"),CONCATENATE("R2C",'Mapa final'!#REF!),"")</f>
        <v>#REF!</v>
      </c>
      <c r="AH17" s="41" t="str">
        <f ca="1">IF(AND('Mapa final'!$AG$15="Alta",'Mapa final'!$AI$15="Catastrófico"),CONCATENATE("R2C",'Mapa final'!$W$15),"")</f>
        <v/>
      </c>
      <c r="AI17" s="42" t="str">
        <f ca="1">IF(AND('Mapa final'!$AG$16="Alta",'Mapa final'!$AI$16="Catastrófico"),CONCATENATE("R2C",'Mapa final'!$W$16),"")</f>
        <v/>
      </c>
      <c r="AJ17" s="42" t="e">
        <f>IF(AND('Mapa final'!#REF!="Alta",'Mapa final'!#REF!="Catastrófico"),CONCATENATE("R2C",'Mapa final'!#REF!),"")</f>
        <v>#REF!</v>
      </c>
      <c r="AK17" s="42" t="e">
        <f>IF(AND('Mapa final'!#REF!="Alta",'Mapa final'!#REF!="Catastrófico"),CONCATENATE("R2C",'Mapa final'!#REF!),"")</f>
        <v>#REF!</v>
      </c>
      <c r="AL17" s="42" t="e">
        <f>IF(AND('Mapa final'!#REF!="Alta",'Mapa final'!#REF!="Catastrófico"),CONCATENATE("R2C",'Mapa final'!#REF!),"")</f>
        <v>#REF!</v>
      </c>
      <c r="AM17" s="43" t="e">
        <f>IF(AND('Mapa final'!#REF!="Alta",'Mapa final'!#REF!="Catastrófico"),CONCATENATE("R2C",'Mapa final'!#REF!),"")</f>
        <v>#REF!</v>
      </c>
      <c r="AN17" s="69"/>
      <c r="AO17" s="626"/>
      <c r="AP17" s="627"/>
      <c r="AQ17" s="627"/>
      <c r="AR17" s="627"/>
      <c r="AS17" s="627"/>
      <c r="AT17" s="628"/>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18"/>
      <c r="C18" s="518"/>
      <c r="D18" s="519"/>
      <c r="E18" s="599"/>
      <c r="F18" s="597"/>
      <c r="G18" s="597"/>
      <c r="H18" s="597"/>
      <c r="I18" s="597"/>
      <c r="J18" s="53" t="str">
        <f ca="1">IF(AND('Mapa final'!$AG$17="Alta",'Mapa final'!$AI$17="Leve"),CONCATENATE("R3C",'Mapa final'!$W$17),"")</f>
        <v/>
      </c>
      <c r="K18" s="54" t="str">
        <f ca="1">IF(AND('Mapa final'!$AG$18="Alta",'Mapa final'!$AI$18="Leve"),CONCATENATE("R3C",'Mapa final'!$W$18),"")</f>
        <v/>
      </c>
      <c r="L18" s="54" t="str">
        <f ca="1">IF(AND('Mapa final'!$AG$19="Alta",'Mapa final'!$AI$19="Leve"),CONCATENATE("R3C",'Mapa final'!$W$19),"")</f>
        <v/>
      </c>
      <c r="M18" s="54" t="e">
        <f>IF(AND('Mapa final'!#REF!="Alta",'Mapa final'!#REF!="Leve"),CONCATENATE("R3C",'Mapa final'!#REF!),"")</f>
        <v>#REF!</v>
      </c>
      <c r="N18" s="54" t="e">
        <f>IF(AND('Mapa final'!#REF!="Alta",'Mapa final'!#REF!="Leve"),CONCATENATE("R3C",'Mapa final'!#REF!),"")</f>
        <v>#REF!</v>
      </c>
      <c r="O18" s="55" t="e">
        <f>IF(AND('Mapa final'!#REF!="Alta",'Mapa final'!#REF!="Leve"),CONCATENATE("R3C",'Mapa final'!#REF!),"")</f>
        <v>#REF!</v>
      </c>
      <c r="P18" s="53" t="str">
        <f ca="1">IF(AND('Mapa final'!$AG$17="Alta",'Mapa final'!$AI$17="Menor"),CONCATENATE("R3C",'Mapa final'!$W$17),"")</f>
        <v/>
      </c>
      <c r="Q18" s="54" t="str">
        <f ca="1">IF(AND('Mapa final'!$AG$18="Alta",'Mapa final'!$AI$18="Menor"),CONCATENATE("R3C",'Mapa final'!$W$18),"")</f>
        <v/>
      </c>
      <c r="R18" s="54" t="str">
        <f ca="1">IF(AND('Mapa final'!$AG$19="Alta",'Mapa final'!$AI$19="Menor"),CONCATENATE("R3C",'Mapa final'!$W$19),"")</f>
        <v/>
      </c>
      <c r="S18" s="54" t="e">
        <f>IF(AND('Mapa final'!#REF!="Alta",'Mapa final'!#REF!="Menor"),CONCATENATE("R3C",'Mapa final'!#REF!),"")</f>
        <v>#REF!</v>
      </c>
      <c r="T18" s="54" t="e">
        <f>IF(AND('Mapa final'!#REF!="Alta",'Mapa final'!#REF!="Menor"),CONCATENATE("R3C",'Mapa final'!#REF!),"")</f>
        <v>#REF!</v>
      </c>
      <c r="U18" s="55" t="e">
        <f>IF(AND('Mapa final'!#REF!="Alta",'Mapa final'!#REF!="Menor"),CONCATENATE("R3C",'Mapa final'!#REF!),"")</f>
        <v>#REF!</v>
      </c>
      <c r="V18" s="38" t="str">
        <f ca="1">IF(AND('Mapa final'!$AG$17="Alta",'Mapa final'!$AI$17="Moderado"),CONCATENATE("R3C",'Mapa final'!$W$17),"")</f>
        <v/>
      </c>
      <c r="W18" s="39" t="str">
        <f ca="1">IF(AND('Mapa final'!$AG$18="Alta",'Mapa final'!$AI$18="Moderado"),CONCATENATE("R3C",'Mapa final'!$W$18),"")</f>
        <v/>
      </c>
      <c r="X18" s="39" t="str">
        <f ca="1">IF(AND('Mapa final'!$AG$19="Alta",'Mapa final'!$AI$19="Moderado"),CONCATENATE("R3C",'Mapa final'!$W$19),"")</f>
        <v/>
      </c>
      <c r="Y18" s="39" t="e">
        <f>IF(AND('Mapa final'!#REF!="Alta",'Mapa final'!#REF!="Moderado"),CONCATENATE("R3C",'Mapa final'!#REF!),"")</f>
        <v>#REF!</v>
      </c>
      <c r="Z18" s="39" t="e">
        <f>IF(AND('Mapa final'!#REF!="Alta",'Mapa final'!#REF!="Moderado"),CONCATENATE("R3C",'Mapa final'!#REF!),"")</f>
        <v>#REF!</v>
      </c>
      <c r="AA18" s="40" t="e">
        <f>IF(AND('Mapa final'!#REF!="Alta",'Mapa final'!#REF!="Moderado"),CONCATENATE("R3C",'Mapa final'!#REF!),"")</f>
        <v>#REF!</v>
      </c>
      <c r="AB18" s="38" t="str">
        <f ca="1">IF(AND('Mapa final'!$AG$17="Alta",'Mapa final'!$AI$17="Mayor"),CONCATENATE("R3C",'Mapa final'!$W$17),"")</f>
        <v/>
      </c>
      <c r="AC18" s="39" t="str">
        <f ca="1">IF(AND('Mapa final'!$AG$18="Alta",'Mapa final'!$AI$18="Mayor"),CONCATENATE("R3C",'Mapa final'!$W$18),"")</f>
        <v/>
      </c>
      <c r="AD18" s="39" t="str">
        <f ca="1">IF(AND('Mapa final'!$AG$19="Alta",'Mapa final'!$AI$19="Mayor"),CONCATENATE("R3C",'Mapa final'!$W$19),"")</f>
        <v/>
      </c>
      <c r="AE18" s="39" t="e">
        <f>IF(AND('Mapa final'!#REF!="Alta",'Mapa final'!#REF!="Mayor"),CONCATENATE("R3C",'Mapa final'!#REF!),"")</f>
        <v>#REF!</v>
      </c>
      <c r="AF18" s="39" t="e">
        <f>IF(AND('Mapa final'!#REF!="Alta",'Mapa final'!#REF!="Mayor"),CONCATENATE("R3C",'Mapa final'!#REF!),"")</f>
        <v>#REF!</v>
      </c>
      <c r="AG18" s="40" t="e">
        <f>IF(AND('Mapa final'!#REF!="Alta",'Mapa final'!#REF!="Mayor"),CONCATENATE("R3C",'Mapa final'!#REF!),"")</f>
        <v>#REF!</v>
      </c>
      <c r="AH18" s="41" t="str">
        <f ca="1">IF(AND('Mapa final'!$AG$17="Alta",'Mapa final'!$AI$17="Catastrófico"),CONCATENATE("R3C",'Mapa final'!$W$17),"")</f>
        <v/>
      </c>
      <c r="AI18" s="42" t="str">
        <f ca="1">IF(AND('Mapa final'!$AG$18="Alta",'Mapa final'!$AI$18="Catastrófico"),CONCATENATE("R3C",'Mapa final'!$W$18),"")</f>
        <v/>
      </c>
      <c r="AJ18" s="42" t="str">
        <f ca="1">IF(AND('Mapa final'!$AG$19="Alta",'Mapa final'!$AI$19="Catastrófico"),CONCATENATE("R3C",'Mapa final'!$W$19),"")</f>
        <v/>
      </c>
      <c r="AK18" s="42" t="e">
        <f>IF(AND('Mapa final'!#REF!="Alta",'Mapa final'!#REF!="Catastrófico"),CONCATENATE("R3C",'Mapa final'!#REF!),"")</f>
        <v>#REF!</v>
      </c>
      <c r="AL18" s="42" t="e">
        <f>IF(AND('Mapa final'!#REF!="Alta",'Mapa final'!#REF!="Catastrófico"),CONCATENATE("R3C",'Mapa final'!#REF!),"")</f>
        <v>#REF!</v>
      </c>
      <c r="AM18" s="43" t="e">
        <f>IF(AND('Mapa final'!#REF!="Alta",'Mapa final'!#REF!="Catastrófico"),CONCATENATE("R3C",'Mapa final'!#REF!),"")</f>
        <v>#REF!</v>
      </c>
      <c r="AN18" s="69"/>
      <c r="AO18" s="626"/>
      <c r="AP18" s="627"/>
      <c r="AQ18" s="627"/>
      <c r="AR18" s="627"/>
      <c r="AS18" s="627"/>
      <c r="AT18" s="628"/>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18"/>
      <c r="C19" s="518"/>
      <c r="D19" s="519"/>
      <c r="E19" s="599"/>
      <c r="F19" s="597"/>
      <c r="G19" s="597"/>
      <c r="H19" s="597"/>
      <c r="I19" s="597"/>
      <c r="J19" s="53" t="str">
        <f ca="1">IF(AND('Mapa final'!$AG$20="Alta",'Mapa final'!$AI$20="Leve"),CONCATENATE("R4C",'Mapa final'!$W$20),"")</f>
        <v/>
      </c>
      <c r="K19" s="54" t="str">
        <f ca="1">IF(AND('Mapa final'!$AG$21="Alta",'Mapa final'!$AI$21="Leve"),CONCATENATE("R4C",'Mapa final'!$W$21),"")</f>
        <v/>
      </c>
      <c r="L19" s="54" t="e">
        <f>IF(AND('Mapa final'!#REF!="Alta",'Mapa final'!#REF!="Leve"),CONCATENATE("R4C",'Mapa final'!#REF!),"")</f>
        <v>#REF!</v>
      </c>
      <c r="M19" s="54" t="e">
        <f>IF(AND('Mapa final'!#REF!="Alta",'Mapa final'!#REF!="Leve"),CONCATENATE("R4C",'Mapa final'!#REF!),"")</f>
        <v>#REF!</v>
      </c>
      <c r="N19" s="54" t="e">
        <f>IF(AND('Mapa final'!#REF!="Alta",'Mapa final'!#REF!="Leve"),CONCATENATE("R4C",'Mapa final'!#REF!),"")</f>
        <v>#REF!</v>
      </c>
      <c r="O19" s="55" t="e">
        <f>IF(AND('Mapa final'!#REF!="Alta",'Mapa final'!#REF!="Leve"),CONCATENATE("R4C",'Mapa final'!#REF!),"")</f>
        <v>#REF!</v>
      </c>
      <c r="P19" s="53" t="str">
        <f ca="1">IF(AND('Mapa final'!$AG$20="Alta",'Mapa final'!$AI$20="Menor"),CONCATENATE("R4C",'Mapa final'!$W$20),"")</f>
        <v/>
      </c>
      <c r="Q19" s="54" t="str">
        <f ca="1">IF(AND('Mapa final'!$AG$21="Alta",'Mapa final'!$AI$21="Menor"),CONCATENATE("R4C",'Mapa final'!$W$21),"")</f>
        <v/>
      </c>
      <c r="R19" s="54" t="e">
        <f>IF(AND('Mapa final'!#REF!="Alta",'Mapa final'!#REF!="Menor"),CONCATENATE("R4C",'Mapa final'!#REF!),"")</f>
        <v>#REF!</v>
      </c>
      <c r="S19" s="54" t="e">
        <f>IF(AND('Mapa final'!#REF!="Alta",'Mapa final'!#REF!="Menor"),CONCATENATE("R4C",'Mapa final'!#REF!),"")</f>
        <v>#REF!</v>
      </c>
      <c r="T19" s="54" t="e">
        <f>IF(AND('Mapa final'!#REF!="Alta",'Mapa final'!#REF!="Menor"),CONCATENATE("R4C",'Mapa final'!#REF!),"")</f>
        <v>#REF!</v>
      </c>
      <c r="U19" s="55" t="e">
        <f>IF(AND('Mapa final'!#REF!="Alta",'Mapa final'!#REF!="Menor"),CONCATENATE("R4C",'Mapa final'!#REF!),"")</f>
        <v>#REF!</v>
      </c>
      <c r="V19" s="38" t="str">
        <f ca="1">IF(AND('Mapa final'!$AG$20="Alta",'Mapa final'!$AI$20="Moderado"),CONCATENATE("R4C",'Mapa final'!$W$20),"")</f>
        <v/>
      </c>
      <c r="W19" s="39" t="str">
        <f ca="1">IF(AND('Mapa final'!$AG$21="Alta",'Mapa final'!$AI$21="Moderado"),CONCATENATE("R4C",'Mapa final'!$W$21),"")</f>
        <v/>
      </c>
      <c r="X19" s="39" t="e">
        <f>IF(AND('Mapa final'!#REF!="Alta",'Mapa final'!#REF!="Moderado"),CONCATENATE("R4C",'Mapa final'!#REF!),"")</f>
        <v>#REF!</v>
      </c>
      <c r="Y19" s="39" t="e">
        <f>IF(AND('Mapa final'!#REF!="Alta",'Mapa final'!#REF!="Moderado"),CONCATENATE("R4C",'Mapa final'!#REF!),"")</f>
        <v>#REF!</v>
      </c>
      <c r="Z19" s="39" t="e">
        <f>IF(AND('Mapa final'!#REF!="Alta",'Mapa final'!#REF!="Moderado"),CONCATENATE("R4C",'Mapa final'!#REF!),"")</f>
        <v>#REF!</v>
      </c>
      <c r="AA19" s="40" t="e">
        <f>IF(AND('Mapa final'!#REF!="Alta",'Mapa final'!#REF!="Moderado"),CONCATENATE("R4C",'Mapa final'!#REF!),"")</f>
        <v>#REF!</v>
      </c>
      <c r="AB19" s="38" t="str">
        <f ca="1">IF(AND('Mapa final'!$AG$20="Alta",'Mapa final'!$AI$20="Mayor"),CONCATENATE("R4C",'Mapa final'!$W$20),"")</f>
        <v/>
      </c>
      <c r="AC19" s="39" t="str">
        <f ca="1">IF(AND('Mapa final'!$AG$21="Alta",'Mapa final'!$AI$21="Mayor"),CONCATENATE("R4C",'Mapa final'!$W$21),"")</f>
        <v/>
      </c>
      <c r="AD19" s="39" t="e">
        <f>IF(AND('Mapa final'!#REF!="Alta",'Mapa final'!#REF!="Mayor"),CONCATENATE("R4C",'Mapa final'!#REF!),"")</f>
        <v>#REF!</v>
      </c>
      <c r="AE19" s="39" t="e">
        <f>IF(AND('Mapa final'!#REF!="Alta",'Mapa final'!#REF!="Mayor"),CONCATENATE("R4C",'Mapa final'!#REF!),"")</f>
        <v>#REF!</v>
      </c>
      <c r="AF19" s="39" t="e">
        <f>IF(AND('Mapa final'!#REF!="Alta",'Mapa final'!#REF!="Mayor"),CONCATENATE("R4C",'Mapa final'!#REF!),"")</f>
        <v>#REF!</v>
      </c>
      <c r="AG19" s="40" t="e">
        <f>IF(AND('Mapa final'!#REF!="Alta",'Mapa final'!#REF!="Mayor"),CONCATENATE("R4C",'Mapa final'!#REF!),"")</f>
        <v>#REF!</v>
      </c>
      <c r="AH19" s="41" t="str">
        <f ca="1">IF(AND('Mapa final'!$AG$20="Alta",'Mapa final'!$AI$20="Catastrófico"),CONCATENATE("R4C",'Mapa final'!$W$20),"")</f>
        <v/>
      </c>
      <c r="AI19" s="42" t="str">
        <f ca="1">IF(AND('Mapa final'!$AG$21="Alta",'Mapa final'!$AI$21="Catastrófico"),CONCATENATE("R4C",'Mapa final'!$W$21),"")</f>
        <v/>
      </c>
      <c r="AJ19" s="42" t="e">
        <f>IF(AND('Mapa final'!#REF!="Alta",'Mapa final'!#REF!="Catastrófico"),CONCATENATE("R4C",'Mapa final'!#REF!),"")</f>
        <v>#REF!</v>
      </c>
      <c r="AK19" s="42" t="e">
        <f>IF(AND('Mapa final'!#REF!="Alta",'Mapa final'!#REF!="Catastrófico"),CONCATENATE("R4C",'Mapa final'!#REF!),"")</f>
        <v>#REF!</v>
      </c>
      <c r="AL19" s="42" t="e">
        <f>IF(AND('Mapa final'!#REF!="Alta",'Mapa final'!#REF!="Catastrófico"),CONCATENATE("R4C",'Mapa final'!#REF!),"")</f>
        <v>#REF!</v>
      </c>
      <c r="AM19" s="43" t="e">
        <f>IF(AND('Mapa final'!#REF!="Alta",'Mapa final'!#REF!="Catastrófico"),CONCATENATE("R4C",'Mapa final'!#REF!),"")</f>
        <v>#REF!</v>
      </c>
      <c r="AN19" s="69"/>
      <c r="AO19" s="626"/>
      <c r="AP19" s="627"/>
      <c r="AQ19" s="627"/>
      <c r="AR19" s="627"/>
      <c r="AS19" s="627"/>
      <c r="AT19" s="628"/>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18"/>
      <c r="C20" s="518"/>
      <c r="D20" s="519"/>
      <c r="E20" s="599"/>
      <c r="F20" s="597"/>
      <c r="G20" s="597"/>
      <c r="H20" s="597"/>
      <c r="I20" s="597"/>
      <c r="J20" s="53" t="str">
        <f ca="1">IF(AND('Mapa final'!$AG$22="Alta",'Mapa final'!$AI$22="Leve"),CONCATENATE("R5C",'Mapa final'!$W$22),"")</f>
        <v/>
      </c>
      <c r="K20" s="54" t="str">
        <f ca="1">IF(AND('Mapa final'!$AG$23="Alta",'Mapa final'!$AI$23="Leve"),CONCATENATE("R5C",'Mapa final'!$W$23),"")</f>
        <v/>
      </c>
      <c r="L20" s="54" t="str">
        <f ca="1">IF(AND('Mapa final'!$AG$24="Alta",'Mapa final'!$AI$24="Leve"),CONCATENATE("R5C",'Mapa final'!$W$24),"")</f>
        <v/>
      </c>
      <c r="M20" s="54" t="e">
        <f>IF(AND('Mapa final'!#REF!="Alta",'Mapa final'!#REF!="Leve"),CONCATENATE("R5C",'Mapa final'!#REF!),"")</f>
        <v>#REF!</v>
      </c>
      <c r="N20" s="54" t="e">
        <f>IF(AND('Mapa final'!#REF!="Alta",'Mapa final'!#REF!="Leve"),CONCATENATE("R5C",'Mapa final'!#REF!),"")</f>
        <v>#REF!</v>
      </c>
      <c r="O20" s="55" t="e">
        <f>IF(AND('Mapa final'!#REF!="Alta",'Mapa final'!#REF!="Leve"),CONCATENATE("R5C",'Mapa final'!#REF!),"")</f>
        <v>#REF!</v>
      </c>
      <c r="P20" s="53" t="str">
        <f ca="1">IF(AND('Mapa final'!$AG$22="Alta",'Mapa final'!$AI$22="Menor"),CONCATENATE("R5C",'Mapa final'!$W$22),"")</f>
        <v/>
      </c>
      <c r="Q20" s="54" t="str">
        <f ca="1">IF(AND('Mapa final'!$AG$23="Alta",'Mapa final'!$AI$23="Menor"),CONCATENATE("R5C",'Mapa final'!$W$23),"")</f>
        <v/>
      </c>
      <c r="R20" s="54" t="str">
        <f ca="1">IF(AND('Mapa final'!$AG$24="Alta",'Mapa final'!$AI$24="Menor"),CONCATENATE("R5C",'Mapa final'!$W$24),"")</f>
        <v/>
      </c>
      <c r="S20" s="54" t="e">
        <f>IF(AND('Mapa final'!#REF!="Alta",'Mapa final'!#REF!="Menor"),CONCATENATE("R5C",'Mapa final'!#REF!),"")</f>
        <v>#REF!</v>
      </c>
      <c r="T20" s="54" t="e">
        <f>IF(AND('Mapa final'!#REF!="Alta",'Mapa final'!#REF!="Menor"),CONCATENATE("R5C",'Mapa final'!#REF!),"")</f>
        <v>#REF!</v>
      </c>
      <c r="U20" s="55" t="e">
        <f>IF(AND('Mapa final'!#REF!="Alta",'Mapa final'!#REF!="Menor"),CONCATENATE("R5C",'Mapa final'!#REF!),"")</f>
        <v>#REF!</v>
      </c>
      <c r="V20" s="38" t="str">
        <f ca="1">IF(AND('Mapa final'!$AG$22="Alta",'Mapa final'!$AI$22="Moderado"),CONCATENATE("R5C",'Mapa final'!$W$22),"")</f>
        <v/>
      </c>
      <c r="W20" s="39" t="str">
        <f ca="1">IF(AND('Mapa final'!$AG$23="Alta",'Mapa final'!$AI$23="Moderado"),CONCATENATE("R5C",'Mapa final'!$W$23),"")</f>
        <v/>
      </c>
      <c r="X20" s="39" t="str">
        <f ca="1">IF(AND('Mapa final'!$AG$24="Alta",'Mapa final'!$AI$24="Moderado"),CONCATENATE("R5C",'Mapa final'!$W$24),"")</f>
        <v/>
      </c>
      <c r="Y20" s="39" t="e">
        <f>IF(AND('Mapa final'!#REF!="Alta",'Mapa final'!#REF!="Moderado"),CONCATENATE("R5C",'Mapa final'!#REF!),"")</f>
        <v>#REF!</v>
      </c>
      <c r="Z20" s="39" t="e">
        <f>IF(AND('Mapa final'!#REF!="Alta",'Mapa final'!#REF!="Moderado"),CONCATENATE("R5C",'Mapa final'!#REF!),"")</f>
        <v>#REF!</v>
      </c>
      <c r="AA20" s="40" t="e">
        <f>IF(AND('Mapa final'!#REF!="Alta",'Mapa final'!#REF!="Moderado"),CONCATENATE("R5C",'Mapa final'!#REF!),"")</f>
        <v>#REF!</v>
      </c>
      <c r="AB20" s="38" t="str">
        <f ca="1">IF(AND('Mapa final'!$AG$22="Alta",'Mapa final'!$AI$22="Mayor"),CONCATENATE("R5C",'Mapa final'!$W$22),"")</f>
        <v/>
      </c>
      <c r="AC20" s="39" t="str">
        <f ca="1">IF(AND('Mapa final'!$AG$23="Alta",'Mapa final'!$AI$23="Mayor"),CONCATENATE("R5C",'Mapa final'!$W$23),"")</f>
        <v/>
      </c>
      <c r="AD20" s="39" t="str">
        <f ca="1">IF(AND('Mapa final'!$AG$24="Alta",'Mapa final'!$AI$24="Mayor"),CONCATENATE("R5C",'Mapa final'!$W$24),"")</f>
        <v/>
      </c>
      <c r="AE20" s="39" t="e">
        <f>IF(AND('Mapa final'!#REF!="Alta",'Mapa final'!#REF!="Mayor"),CONCATENATE("R5C",'Mapa final'!#REF!),"")</f>
        <v>#REF!</v>
      </c>
      <c r="AF20" s="39" t="e">
        <f>IF(AND('Mapa final'!#REF!="Alta",'Mapa final'!#REF!="Mayor"),CONCATENATE("R5C",'Mapa final'!#REF!),"")</f>
        <v>#REF!</v>
      </c>
      <c r="AG20" s="40" t="e">
        <f>IF(AND('Mapa final'!#REF!="Alta",'Mapa final'!#REF!="Mayor"),CONCATENATE("R5C",'Mapa final'!#REF!),"")</f>
        <v>#REF!</v>
      </c>
      <c r="AH20" s="41" t="str">
        <f ca="1">IF(AND('Mapa final'!$AG$22="Alta",'Mapa final'!$AI$22="Catastrófico"),CONCATENATE("R5C",'Mapa final'!$W$22),"")</f>
        <v/>
      </c>
      <c r="AI20" s="42" t="str">
        <f ca="1">IF(AND('Mapa final'!$AG$23="Alta",'Mapa final'!$AI$23="Catastrófico"),CONCATENATE("R5C",'Mapa final'!$W$23),"")</f>
        <v/>
      </c>
      <c r="AJ20" s="42" t="str">
        <f ca="1">IF(AND('Mapa final'!$AG$24="Alta",'Mapa final'!$AI$24="Catastrófico"),CONCATENATE("R5C",'Mapa final'!$W$24),"")</f>
        <v/>
      </c>
      <c r="AK20" s="42" t="e">
        <f>IF(AND('Mapa final'!#REF!="Alta",'Mapa final'!#REF!="Catastrófico"),CONCATENATE("R5C",'Mapa final'!#REF!),"")</f>
        <v>#REF!</v>
      </c>
      <c r="AL20" s="42" t="e">
        <f>IF(AND('Mapa final'!#REF!="Alta",'Mapa final'!#REF!="Catastrófico"),CONCATENATE("R5C",'Mapa final'!#REF!),"")</f>
        <v>#REF!</v>
      </c>
      <c r="AM20" s="43" t="e">
        <f>IF(AND('Mapa final'!#REF!="Alta",'Mapa final'!#REF!="Catastrófico"),CONCATENATE("R5C",'Mapa final'!#REF!),"")</f>
        <v>#REF!</v>
      </c>
      <c r="AN20" s="69"/>
      <c r="AO20" s="626"/>
      <c r="AP20" s="627"/>
      <c r="AQ20" s="627"/>
      <c r="AR20" s="627"/>
      <c r="AS20" s="627"/>
      <c r="AT20" s="628"/>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18"/>
      <c r="C21" s="518"/>
      <c r="D21" s="519"/>
      <c r="E21" s="599"/>
      <c r="F21" s="597"/>
      <c r="G21" s="597"/>
      <c r="H21" s="597"/>
      <c r="I21" s="597"/>
      <c r="J21" s="53" t="str">
        <f ca="1">IF(AND('Mapa final'!$AG$25="Alta",'Mapa final'!$AI$25="Leve"),CONCATENATE("R6C",'Mapa final'!$W$25),"")</f>
        <v/>
      </c>
      <c r="K21" s="54" t="str">
        <f ca="1">IF(AND('Mapa final'!$AG$26="Alta",'Mapa final'!$AI$26="Leve"),CONCATENATE("R6C",'Mapa final'!$W$26),"")</f>
        <v/>
      </c>
      <c r="L21" s="54" t="e">
        <f>IF(AND('Mapa final'!#REF!="Alta",'Mapa final'!#REF!="Leve"),CONCATENATE("R6C",'Mapa final'!#REF!),"")</f>
        <v>#REF!</v>
      </c>
      <c r="M21" s="54" t="e">
        <f>IF(AND('Mapa final'!#REF!="Alta",'Mapa final'!#REF!="Leve"),CONCATENATE("R6C",'Mapa final'!#REF!),"")</f>
        <v>#REF!</v>
      </c>
      <c r="N21" s="54" t="e">
        <f>IF(AND('Mapa final'!#REF!="Alta",'Mapa final'!#REF!="Leve"),CONCATENATE("R6C",'Mapa final'!#REF!),"")</f>
        <v>#REF!</v>
      </c>
      <c r="O21" s="55" t="e">
        <f>IF(AND('Mapa final'!#REF!="Alta",'Mapa final'!#REF!="Leve"),CONCATENATE("R6C",'Mapa final'!#REF!),"")</f>
        <v>#REF!</v>
      </c>
      <c r="P21" s="53" t="str">
        <f ca="1">IF(AND('Mapa final'!$AG$25="Alta",'Mapa final'!$AI$25="Menor"),CONCATENATE("R6C",'Mapa final'!$W$25),"")</f>
        <v/>
      </c>
      <c r="Q21" s="54" t="str">
        <f ca="1">IF(AND('Mapa final'!$AG$26="Alta",'Mapa final'!$AI$26="Menor"),CONCATENATE("R6C",'Mapa final'!$W$26),"")</f>
        <v/>
      </c>
      <c r="R21" s="54" t="e">
        <f>IF(AND('Mapa final'!#REF!="Alta",'Mapa final'!#REF!="Menor"),CONCATENATE("R6C",'Mapa final'!#REF!),"")</f>
        <v>#REF!</v>
      </c>
      <c r="S21" s="54" t="e">
        <f>IF(AND('Mapa final'!#REF!="Alta",'Mapa final'!#REF!="Menor"),CONCATENATE("R6C",'Mapa final'!#REF!),"")</f>
        <v>#REF!</v>
      </c>
      <c r="T21" s="54" t="e">
        <f>IF(AND('Mapa final'!#REF!="Alta",'Mapa final'!#REF!="Menor"),CONCATENATE("R6C",'Mapa final'!#REF!),"")</f>
        <v>#REF!</v>
      </c>
      <c r="U21" s="55" t="e">
        <f>IF(AND('Mapa final'!#REF!="Alta",'Mapa final'!#REF!="Menor"),CONCATENATE("R6C",'Mapa final'!#REF!),"")</f>
        <v>#REF!</v>
      </c>
      <c r="V21" s="38" t="str">
        <f ca="1">IF(AND('Mapa final'!$AG$25="Alta",'Mapa final'!$AI$25="Moderado"),CONCATENATE("R6C",'Mapa final'!$W$25),"")</f>
        <v/>
      </c>
      <c r="W21" s="39" t="str">
        <f ca="1">IF(AND('Mapa final'!$AG$26="Alta",'Mapa final'!$AI$26="Moderado"),CONCATENATE("R6C",'Mapa final'!$W$26),"")</f>
        <v/>
      </c>
      <c r="X21" s="39" t="e">
        <f>IF(AND('Mapa final'!#REF!="Alta",'Mapa final'!#REF!="Moderado"),CONCATENATE("R6C",'Mapa final'!#REF!),"")</f>
        <v>#REF!</v>
      </c>
      <c r="Y21" s="39" t="e">
        <f>IF(AND('Mapa final'!#REF!="Alta",'Mapa final'!#REF!="Moderado"),CONCATENATE("R6C",'Mapa final'!#REF!),"")</f>
        <v>#REF!</v>
      </c>
      <c r="Z21" s="39" t="e">
        <f>IF(AND('Mapa final'!#REF!="Alta",'Mapa final'!#REF!="Moderado"),CONCATENATE("R6C",'Mapa final'!#REF!),"")</f>
        <v>#REF!</v>
      </c>
      <c r="AA21" s="40" t="e">
        <f>IF(AND('Mapa final'!#REF!="Alta",'Mapa final'!#REF!="Moderado"),CONCATENATE("R6C",'Mapa final'!#REF!),"")</f>
        <v>#REF!</v>
      </c>
      <c r="AB21" s="38" t="str">
        <f ca="1">IF(AND('Mapa final'!$AG$25="Alta",'Mapa final'!$AI$25="Mayor"),CONCATENATE("R6C",'Mapa final'!$W$25),"")</f>
        <v/>
      </c>
      <c r="AC21" s="39" t="str">
        <f ca="1">IF(AND('Mapa final'!$AG$26="Alta",'Mapa final'!$AI$26="Mayor"),CONCATENATE("R6C",'Mapa final'!$W$26),"")</f>
        <v/>
      </c>
      <c r="AD21" s="39" t="e">
        <f>IF(AND('Mapa final'!#REF!="Alta",'Mapa final'!#REF!="Mayor"),CONCATENATE("R6C",'Mapa final'!#REF!),"")</f>
        <v>#REF!</v>
      </c>
      <c r="AE21" s="39" t="e">
        <f>IF(AND('Mapa final'!#REF!="Alta",'Mapa final'!#REF!="Mayor"),CONCATENATE("R6C",'Mapa final'!#REF!),"")</f>
        <v>#REF!</v>
      </c>
      <c r="AF21" s="39" t="e">
        <f>IF(AND('Mapa final'!#REF!="Alta",'Mapa final'!#REF!="Mayor"),CONCATENATE("R6C",'Mapa final'!#REF!),"")</f>
        <v>#REF!</v>
      </c>
      <c r="AG21" s="40" t="e">
        <f>IF(AND('Mapa final'!#REF!="Alta",'Mapa final'!#REF!="Mayor"),CONCATENATE("R6C",'Mapa final'!#REF!),"")</f>
        <v>#REF!</v>
      </c>
      <c r="AH21" s="41" t="str">
        <f ca="1">IF(AND('Mapa final'!$AG$25="Alta",'Mapa final'!$AI$25="Catastrófico"),CONCATENATE("R6C",'Mapa final'!$W$25),"")</f>
        <v/>
      </c>
      <c r="AI21" s="42" t="str">
        <f ca="1">IF(AND('Mapa final'!$AG$26="Alta",'Mapa final'!$AI$26="Catastrófico"),CONCATENATE("R6C",'Mapa final'!$W$26),"")</f>
        <v/>
      </c>
      <c r="AJ21" s="42" t="e">
        <f>IF(AND('Mapa final'!#REF!="Alta",'Mapa final'!#REF!="Catastrófico"),CONCATENATE("R6C",'Mapa final'!#REF!),"")</f>
        <v>#REF!</v>
      </c>
      <c r="AK21" s="42" t="e">
        <f>IF(AND('Mapa final'!#REF!="Alta",'Mapa final'!#REF!="Catastrófico"),CONCATENATE("R6C",'Mapa final'!#REF!),"")</f>
        <v>#REF!</v>
      </c>
      <c r="AL21" s="42" t="e">
        <f>IF(AND('Mapa final'!#REF!="Alta",'Mapa final'!#REF!="Catastrófico"),CONCATENATE("R6C",'Mapa final'!#REF!),"")</f>
        <v>#REF!</v>
      </c>
      <c r="AM21" s="43" t="e">
        <f>IF(AND('Mapa final'!#REF!="Alta",'Mapa final'!#REF!="Catastrófico"),CONCATENATE("R6C",'Mapa final'!#REF!),"")</f>
        <v>#REF!</v>
      </c>
      <c r="AN21" s="69"/>
      <c r="AO21" s="626"/>
      <c r="AP21" s="627"/>
      <c r="AQ21" s="627"/>
      <c r="AR21" s="627"/>
      <c r="AS21" s="627"/>
      <c r="AT21" s="628"/>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18"/>
      <c r="C22" s="518"/>
      <c r="D22" s="519"/>
      <c r="E22" s="599"/>
      <c r="F22" s="597"/>
      <c r="G22" s="597"/>
      <c r="H22" s="597"/>
      <c r="I22" s="597"/>
      <c r="J22" s="53" t="str">
        <f ca="1">IF(AND('Mapa final'!$AG$27="Alta",'Mapa final'!$AI$27="Leve"),CONCATENATE("R7C",'Mapa final'!$W$27),"")</f>
        <v/>
      </c>
      <c r="K22" s="54" t="str">
        <f ca="1">IF(AND('Mapa final'!$AG$28="Alta",'Mapa final'!$AI$28="Leve"),CONCATENATE("R7C",'Mapa final'!$W$28),"")</f>
        <v/>
      </c>
      <c r="L22" s="54" t="e">
        <f>IF(AND('Mapa final'!#REF!="Alta",'Mapa final'!#REF!="Leve"),CONCATENATE("R7C",'Mapa final'!#REF!),"")</f>
        <v>#REF!</v>
      </c>
      <c r="M22" s="54" t="e">
        <f>IF(AND('Mapa final'!#REF!="Alta",'Mapa final'!#REF!="Leve"),CONCATENATE("R7C",'Mapa final'!#REF!),"")</f>
        <v>#REF!</v>
      </c>
      <c r="N22" s="54" t="e">
        <f>IF(AND('Mapa final'!#REF!="Alta",'Mapa final'!#REF!="Leve"),CONCATENATE("R7C",'Mapa final'!#REF!),"")</f>
        <v>#REF!</v>
      </c>
      <c r="O22" s="55" t="e">
        <f>IF(AND('Mapa final'!#REF!="Alta",'Mapa final'!#REF!="Leve"),CONCATENATE("R7C",'Mapa final'!#REF!),"")</f>
        <v>#REF!</v>
      </c>
      <c r="P22" s="53" t="str">
        <f ca="1">IF(AND('Mapa final'!$AG$27="Alta",'Mapa final'!$AI$27="Menor"),CONCATENATE("R7C",'Mapa final'!$W$27),"")</f>
        <v/>
      </c>
      <c r="Q22" s="54" t="str">
        <f ca="1">IF(AND('Mapa final'!$AG$28="Alta",'Mapa final'!$AI$28="Menor"),CONCATENATE("R7C",'Mapa final'!$W$28),"")</f>
        <v/>
      </c>
      <c r="R22" s="54" t="e">
        <f>IF(AND('Mapa final'!#REF!="Alta",'Mapa final'!#REF!="Menor"),CONCATENATE("R7C",'Mapa final'!#REF!),"")</f>
        <v>#REF!</v>
      </c>
      <c r="S22" s="54" t="e">
        <f>IF(AND('Mapa final'!#REF!="Alta",'Mapa final'!#REF!="Menor"),CONCATENATE("R7C",'Mapa final'!#REF!),"")</f>
        <v>#REF!</v>
      </c>
      <c r="T22" s="54" t="e">
        <f>IF(AND('Mapa final'!#REF!="Alta",'Mapa final'!#REF!="Menor"),CONCATENATE("R7C",'Mapa final'!#REF!),"")</f>
        <v>#REF!</v>
      </c>
      <c r="U22" s="55" t="e">
        <f>IF(AND('Mapa final'!#REF!="Alta",'Mapa final'!#REF!="Menor"),CONCATENATE("R7C",'Mapa final'!#REF!),"")</f>
        <v>#REF!</v>
      </c>
      <c r="V22" s="38" t="str">
        <f ca="1">IF(AND('Mapa final'!$AG$27="Alta",'Mapa final'!$AI$27="Moderado"),CONCATENATE("R7C",'Mapa final'!$W$27),"")</f>
        <v/>
      </c>
      <c r="W22" s="39" t="str">
        <f ca="1">IF(AND('Mapa final'!$AG$28="Alta",'Mapa final'!$AI$28="Moderado"),CONCATENATE("R7C",'Mapa final'!$W$28),"")</f>
        <v/>
      </c>
      <c r="X22" s="39" t="e">
        <f>IF(AND('Mapa final'!#REF!="Alta",'Mapa final'!#REF!="Moderado"),CONCATENATE("R7C",'Mapa final'!#REF!),"")</f>
        <v>#REF!</v>
      </c>
      <c r="Y22" s="39" t="e">
        <f>IF(AND('Mapa final'!#REF!="Alta",'Mapa final'!#REF!="Moderado"),CONCATENATE("R7C",'Mapa final'!#REF!),"")</f>
        <v>#REF!</v>
      </c>
      <c r="Z22" s="39" t="e">
        <f>IF(AND('Mapa final'!#REF!="Alta",'Mapa final'!#REF!="Moderado"),CONCATENATE("R7C",'Mapa final'!#REF!),"")</f>
        <v>#REF!</v>
      </c>
      <c r="AA22" s="40" t="e">
        <f>IF(AND('Mapa final'!#REF!="Alta",'Mapa final'!#REF!="Moderado"),CONCATENATE("R7C",'Mapa final'!#REF!),"")</f>
        <v>#REF!</v>
      </c>
      <c r="AB22" s="38" t="str">
        <f ca="1">IF(AND('Mapa final'!$AG$27="Alta",'Mapa final'!$AI$27="Mayor"),CONCATENATE("R7C",'Mapa final'!$W$27),"")</f>
        <v/>
      </c>
      <c r="AC22" s="39" t="str">
        <f ca="1">IF(AND('Mapa final'!$AG$28="Alta",'Mapa final'!$AI$28="Mayor"),CONCATENATE("R7C",'Mapa final'!$W$28),"")</f>
        <v/>
      </c>
      <c r="AD22" s="39" t="e">
        <f>IF(AND('Mapa final'!#REF!="Alta",'Mapa final'!#REF!="Mayor"),CONCATENATE("R7C",'Mapa final'!#REF!),"")</f>
        <v>#REF!</v>
      </c>
      <c r="AE22" s="39" t="e">
        <f>IF(AND('Mapa final'!#REF!="Alta",'Mapa final'!#REF!="Mayor"),CONCATENATE("R7C",'Mapa final'!#REF!),"")</f>
        <v>#REF!</v>
      </c>
      <c r="AF22" s="39" t="e">
        <f>IF(AND('Mapa final'!#REF!="Alta",'Mapa final'!#REF!="Mayor"),CONCATENATE("R7C",'Mapa final'!#REF!),"")</f>
        <v>#REF!</v>
      </c>
      <c r="AG22" s="40" t="e">
        <f>IF(AND('Mapa final'!#REF!="Alta",'Mapa final'!#REF!="Mayor"),CONCATENATE("R7C",'Mapa final'!#REF!),"")</f>
        <v>#REF!</v>
      </c>
      <c r="AH22" s="41" t="str">
        <f ca="1">IF(AND('Mapa final'!$AG$27="Alta",'Mapa final'!$AI$27="Catastrófico"),CONCATENATE("R7C",'Mapa final'!$W$27),"")</f>
        <v/>
      </c>
      <c r="AI22" s="42" t="str">
        <f ca="1">IF(AND('Mapa final'!$AG$28="Alta",'Mapa final'!$AI$28="Catastrófico"),CONCATENATE("R7C",'Mapa final'!$W$28),"")</f>
        <v/>
      </c>
      <c r="AJ22" s="42" t="e">
        <f>IF(AND('Mapa final'!#REF!="Alta",'Mapa final'!#REF!="Catastrófico"),CONCATENATE("R7C",'Mapa final'!#REF!),"")</f>
        <v>#REF!</v>
      </c>
      <c r="AK22" s="42" t="e">
        <f>IF(AND('Mapa final'!#REF!="Alta",'Mapa final'!#REF!="Catastrófico"),CONCATENATE("R7C",'Mapa final'!#REF!),"")</f>
        <v>#REF!</v>
      </c>
      <c r="AL22" s="42" t="e">
        <f>IF(AND('Mapa final'!#REF!="Alta",'Mapa final'!#REF!="Catastrófico"),CONCATENATE("R7C",'Mapa final'!#REF!),"")</f>
        <v>#REF!</v>
      </c>
      <c r="AM22" s="43" t="e">
        <f>IF(AND('Mapa final'!#REF!="Alta",'Mapa final'!#REF!="Catastrófico"),CONCATENATE("R7C",'Mapa final'!#REF!),"")</f>
        <v>#REF!</v>
      </c>
      <c r="AN22" s="69"/>
      <c r="AO22" s="626"/>
      <c r="AP22" s="627"/>
      <c r="AQ22" s="627"/>
      <c r="AR22" s="627"/>
      <c r="AS22" s="627"/>
      <c r="AT22" s="628"/>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18"/>
      <c r="C23" s="518"/>
      <c r="D23" s="519"/>
      <c r="E23" s="599"/>
      <c r="F23" s="597"/>
      <c r="G23" s="597"/>
      <c r="H23" s="597"/>
      <c r="I23" s="597"/>
      <c r="J23" s="53" t="str">
        <f ca="1">IF(AND('Mapa final'!$AG$29="Alta",'Mapa final'!$AI$29="Leve"),CONCATENATE("R8C",'Mapa final'!$W$29),"")</f>
        <v/>
      </c>
      <c r="K23" s="54" t="str">
        <f ca="1">IF(AND('Mapa final'!$AG$30="Alta",'Mapa final'!$AI$30="Leve"),CONCATENATE("R8C",'Mapa final'!$W$30),"")</f>
        <v/>
      </c>
      <c r="L23" s="54" t="str">
        <f ca="1">IF(AND('Mapa final'!$AG$31="Alta",'Mapa final'!$AI$31="Leve"),CONCATENATE("R8C",'Mapa final'!$W$31),"")</f>
        <v/>
      </c>
      <c r="M23" s="54" t="str">
        <f ca="1">IF(AND('Mapa final'!$AG$32="Alta",'Mapa final'!$AI$32="Leve"),CONCATENATE("R8C",'Mapa final'!$W$32),"")</f>
        <v/>
      </c>
      <c r="N23" s="54" t="e">
        <f>IF(AND('Mapa final'!#REF!="Alta",'Mapa final'!#REF!="Leve"),CONCATENATE("R8C",'Mapa final'!#REF!),"")</f>
        <v>#REF!</v>
      </c>
      <c r="O23" s="55" t="e">
        <f>IF(AND('Mapa final'!#REF!="Alta",'Mapa final'!#REF!="Leve"),CONCATENATE("R8C",'Mapa final'!#REF!),"")</f>
        <v>#REF!</v>
      </c>
      <c r="P23" s="53" t="str">
        <f ca="1">IF(AND('Mapa final'!$AG$29="Alta",'Mapa final'!$AI$29="Menor"),CONCATENATE("R8C",'Mapa final'!$W$29),"")</f>
        <v/>
      </c>
      <c r="Q23" s="54" t="str">
        <f ca="1">IF(AND('Mapa final'!$AG$30="Alta",'Mapa final'!$AI$30="Menor"),CONCATENATE("R8C",'Mapa final'!$W$30),"")</f>
        <v/>
      </c>
      <c r="R23" s="54" t="str">
        <f ca="1">IF(AND('Mapa final'!$AG$31="Alta",'Mapa final'!$AI$31="Menor"),CONCATENATE("R8C",'Mapa final'!$W$31),"")</f>
        <v/>
      </c>
      <c r="S23" s="54" t="str">
        <f ca="1">IF(AND('Mapa final'!$AG$32="Alta",'Mapa final'!$AI$32="Menor"),CONCATENATE("R8C",'Mapa final'!$W$32),"")</f>
        <v/>
      </c>
      <c r="T23" s="54" t="e">
        <f>IF(AND('Mapa final'!#REF!="Alta",'Mapa final'!#REF!="Menor"),CONCATENATE("R8C",'Mapa final'!#REF!),"")</f>
        <v>#REF!</v>
      </c>
      <c r="U23" s="55" t="e">
        <f>IF(AND('Mapa final'!#REF!="Alta",'Mapa final'!#REF!="Menor"),CONCATENATE("R8C",'Mapa final'!#REF!),"")</f>
        <v>#REF!</v>
      </c>
      <c r="V23" s="38" t="str">
        <f ca="1">IF(AND('Mapa final'!$AG$29="Alta",'Mapa final'!$AI$29="Moderado"),CONCATENATE("R8C",'Mapa final'!$W$29),"")</f>
        <v/>
      </c>
      <c r="W23" s="39" t="str">
        <f ca="1">IF(AND('Mapa final'!$AG$30="Alta",'Mapa final'!$AI$30="Moderado"),CONCATENATE("R8C",'Mapa final'!$W$30),"")</f>
        <v/>
      </c>
      <c r="X23" s="39" t="str">
        <f ca="1">IF(AND('Mapa final'!$AG$31="Alta",'Mapa final'!$AI$31="Moderado"),CONCATENATE("R8C",'Mapa final'!$W$31),"")</f>
        <v/>
      </c>
      <c r="Y23" s="39" t="str">
        <f ca="1">IF(AND('Mapa final'!$AG$32="Alta",'Mapa final'!$AI$32="Moderado"),CONCATENATE("R8C",'Mapa final'!$W$32),"")</f>
        <v/>
      </c>
      <c r="Z23" s="39" t="e">
        <f>IF(AND('Mapa final'!#REF!="Alta",'Mapa final'!#REF!="Moderado"),CONCATENATE("R8C",'Mapa final'!#REF!),"")</f>
        <v>#REF!</v>
      </c>
      <c r="AA23" s="40" t="e">
        <f>IF(AND('Mapa final'!#REF!="Alta",'Mapa final'!#REF!="Moderado"),CONCATENATE("R8C",'Mapa final'!#REF!),"")</f>
        <v>#REF!</v>
      </c>
      <c r="AB23" s="38" t="str">
        <f ca="1">IF(AND('Mapa final'!$AG$29="Alta",'Mapa final'!$AI$29="Mayor"),CONCATENATE("R8C",'Mapa final'!$W$29),"")</f>
        <v/>
      </c>
      <c r="AC23" s="39" t="str">
        <f ca="1">IF(AND('Mapa final'!$AG$30="Alta",'Mapa final'!$AI$30="Mayor"),CONCATENATE("R8C",'Mapa final'!$W$30),"")</f>
        <v/>
      </c>
      <c r="AD23" s="39" t="str">
        <f ca="1">IF(AND('Mapa final'!$AG$31="Alta",'Mapa final'!$AI$31="Mayor"),CONCATENATE("R8C",'Mapa final'!$W$31),"")</f>
        <v/>
      </c>
      <c r="AE23" s="39" t="str">
        <f ca="1">IF(AND('Mapa final'!$AG$32="Alta",'Mapa final'!$AI$32="Mayor"),CONCATENATE("R8C",'Mapa final'!$W$32),"")</f>
        <v/>
      </c>
      <c r="AF23" s="39" t="e">
        <f>IF(AND('Mapa final'!#REF!="Alta",'Mapa final'!#REF!="Mayor"),CONCATENATE("R8C",'Mapa final'!#REF!),"")</f>
        <v>#REF!</v>
      </c>
      <c r="AG23" s="40" t="e">
        <f>IF(AND('Mapa final'!#REF!="Alta",'Mapa final'!#REF!="Mayor"),CONCATENATE("R8C",'Mapa final'!#REF!),"")</f>
        <v>#REF!</v>
      </c>
      <c r="AH23" s="41" t="str">
        <f ca="1">IF(AND('Mapa final'!$AG$29="Alta",'Mapa final'!$AI$29="Catastrófico"),CONCATENATE("R8C",'Mapa final'!$W$29),"")</f>
        <v/>
      </c>
      <c r="AI23" s="42" t="str">
        <f ca="1">IF(AND('Mapa final'!$AG$30="Alta",'Mapa final'!$AI$30="Catastrófico"),CONCATENATE("R8C",'Mapa final'!$W$30),"")</f>
        <v/>
      </c>
      <c r="AJ23" s="42" t="str">
        <f ca="1">IF(AND('Mapa final'!$AG$31="Alta",'Mapa final'!$AI$31="Catastrófico"),CONCATENATE("R8C",'Mapa final'!$W$31),"")</f>
        <v/>
      </c>
      <c r="AK23" s="42" t="str">
        <f ca="1">IF(AND('Mapa final'!$AG$32="Alta",'Mapa final'!$AI$32="Catastrófico"),CONCATENATE("R8C",'Mapa final'!$W$32),"")</f>
        <v/>
      </c>
      <c r="AL23" s="42" t="e">
        <f>IF(AND('Mapa final'!#REF!="Alta",'Mapa final'!#REF!="Catastrófico"),CONCATENATE("R8C",'Mapa final'!#REF!),"")</f>
        <v>#REF!</v>
      </c>
      <c r="AM23" s="43" t="e">
        <f>IF(AND('Mapa final'!#REF!="Alta",'Mapa final'!#REF!="Catastrófico"),CONCATENATE("R8C",'Mapa final'!#REF!),"")</f>
        <v>#REF!</v>
      </c>
      <c r="AN23" s="69"/>
      <c r="AO23" s="626"/>
      <c r="AP23" s="627"/>
      <c r="AQ23" s="627"/>
      <c r="AR23" s="627"/>
      <c r="AS23" s="627"/>
      <c r="AT23" s="628"/>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18"/>
      <c r="C24" s="518"/>
      <c r="D24" s="519"/>
      <c r="E24" s="599"/>
      <c r="F24" s="597"/>
      <c r="G24" s="597"/>
      <c r="H24" s="597"/>
      <c r="I24" s="597"/>
      <c r="J24" s="53" t="str">
        <f ca="1">IF(AND('Mapa final'!$AG$33="Alta",'Mapa final'!$AI$33="Leve"),CONCATENATE("R9C",'Mapa final'!$W$33),"")</f>
        <v/>
      </c>
      <c r="K24" s="54" t="str">
        <f ca="1">IF(AND('Mapa final'!$AG$34="Alta",'Mapa final'!$AI$34="Leve"),CONCATENATE("R9C",'Mapa final'!$W$34),"")</f>
        <v/>
      </c>
      <c r="L24" s="54" t="str">
        <f ca="1">IF(AND('Mapa final'!$AG$35="Alta",'Mapa final'!$AI$35="Leve"),CONCATENATE("R9C",'Mapa final'!$W$35),"")</f>
        <v/>
      </c>
      <c r="M24" s="54" t="str">
        <f ca="1">IF(AND('Mapa final'!$AG$36="Alta",'Mapa final'!$AI$36="Leve"),CONCATENATE("R9C",'Mapa final'!$W$36),"")</f>
        <v/>
      </c>
      <c r="N24" s="54" t="str">
        <f ca="1">IF(AND('Mapa final'!$AG$37="Alta",'Mapa final'!$AI$37="Leve"),CONCATENATE("R9C",'Mapa final'!$W$37),"")</f>
        <v/>
      </c>
      <c r="O24" s="55" t="e">
        <f>IF(AND('Mapa final'!#REF!="Alta",'Mapa final'!#REF!="Leve"),CONCATENATE("R9C",'Mapa final'!#REF!),"")</f>
        <v>#REF!</v>
      </c>
      <c r="P24" s="53" t="str">
        <f ca="1">IF(AND('Mapa final'!$AG$33="Alta",'Mapa final'!$AI$33="Menor"),CONCATENATE("R9C",'Mapa final'!$W$33),"")</f>
        <v/>
      </c>
      <c r="Q24" s="54" t="str">
        <f ca="1">IF(AND('Mapa final'!$AG$34="Alta",'Mapa final'!$AI$34="Menor"),CONCATENATE("R9C",'Mapa final'!$W$34),"")</f>
        <v/>
      </c>
      <c r="R24" s="54" t="str">
        <f ca="1">IF(AND('Mapa final'!$AG$35="Alta",'Mapa final'!$AI$35="Menor"),CONCATENATE("R9C",'Mapa final'!$W$35),"")</f>
        <v/>
      </c>
      <c r="S24" s="54" t="str">
        <f ca="1">IF(AND('Mapa final'!$AG$36="Alta",'Mapa final'!$AI$36="Menor"),CONCATENATE("R9C",'Mapa final'!$W$36),"")</f>
        <v/>
      </c>
      <c r="T24" s="54" t="str">
        <f ca="1">IF(AND('Mapa final'!$AG$37="Alta",'Mapa final'!$AI$37="Menor"),CONCATENATE("R9C",'Mapa final'!$W$37),"")</f>
        <v/>
      </c>
      <c r="U24" s="55" t="e">
        <f>IF(AND('Mapa final'!#REF!="Alta",'Mapa final'!#REF!="Menor"),CONCATENATE("R9C",'Mapa final'!#REF!),"")</f>
        <v>#REF!</v>
      </c>
      <c r="V24" s="38" t="str">
        <f ca="1">IF(AND('Mapa final'!$AG$33="Alta",'Mapa final'!$AI$33="Moderado"),CONCATENATE("R9C",'Mapa final'!$W$33),"")</f>
        <v/>
      </c>
      <c r="W24" s="39" t="str">
        <f ca="1">IF(AND('Mapa final'!$AG$34="Alta",'Mapa final'!$AI$34="Moderado"),CONCATENATE("R9C",'Mapa final'!$W$34),"")</f>
        <v/>
      </c>
      <c r="X24" s="39" t="str">
        <f ca="1">IF(AND('Mapa final'!$AG$35="Alta",'Mapa final'!$AI$35="Moderado"),CONCATENATE("R9C",'Mapa final'!$W$35),"")</f>
        <v/>
      </c>
      <c r="Y24" s="39" t="str">
        <f ca="1">IF(AND('Mapa final'!$AG$36="Alta",'Mapa final'!$AI$36="Moderado"),CONCATENATE("R9C",'Mapa final'!$W$36),"")</f>
        <v/>
      </c>
      <c r="Z24" s="39" t="str">
        <f ca="1">IF(AND('Mapa final'!$AG$37="Alta",'Mapa final'!$AI$37="Moderado"),CONCATENATE("R9C",'Mapa final'!$W$37),"")</f>
        <v/>
      </c>
      <c r="AA24" s="40" t="e">
        <f>IF(AND('Mapa final'!#REF!="Alta",'Mapa final'!#REF!="Moderado"),CONCATENATE("R9C",'Mapa final'!#REF!),"")</f>
        <v>#REF!</v>
      </c>
      <c r="AB24" s="38" t="str">
        <f ca="1">IF(AND('Mapa final'!$AG$33="Alta",'Mapa final'!$AI$33="Mayor"),CONCATENATE("R9C",'Mapa final'!$W$33),"")</f>
        <v/>
      </c>
      <c r="AC24" s="39" t="str">
        <f ca="1">IF(AND('Mapa final'!$AG$34="Alta",'Mapa final'!$AI$34="Mayor"),CONCATENATE("R9C",'Mapa final'!$W$34),"")</f>
        <v/>
      </c>
      <c r="AD24" s="39" t="str">
        <f ca="1">IF(AND('Mapa final'!$AG$35="Alta",'Mapa final'!$AI$35="Mayor"),CONCATENATE("R9C",'Mapa final'!$W$35),"")</f>
        <v/>
      </c>
      <c r="AE24" s="39" t="str">
        <f ca="1">IF(AND('Mapa final'!$AG$36="Alta",'Mapa final'!$AI$36="Mayor"),CONCATENATE("R9C",'Mapa final'!$W$36),"")</f>
        <v/>
      </c>
      <c r="AF24" s="39" t="str">
        <f ca="1">IF(AND('Mapa final'!$AG$37="Alta",'Mapa final'!$AI$37="Mayor"),CONCATENATE("R9C",'Mapa final'!$W$37),"")</f>
        <v/>
      </c>
      <c r="AG24" s="40" t="e">
        <f>IF(AND('Mapa final'!#REF!="Alta",'Mapa final'!#REF!="Mayor"),CONCATENATE("R9C",'Mapa final'!#REF!),"")</f>
        <v>#REF!</v>
      </c>
      <c r="AH24" s="41" t="str">
        <f ca="1">IF(AND('Mapa final'!$AG$33="Alta",'Mapa final'!$AI$33="Catastrófico"),CONCATENATE("R9C",'Mapa final'!$W$33),"")</f>
        <v/>
      </c>
      <c r="AI24" s="42" t="str">
        <f ca="1">IF(AND('Mapa final'!$AG$34="Alta",'Mapa final'!$AI$34="Catastrófico"),CONCATENATE("R9C",'Mapa final'!$W$34),"")</f>
        <v/>
      </c>
      <c r="AJ24" s="42" t="str">
        <f ca="1">IF(AND('Mapa final'!$AG$35="Alta",'Mapa final'!$AI$35="Catastrófico"),CONCATENATE("R9C",'Mapa final'!$W$35),"")</f>
        <v/>
      </c>
      <c r="AK24" s="42" t="str">
        <f ca="1">IF(AND('Mapa final'!$AG$36="Alta",'Mapa final'!$AI$36="Catastrófico"),CONCATENATE("R9C",'Mapa final'!$W$36),"")</f>
        <v/>
      </c>
      <c r="AL24" s="42" t="str">
        <f ca="1">IF(AND('Mapa final'!$AG$37="Alta",'Mapa final'!$AI$37="Catastrófico"),CONCATENATE("R9C",'Mapa final'!$W$37),"")</f>
        <v/>
      </c>
      <c r="AM24" s="43" t="e">
        <f>IF(AND('Mapa final'!#REF!="Alta",'Mapa final'!#REF!="Catastrófico"),CONCATENATE("R9C",'Mapa final'!#REF!),"")</f>
        <v>#REF!</v>
      </c>
      <c r="AN24" s="69"/>
      <c r="AO24" s="626"/>
      <c r="AP24" s="627"/>
      <c r="AQ24" s="627"/>
      <c r="AR24" s="627"/>
      <c r="AS24" s="627"/>
      <c r="AT24" s="628"/>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18"/>
      <c r="C25" s="518"/>
      <c r="D25" s="519"/>
      <c r="E25" s="600"/>
      <c r="F25" s="601"/>
      <c r="G25" s="601"/>
      <c r="H25" s="601"/>
      <c r="I25" s="601"/>
      <c r="J25" s="56" t="str">
        <f ca="1">IF(AND('Mapa final'!$AG$38="Alta",'Mapa final'!$AI$38="Leve"),CONCATENATE("R10C",'Mapa final'!$W$38),"")</f>
        <v/>
      </c>
      <c r="K25" s="57" t="str">
        <f ca="1">IF(AND('Mapa final'!$AG$39="Alta",'Mapa final'!$AI$39="Leve"),CONCATENATE("R10C",'Mapa final'!$W$39),"")</f>
        <v/>
      </c>
      <c r="L25" s="57" t="e">
        <f>IF(AND('Mapa final'!#REF!="Alta",'Mapa final'!#REF!="Leve"),CONCATENATE("R10C",'Mapa final'!#REF!),"")</f>
        <v>#REF!</v>
      </c>
      <c r="M25" s="57" t="e">
        <f>IF(AND('Mapa final'!#REF!="Alta",'Mapa final'!#REF!="Leve"),CONCATENATE("R10C",'Mapa final'!#REF!),"")</f>
        <v>#REF!</v>
      </c>
      <c r="N25" s="57" t="e">
        <f>IF(AND('Mapa final'!#REF!="Alta",'Mapa final'!#REF!="Leve"),CONCATENATE("R10C",'Mapa final'!#REF!),"")</f>
        <v>#REF!</v>
      </c>
      <c r="O25" s="58" t="e">
        <f>IF(AND('Mapa final'!#REF!="Alta",'Mapa final'!#REF!="Leve"),CONCATENATE("R10C",'Mapa final'!#REF!),"")</f>
        <v>#REF!</v>
      </c>
      <c r="P25" s="56" t="str">
        <f ca="1">IF(AND('Mapa final'!$AG$38="Alta",'Mapa final'!$AI$38="Menor"),CONCATENATE("R10C",'Mapa final'!$W$38),"")</f>
        <v/>
      </c>
      <c r="Q25" s="57" t="str">
        <f ca="1">IF(AND('Mapa final'!$AG$39="Alta",'Mapa final'!$AI$39="Menor"),CONCATENATE("R10C",'Mapa final'!$W$39),"")</f>
        <v/>
      </c>
      <c r="R25" s="57" t="e">
        <f>IF(AND('Mapa final'!#REF!="Alta",'Mapa final'!#REF!="Menor"),CONCATENATE("R10C",'Mapa final'!#REF!),"")</f>
        <v>#REF!</v>
      </c>
      <c r="S25" s="57" t="e">
        <f>IF(AND('Mapa final'!#REF!="Alta",'Mapa final'!#REF!="Menor"),CONCATENATE("R10C",'Mapa final'!#REF!),"")</f>
        <v>#REF!</v>
      </c>
      <c r="T25" s="57" t="e">
        <f>IF(AND('Mapa final'!#REF!="Alta",'Mapa final'!#REF!="Menor"),CONCATENATE("R10C",'Mapa final'!#REF!),"")</f>
        <v>#REF!</v>
      </c>
      <c r="U25" s="58" t="e">
        <f>IF(AND('Mapa final'!#REF!="Alta",'Mapa final'!#REF!="Menor"),CONCATENATE("R10C",'Mapa final'!#REF!),"")</f>
        <v>#REF!</v>
      </c>
      <c r="V25" s="44" t="str">
        <f ca="1">IF(AND('Mapa final'!$AG$38="Alta",'Mapa final'!$AI$38="Moderado"),CONCATENATE("R10C",'Mapa final'!$W$38),"")</f>
        <v/>
      </c>
      <c r="W25" s="45" t="str">
        <f ca="1">IF(AND('Mapa final'!$AG$39="Alta",'Mapa final'!$AI$39="Moderado"),CONCATENATE("R10C",'Mapa final'!$W$39),"")</f>
        <v/>
      </c>
      <c r="X25" s="45" t="e">
        <f>IF(AND('Mapa final'!#REF!="Alta",'Mapa final'!#REF!="Moderado"),CONCATENATE("R10C",'Mapa final'!#REF!),"")</f>
        <v>#REF!</v>
      </c>
      <c r="Y25" s="45" t="e">
        <f>IF(AND('Mapa final'!#REF!="Alta",'Mapa final'!#REF!="Moderado"),CONCATENATE("R10C",'Mapa final'!#REF!),"")</f>
        <v>#REF!</v>
      </c>
      <c r="Z25" s="45" t="e">
        <f>IF(AND('Mapa final'!#REF!="Alta",'Mapa final'!#REF!="Moderado"),CONCATENATE("R10C",'Mapa final'!#REF!),"")</f>
        <v>#REF!</v>
      </c>
      <c r="AA25" s="46" t="e">
        <f>IF(AND('Mapa final'!#REF!="Alta",'Mapa final'!#REF!="Moderado"),CONCATENATE("R10C",'Mapa final'!#REF!),"")</f>
        <v>#REF!</v>
      </c>
      <c r="AB25" s="44" t="str">
        <f ca="1">IF(AND('Mapa final'!$AG$38="Alta",'Mapa final'!$AI$38="Mayor"),CONCATENATE("R10C",'Mapa final'!$W$38),"")</f>
        <v/>
      </c>
      <c r="AC25" s="45" t="str">
        <f ca="1">IF(AND('Mapa final'!$AG$39="Alta",'Mapa final'!$AI$39="Mayor"),CONCATENATE("R10C",'Mapa final'!$W$39),"")</f>
        <v/>
      </c>
      <c r="AD25" s="45" t="e">
        <f>IF(AND('Mapa final'!#REF!="Alta",'Mapa final'!#REF!="Mayor"),CONCATENATE("R10C",'Mapa final'!#REF!),"")</f>
        <v>#REF!</v>
      </c>
      <c r="AE25" s="45" t="e">
        <f>IF(AND('Mapa final'!#REF!="Alta",'Mapa final'!#REF!="Mayor"),CONCATENATE("R10C",'Mapa final'!#REF!),"")</f>
        <v>#REF!</v>
      </c>
      <c r="AF25" s="45" t="e">
        <f>IF(AND('Mapa final'!#REF!="Alta",'Mapa final'!#REF!="Mayor"),CONCATENATE("R10C",'Mapa final'!#REF!),"")</f>
        <v>#REF!</v>
      </c>
      <c r="AG25" s="46" t="e">
        <f>IF(AND('Mapa final'!#REF!="Alta",'Mapa final'!#REF!="Mayor"),CONCATENATE("R10C",'Mapa final'!#REF!),"")</f>
        <v>#REF!</v>
      </c>
      <c r="AH25" s="47" t="str">
        <f ca="1">IF(AND('Mapa final'!$AG$38="Alta",'Mapa final'!$AI$38="Catastrófico"),CONCATENATE("R10C",'Mapa final'!$W$38),"")</f>
        <v/>
      </c>
      <c r="AI25" s="48" t="str">
        <f ca="1">IF(AND('Mapa final'!$AG$39="Alta",'Mapa final'!$AI$39="Catastrófico"),CONCATENATE("R10C",'Mapa final'!$W$39),"")</f>
        <v/>
      </c>
      <c r="AJ25" s="48" t="e">
        <f>IF(AND('Mapa final'!#REF!="Alta",'Mapa final'!#REF!="Catastrófico"),CONCATENATE("R10C",'Mapa final'!#REF!),"")</f>
        <v>#REF!</v>
      </c>
      <c r="AK25" s="48" t="e">
        <f>IF(AND('Mapa final'!#REF!="Alta",'Mapa final'!#REF!="Catastrófico"),CONCATENATE("R10C",'Mapa final'!#REF!),"")</f>
        <v>#REF!</v>
      </c>
      <c r="AL25" s="48" t="e">
        <f>IF(AND('Mapa final'!#REF!="Alta",'Mapa final'!#REF!="Catastrófico"),CONCATENATE("R10C",'Mapa final'!#REF!),"")</f>
        <v>#REF!</v>
      </c>
      <c r="AM25" s="49" t="e">
        <f>IF(AND('Mapa final'!#REF!="Alta",'Mapa final'!#REF!="Catastrófico"),CONCATENATE("R10C",'Mapa final'!#REF!),"")</f>
        <v>#REF!</v>
      </c>
      <c r="AN25" s="69"/>
      <c r="AO25" s="629"/>
      <c r="AP25" s="630"/>
      <c r="AQ25" s="630"/>
      <c r="AR25" s="630"/>
      <c r="AS25" s="630"/>
      <c r="AT25" s="631"/>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18"/>
      <c r="C26" s="518"/>
      <c r="D26" s="519"/>
      <c r="E26" s="593" t="s">
        <v>133</v>
      </c>
      <c r="F26" s="594"/>
      <c r="G26" s="594"/>
      <c r="H26" s="594"/>
      <c r="I26" s="595"/>
      <c r="J26" s="50" t="str">
        <f ca="1">IF(AND('Mapa final'!$AG$13="Media",'Mapa final'!$AI$13="Leve"),CONCATENATE("R1C",'Mapa final'!$W$13),"")</f>
        <v/>
      </c>
      <c r="K26" s="51" t="str">
        <f ca="1">IF(AND('Mapa final'!$AG$14="Media",'Mapa final'!$AI$14="Leve"),CONCATENATE("R1C",'Mapa final'!$W$14),"")</f>
        <v/>
      </c>
      <c r="L26" s="51" t="e">
        <f>IF(AND('Mapa final'!#REF!="Media",'Mapa final'!#REF!="Leve"),CONCATENATE("R1C",'Mapa final'!#REF!),"")</f>
        <v>#REF!</v>
      </c>
      <c r="M26" s="51" t="e">
        <f>IF(AND('Mapa final'!#REF!="Media",'Mapa final'!#REF!="Leve"),CONCATENATE("R1C",'Mapa final'!#REF!),"")</f>
        <v>#REF!</v>
      </c>
      <c r="N26" s="51" t="e">
        <f>IF(AND('Mapa final'!#REF!="Media",'Mapa final'!#REF!="Leve"),CONCATENATE("R1C",'Mapa final'!#REF!),"")</f>
        <v>#REF!</v>
      </c>
      <c r="O26" s="52" t="e">
        <f>IF(AND('Mapa final'!#REF!="Media",'Mapa final'!#REF!="Leve"),CONCATENATE("R1C",'Mapa final'!#REF!),"")</f>
        <v>#REF!</v>
      </c>
      <c r="P26" s="50" t="str">
        <f ca="1">IF(AND('Mapa final'!$AG$13="Media",'Mapa final'!$AI$13="Menor"),CONCATENATE("R1C",'Mapa final'!$W$13),"")</f>
        <v>R1C1</v>
      </c>
      <c r="Q26" s="51" t="str">
        <f ca="1">IF(AND('Mapa final'!$AG$14="Media",'Mapa final'!$AI$14="Menor"),CONCATENATE("R1C",'Mapa final'!$W$14),"")</f>
        <v/>
      </c>
      <c r="R26" s="51" t="e">
        <f>IF(AND('Mapa final'!#REF!="Media",'Mapa final'!#REF!="Menor"),CONCATENATE("R1C",'Mapa final'!#REF!),"")</f>
        <v>#REF!</v>
      </c>
      <c r="S26" s="51" t="e">
        <f>IF(AND('Mapa final'!#REF!="Media",'Mapa final'!#REF!="Menor"),CONCATENATE("R1C",'Mapa final'!#REF!),"")</f>
        <v>#REF!</v>
      </c>
      <c r="T26" s="51" t="e">
        <f>IF(AND('Mapa final'!#REF!="Media",'Mapa final'!#REF!="Menor"),CONCATENATE("R1C",'Mapa final'!#REF!),"")</f>
        <v>#REF!</v>
      </c>
      <c r="U26" s="52" t="e">
        <f>IF(AND('Mapa final'!#REF!="Media",'Mapa final'!#REF!="Menor"),CONCATENATE("R1C",'Mapa final'!#REF!),"")</f>
        <v>#REF!</v>
      </c>
      <c r="V26" s="50" t="str">
        <f ca="1">IF(AND('Mapa final'!$AG$13="Media",'Mapa final'!$AI$13="Moderado"),CONCATENATE("R1C",'Mapa final'!$W$13),"")</f>
        <v/>
      </c>
      <c r="W26" s="51" t="str">
        <f ca="1">IF(AND('Mapa final'!$AG$14="Media",'Mapa final'!$AI$14="Moderado"),CONCATENATE("R1C",'Mapa final'!$W$14),"")</f>
        <v/>
      </c>
      <c r="X26" s="51" t="e">
        <f>IF(AND('Mapa final'!#REF!="Media",'Mapa final'!#REF!="Moderado"),CONCATENATE("R1C",'Mapa final'!#REF!),"")</f>
        <v>#REF!</v>
      </c>
      <c r="Y26" s="51" t="e">
        <f>IF(AND('Mapa final'!#REF!="Media",'Mapa final'!#REF!="Moderado"),CONCATENATE("R1C",'Mapa final'!#REF!),"")</f>
        <v>#REF!</v>
      </c>
      <c r="Z26" s="51" t="e">
        <f>IF(AND('Mapa final'!#REF!="Media",'Mapa final'!#REF!="Moderado"),CONCATENATE("R1C",'Mapa final'!#REF!),"")</f>
        <v>#REF!</v>
      </c>
      <c r="AA26" s="52" t="e">
        <f>IF(AND('Mapa final'!#REF!="Media",'Mapa final'!#REF!="Moderado"),CONCATENATE("R1C",'Mapa final'!#REF!),"")</f>
        <v>#REF!</v>
      </c>
      <c r="AB26" s="32" t="str">
        <f ca="1">IF(AND('Mapa final'!$AG$13="Media",'Mapa final'!$AI$13="Mayor"),CONCATENATE("R1C",'Mapa final'!$W$13),"")</f>
        <v/>
      </c>
      <c r="AC26" s="33" t="str">
        <f ca="1">IF(AND('Mapa final'!$AG$14="Media",'Mapa final'!$AI$14="Mayor"),CONCATENATE("R1C",'Mapa final'!$W$14),"")</f>
        <v/>
      </c>
      <c r="AD26" s="33" t="e">
        <f>IF(AND('Mapa final'!#REF!="Media",'Mapa final'!#REF!="Mayor"),CONCATENATE("R1C",'Mapa final'!#REF!),"")</f>
        <v>#REF!</v>
      </c>
      <c r="AE26" s="33" t="e">
        <f>IF(AND('Mapa final'!#REF!="Media",'Mapa final'!#REF!="Mayor"),CONCATENATE("R1C",'Mapa final'!#REF!),"")</f>
        <v>#REF!</v>
      </c>
      <c r="AF26" s="33" t="e">
        <f>IF(AND('Mapa final'!#REF!="Media",'Mapa final'!#REF!="Mayor"),CONCATENATE("R1C",'Mapa final'!#REF!),"")</f>
        <v>#REF!</v>
      </c>
      <c r="AG26" s="34" t="e">
        <f>IF(AND('Mapa final'!#REF!="Media",'Mapa final'!#REF!="Mayor"),CONCATENATE("R1C",'Mapa final'!#REF!),"")</f>
        <v>#REF!</v>
      </c>
      <c r="AH26" s="35" t="str">
        <f ca="1">IF(AND('Mapa final'!$AG$13="Media",'Mapa final'!$AI$13="Catastrófico"),CONCATENATE("R1C",'Mapa final'!$W$13),"")</f>
        <v/>
      </c>
      <c r="AI26" s="36" t="str">
        <f ca="1">IF(AND('Mapa final'!$AG$14="Media",'Mapa final'!$AI$14="Catastrófico"),CONCATENATE("R1C",'Mapa final'!$W$14),"")</f>
        <v/>
      </c>
      <c r="AJ26" s="36" t="e">
        <f>IF(AND('Mapa final'!#REF!="Media",'Mapa final'!#REF!="Catastrófico"),CONCATENATE("R1C",'Mapa final'!#REF!),"")</f>
        <v>#REF!</v>
      </c>
      <c r="AK26" s="36" t="e">
        <f>IF(AND('Mapa final'!#REF!="Media",'Mapa final'!#REF!="Catastrófico"),CONCATENATE("R1C",'Mapa final'!#REF!),"")</f>
        <v>#REF!</v>
      </c>
      <c r="AL26" s="36" t="e">
        <f>IF(AND('Mapa final'!#REF!="Media",'Mapa final'!#REF!="Catastrófico"),CONCATENATE("R1C",'Mapa final'!#REF!),"")</f>
        <v>#REF!</v>
      </c>
      <c r="AM26" s="37" t="e">
        <f>IF(AND('Mapa final'!#REF!="Media",'Mapa final'!#REF!="Catastrófico"),CONCATENATE("R1C",'Mapa final'!#REF!),"")</f>
        <v>#REF!</v>
      </c>
      <c r="AN26" s="69"/>
      <c r="AO26" s="632" t="s">
        <v>134</v>
      </c>
      <c r="AP26" s="633"/>
      <c r="AQ26" s="633"/>
      <c r="AR26" s="633"/>
      <c r="AS26" s="633"/>
      <c r="AT26" s="634"/>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18"/>
      <c r="C27" s="518"/>
      <c r="D27" s="519"/>
      <c r="E27" s="596"/>
      <c r="F27" s="597"/>
      <c r="G27" s="597"/>
      <c r="H27" s="597"/>
      <c r="I27" s="598"/>
      <c r="J27" s="53" t="str">
        <f ca="1">IF(AND('Mapa final'!$AG$15="Media",'Mapa final'!$AI$15="Leve"),CONCATENATE("R2C",'Mapa final'!$W$15),"")</f>
        <v/>
      </c>
      <c r="K27" s="54" t="str">
        <f ca="1">IF(AND('Mapa final'!$AG$16="Media",'Mapa final'!$AI$16="Leve"),CONCATENATE("R2C",'Mapa final'!$W$16),"")</f>
        <v/>
      </c>
      <c r="L27" s="54" t="e">
        <f>IF(AND('Mapa final'!#REF!="Media",'Mapa final'!#REF!="Leve"),CONCATENATE("R2C",'Mapa final'!#REF!),"")</f>
        <v>#REF!</v>
      </c>
      <c r="M27" s="54" t="e">
        <f>IF(AND('Mapa final'!#REF!="Media",'Mapa final'!#REF!="Leve"),CONCATENATE("R2C",'Mapa final'!#REF!),"")</f>
        <v>#REF!</v>
      </c>
      <c r="N27" s="54" t="e">
        <f>IF(AND('Mapa final'!#REF!="Media",'Mapa final'!#REF!="Leve"),CONCATENATE("R2C",'Mapa final'!#REF!),"")</f>
        <v>#REF!</v>
      </c>
      <c r="O27" s="55" t="e">
        <f>IF(AND('Mapa final'!#REF!="Media",'Mapa final'!#REF!="Leve"),CONCATENATE("R2C",'Mapa final'!#REF!),"")</f>
        <v>#REF!</v>
      </c>
      <c r="P27" s="53" t="str">
        <f ca="1">IF(AND('Mapa final'!$AG$15="Media",'Mapa final'!$AI$15="Menor"),CONCATENATE("R2C",'Mapa final'!$W$15),"")</f>
        <v/>
      </c>
      <c r="Q27" s="54" t="str">
        <f ca="1">IF(AND('Mapa final'!$AG$16="Media",'Mapa final'!$AI$16="Menor"),CONCATENATE("R2C",'Mapa final'!$W$16),"")</f>
        <v/>
      </c>
      <c r="R27" s="54" t="e">
        <f>IF(AND('Mapa final'!#REF!="Media",'Mapa final'!#REF!="Menor"),CONCATENATE("R2C",'Mapa final'!#REF!),"")</f>
        <v>#REF!</v>
      </c>
      <c r="S27" s="54" t="e">
        <f>IF(AND('Mapa final'!#REF!="Media",'Mapa final'!#REF!="Menor"),CONCATENATE("R2C",'Mapa final'!#REF!),"")</f>
        <v>#REF!</v>
      </c>
      <c r="T27" s="54" t="e">
        <f>IF(AND('Mapa final'!#REF!="Media",'Mapa final'!#REF!="Menor"),CONCATENATE("R2C",'Mapa final'!#REF!),"")</f>
        <v>#REF!</v>
      </c>
      <c r="U27" s="55" t="e">
        <f>IF(AND('Mapa final'!#REF!="Media",'Mapa final'!#REF!="Menor"),CONCATENATE("R2C",'Mapa final'!#REF!),"")</f>
        <v>#REF!</v>
      </c>
      <c r="V27" s="53" t="str">
        <f ca="1">IF(AND('Mapa final'!$AG$15="Media",'Mapa final'!$AI$15="Moderado"),CONCATENATE("R2C",'Mapa final'!$W$15),"")</f>
        <v/>
      </c>
      <c r="W27" s="54" t="str">
        <f ca="1">IF(AND('Mapa final'!$AG$16="Media",'Mapa final'!$AI$16="Moderado"),CONCATENATE("R2C",'Mapa final'!$W$16),"")</f>
        <v/>
      </c>
      <c r="X27" s="54" t="e">
        <f>IF(AND('Mapa final'!#REF!="Media",'Mapa final'!#REF!="Moderado"),CONCATENATE("R2C",'Mapa final'!#REF!),"")</f>
        <v>#REF!</v>
      </c>
      <c r="Y27" s="54" t="e">
        <f>IF(AND('Mapa final'!#REF!="Media",'Mapa final'!#REF!="Moderado"),CONCATENATE("R2C",'Mapa final'!#REF!),"")</f>
        <v>#REF!</v>
      </c>
      <c r="Z27" s="54" t="e">
        <f>IF(AND('Mapa final'!#REF!="Media",'Mapa final'!#REF!="Moderado"),CONCATENATE("R2C",'Mapa final'!#REF!),"")</f>
        <v>#REF!</v>
      </c>
      <c r="AA27" s="55" t="e">
        <f>IF(AND('Mapa final'!#REF!="Media",'Mapa final'!#REF!="Moderado"),CONCATENATE("R2C",'Mapa final'!#REF!),"")</f>
        <v>#REF!</v>
      </c>
      <c r="AB27" s="38" t="str">
        <f ca="1">IF(AND('Mapa final'!$AG$15="Media",'Mapa final'!$AI$15="Mayor"),CONCATENATE("R2C",'Mapa final'!$W$15),"")</f>
        <v/>
      </c>
      <c r="AC27" s="39" t="str">
        <f ca="1">IF(AND('Mapa final'!$AG$16="Media",'Mapa final'!$AI$16="Mayor"),CONCATENATE("R2C",'Mapa final'!$W$16),"")</f>
        <v/>
      </c>
      <c r="AD27" s="39" t="e">
        <f>IF(AND('Mapa final'!#REF!="Media",'Mapa final'!#REF!="Mayor"),CONCATENATE("R2C",'Mapa final'!#REF!),"")</f>
        <v>#REF!</v>
      </c>
      <c r="AE27" s="39" t="e">
        <f>IF(AND('Mapa final'!#REF!="Media",'Mapa final'!#REF!="Mayor"),CONCATENATE("R2C",'Mapa final'!#REF!),"")</f>
        <v>#REF!</v>
      </c>
      <c r="AF27" s="39" t="e">
        <f>IF(AND('Mapa final'!#REF!="Media",'Mapa final'!#REF!="Mayor"),CONCATENATE("R2C",'Mapa final'!#REF!),"")</f>
        <v>#REF!</v>
      </c>
      <c r="AG27" s="40" t="e">
        <f>IF(AND('Mapa final'!#REF!="Media",'Mapa final'!#REF!="Mayor"),CONCATENATE("R2C",'Mapa final'!#REF!),"")</f>
        <v>#REF!</v>
      </c>
      <c r="AH27" s="41" t="str">
        <f ca="1">IF(AND('Mapa final'!$AG$15="Media",'Mapa final'!$AI$15="Catastrófico"),CONCATENATE("R2C",'Mapa final'!$W$15),"")</f>
        <v/>
      </c>
      <c r="AI27" s="42" t="str">
        <f ca="1">IF(AND('Mapa final'!$AG$16="Media",'Mapa final'!$AI$16="Catastrófico"),CONCATENATE("R2C",'Mapa final'!$W$16),"")</f>
        <v/>
      </c>
      <c r="AJ27" s="42" t="e">
        <f>IF(AND('Mapa final'!#REF!="Media",'Mapa final'!#REF!="Catastrófico"),CONCATENATE("R2C",'Mapa final'!#REF!),"")</f>
        <v>#REF!</v>
      </c>
      <c r="AK27" s="42" t="e">
        <f>IF(AND('Mapa final'!#REF!="Media",'Mapa final'!#REF!="Catastrófico"),CONCATENATE("R2C",'Mapa final'!#REF!),"")</f>
        <v>#REF!</v>
      </c>
      <c r="AL27" s="42" t="e">
        <f>IF(AND('Mapa final'!#REF!="Media",'Mapa final'!#REF!="Catastrófico"),CONCATENATE("R2C",'Mapa final'!#REF!),"")</f>
        <v>#REF!</v>
      </c>
      <c r="AM27" s="43" t="e">
        <f>IF(AND('Mapa final'!#REF!="Media",'Mapa final'!#REF!="Catastrófico"),CONCATENATE("R2C",'Mapa final'!#REF!),"")</f>
        <v>#REF!</v>
      </c>
      <c r="AN27" s="69"/>
      <c r="AO27" s="635"/>
      <c r="AP27" s="636"/>
      <c r="AQ27" s="636"/>
      <c r="AR27" s="636"/>
      <c r="AS27" s="636"/>
      <c r="AT27" s="637"/>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18"/>
      <c r="C28" s="518"/>
      <c r="D28" s="519"/>
      <c r="E28" s="599"/>
      <c r="F28" s="597"/>
      <c r="G28" s="597"/>
      <c r="H28" s="597"/>
      <c r="I28" s="598"/>
      <c r="J28" s="53" t="str">
        <f ca="1">IF(AND('Mapa final'!$AG$17="Media",'Mapa final'!$AI$17="Leve"),CONCATENATE("R3C",'Mapa final'!$W$17),"")</f>
        <v/>
      </c>
      <c r="K28" s="54" t="str">
        <f ca="1">IF(AND('Mapa final'!$AG$18="Media",'Mapa final'!$AI$18="Leve"),CONCATENATE("R3C",'Mapa final'!$W$18),"")</f>
        <v/>
      </c>
      <c r="L28" s="54" t="str">
        <f ca="1">IF(AND('Mapa final'!$AG$19="Media",'Mapa final'!$AI$19="Leve"),CONCATENATE("R3C",'Mapa final'!$W$19),"")</f>
        <v/>
      </c>
      <c r="M28" s="54" t="e">
        <f>IF(AND('Mapa final'!#REF!="Media",'Mapa final'!#REF!="Leve"),CONCATENATE("R3C",'Mapa final'!#REF!),"")</f>
        <v>#REF!</v>
      </c>
      <c r="N28" s="54" t="e">
        <f>IF(AND('Mapa final'!#REF!="Media",'Mapa final'!#REF!="Leve"),CONCATENATE("R3C",'Mapa final'!#REF!),"")</f>
        <v>#REF!</v>
      </c>
      <c r="O28" s="55" t="e">
        <f>IF(AND('Mapa final'!#REF!="Media",'Mapa final'!#REF!="Leve"),CONCATENATE("R3C",'Mapa final'!#REF!),"")</f>
        <v>#REF!</v>
      </c>
      <c r="P28" s="53" t="str">
        <f ca="1">IF(AND('Mapa final'!$AG$17="Media",'Mapa final'!$AI$17="Menor"),CONCATENATE("R3C",'Mapa final'!$W$17),"")</f>
        <v/>
      </c>
      <c r="Q28" s="54" t="str">
        <f ca="1">IF(AND('Mapa final'!$AG$18="Media",'Mapa final'!$AI$18="Menor"),CONCATENATE("R3C",'Mapa final'!$W$18),"")</f>
        <v/>
      </c>
      <c r="R28" s="54" t="str">
        <f ca="1">IF(AND('Mapa final'!$AG$19="Media",'Mapa final'!$AI$19="Menor"),CONCATENATE("R3C",'Mapa final'!$W$19),"")</f>
        <v/>
      </c>
      <c r="S28" s="54" t="e">
        <f>IF(AND('Mapa final'!#REF!="Media",'Mapa final'!#REF!="Menor"),CONCATENATE("R3C",'Mapa final'!#REF!),"")</f>
        <v>#REF!</v>
      </c>
      <c r="T28" s="54" t="e">
        <f>IF(AND('Mapa final'!#REF!="Media",'Mapa final'!#REF!="Menor"),CONCATENATE("R3C",'Mapa final'!#REF!),"")</f>
        <v>#REF!</v>
      </c>
      <c r="U28" s="55" t="e">
        <f>IF(AND('Mapa final'!#REF!="Media",'Mapa final'!#REF!="Menor"),CONCATENATE("R3C",'Mapa final'!#REF!),"")</f>
        <v>#REF!</v>
      </c>
      <c r="V28" s="53" t="str">
        <f ca="1">IF(AND('Mapa final'!$AG$17="Media",'Mapa final'!$AI$17="Moderado"),CONCATENATE("R3C",'Mapa final'!$W$17),"")</f>
        <v/>
      </c>
      <c r="W28" s="54" t="str">
        <f ca="1">IF(AND('Mapa final'!$AG$18="Media",'Mapa final'!$AI$18="Moderado"),CONCATENATE("R3C",'Mapa final'!$W$18),"")</f>
        <v/>
      </c>
      <c r="X28" s="54" t="str">
        <f ca="1">IF(AND('Mapa final'!$AG$19="Media",'Mapa final'!$AI$19="Moderado"),CONCATENATE("R3C",'Mapa final'!$W$19),"")</f>
        <v/>
      </c>
      <c r="Y28" s="54" t="e">
        <f>IF(AND('Mapa final'!#REF!="Media",'Mapa final'!#REF!="Moderado"),CONCATENATE("R3C",'Mapa final'!#REF!),"")</f>
        <v>#REF!</v>
      </c>
      <c r="Z28" s="54" t="e">
        <f>IF(AND('Mapa final'!#REF!="Media",'Mapa final'!#REF!="Moderado"),CONCATENATE("R3C",'Mapa final'!#REF!),"")</f>
        <v>#REF!</v>
      </c>
      <c r="AA28" s="55" t="e">
        <f>IF(AND('Mapa final'!#REF!="Media",'Mapa final'!#REF!="Moderado"),CONCATENATE("R3C",'Mapa final'!#REF!),"")</f>
        <v>#REF!</v>
      </c>
      <c r="AB28" s="38" t="str">
        <f ca="1">IF(AND('Mapa final'!$AG$17="Media",'Mapa final'!$AI$17="Mayor"),CONCATENATE("R3C",'Mapa final'!$W$17),"")</f>
        <v/>
      </c>
      <c r="AC28" s="39" t="str">
        <f ca="1">IF(AND('Mapa final'!$AG$18="Media",'Mapa final'!$AI$18="Mayor"),CONCATENATE("R3C",'Mapa final'!$W$18),"")</f>
        <v/>
      </c>
      <c r="AD28" s="39" t="str">
        <f ca="1">IF(AND('Mapa final'!$AG$19="Media",'Mapa final'!$AI$19="Mayor"),CONCATENATE("R3C",'Mapa final'!$W$19),"")</f>
        <v/>
      </c>
      <c r="AE28" s="39" t="e">
        <f>IF(AND('Mapa final'!#REF!="Media",'Mapa final'!#REF!="Mayor"),CONCATENATE("R3C",'Mapa final'!#REF!),"")</f>
        <v>#REF!</v>
      </c>
      <c r="AF28" s="39" t="e">
        <f>IF(AND('Mapa final'!#REF!="Media",'Mapa final'!#REF!="Mayor"),CONCATENATE("R3C",'Mapa final'!#REF!),"")</f>
        <v>#REF!</v>
      </c>
      <c r="AG28" s="40" t="e">
        <f>IF(AND('Mapa final'!#REF!="Media",'Mapa final'!#REF!="Mayor"),CONCATENATE("R3C",'Mapa final'!#REF!),"")</f>
        <v>#REF!</v>
      </c>
      <c r="AH28" s="41" t="str">
        <f ca="1">IF(AND('Mapa final'!$AG$17="Media",'Mapa final'!$AI$17="Catastrófico"),CONCATENATE("R3C",'Mapa final'!$W$17),"")</f>
        <v/>
      </c>
      <c r="AI28" s="42" t="str">
        <f ca="1">IF(AND('Mapa final'!$AG$18="Media",'Mapa final'!$AI$18="Catastrófico"),CONCATENATE("R3C",'Mapa final'!$W$18),"")</f>
        <v/>
      </c>
      <c r="AJ28" s="42" t="str">
        <f ca="1">IF(AND('Mapa final'!$AG$19="Media",'Mapa final'!$AI$19="Catastrófico"),CONCATENATE("R3C",'Mapa final'!$W$19),"")</f>
        <v/>
      </c>
      <c r="AK28" s="42" t="e">
        <f>IF(AND('Mapa final'!#REF!="Media",'Mapa final'!#REF!="Catastrófico"),CONCATENATE("R3C",'Mapa final'!#REF!),"")</f>
        <v>#REF!</v>
      </c>
      <c r="AL28" s="42" t="e">
        <f>IF(AND('Mapa final'!#REF!="Media",'Mapa final'!#REF!="Catastrófico"),CONCATENATE("R3C",'Mapa final'!#REF!),"")</f>
        <v>#REF!</v>
      </c>
      <c r="AM28" s="43" t="e">
        <f>IF(AND('Mapa final'!#REF!="Media",'Mapa final'!#REF!="Catastrófico"),CONCATENATE("R3C",'Mapa final'!#REF!),"")</f>
        <v>#REF!</v>
      </c>
      <c r="AN28" s="69"/>
      <c r="AO28" s="635"/>
      <c r="AP28" s="636"/>
      <c r="AQ28" s="636"/>
      <c r="AR28" s="636"/>
      <c r="AS28" s="636"/>
      <c r="AT28" s="637"/>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18"/>
      <c r="C29" s="518"/>
      <c r="D29" s="519"/>
      <c r="E29" s="599"/>
      <c r="F29" s="597"/>
      <c r="G29" s="597"/>
      <c r="H29" s="597"/>
      <c r="I29" s="598"/>
      <c r="J29" s="53" t="str">
        <f ca="1">IF(AND('Mapa final'!$AG$20="Media",'Mapa final'!$AI$20="Leve"),CONCATENATE("R4C",'Mapa final'!$W$20),"")</f>
        <v/>
      </c>
      <c r="K29" s="54" t="str">
        <f ca="1">IF(AND('Mapa final'!$AG$21="Media",'Mapa final'!$AI$21="Leve"),CONCATENATE("R4C",'Mapa final'!$W$21),"")</f>
        <v/>
      </c>
      <c r="L29" s="54" t="e">
        <f>IF(AND('Mapa final'!#REF!="Media",'Mapa final'!#REF!="Leve"),CONCATENATE("R4C",'Mapa final'!#REF!),"")</f>
        <v>#REF!</v>
      </c>
      <c r="M29" s="54" t="e">
        <f>IF(AND('Mapa final'!#REF!="Media",'Mapa final'!#REF!="Leve"),CONCATENATE("R4C",'Mapa final'!#REF!),"")</f>
        <v>#REF!</v>
      </c>
      <c r="N29" s="54" t="e">
        <f>IF(AND('Mapa final'!#REF!="Media",'Mapa final'!#REF!="Leve"),CONCATENATE("R4C",'Mapa final'!#REF!),"")</f>
        <v>#REF!</v>
      </c>
      <c r="O29" s="55" t="e">
        <f>IF(AND('Mapa final'!#REF!="Media",'Mapa final'!#REF!="Leve"),CONCATENATE("R4C",'Mapa final'!#REF!),"")</f>
        <v>#REF!</v>
      </c>
      <c r="P29" s="53" t="str">
        <f ca="1">IF(AND('Mapa final'!$AG$20="Media",'Mapa final'!$AI$20="Menor"),CONCATENATE("R4C",'Mapa final'!$W$20),"")</f>
        <v/>
      </c>
      <c r="Q29" s="54" t="str">
        <f ca="1">IF(AND('Mapa final'!$AG$21="Media",'Mapa final'!$AI$21="Menor"),CONCATENATE("R4C",'Mapa final'!$W$21),"")</f>
        <v/>
      </c>
      <c r="R29" s="54" t="e">
        <f>IF(AND('Mapa final'!#REF!="Media",'Mapa final'!#REF!="Menor"),CONCATENATE("R4C",'Mapa final'!#REF!),"")</f>
        <v>#REF!</v>
      </c>
      <c r="S29" s="54" t="e">
        <f>IF(AND('Mapa final'!#REF!="Media",'Mapa final'!#REF!="Menor"),CONCATENATE("R4C",'Mapa final'!#REF!),"")</f>
        <v>#REF!</v>
      </c>
      <c r="T29" s="54" t="e">
        <f>IF(AND('Mapa final'!#REF!="Media",'Mapa final'!#REF!="Menor"),CONCATENATE("R4C",'Mapa final'!#REF!),"")</f>
        <v>#REF!</v>
      </c>
      <c r="U29" s="55" t="e">
        <f>IF(AND('Mapa final'!#REF!="Media",'Mapa final'!#REF!="Menor"),CONCATENATE("R4C",'Mapa final'!#REF!),"")</f>
        <v>#REF!</v>
      </c>
      <c r="V29" s="53" t="str">
        <f ca="1">IF(AND('Mapa final'!$AG$20="Media",'Mapa final'!$AI$20="Moderado"),CONCATENATE("R4C",'Mapa final'!$W$20),"")</f>
        <v/>
      </c>
      <c r="W29" s="54" t="str">
        <f ca="1">IF(AND('Mapa final'!$AG$21="Media",'Mapa final'!$AI$21="Moderado"),CONCATENATE("R4C",'Mapa final'!$W$21),"")</f>
        <v/>
      </c>
      <c r="X29" s="54" t="e">
        <f>IF(AND('Mapa final'!#REF!="Media",'Mapa final'!#REF!="Moderado"),CONCATENATE("R4C",'Mapa final'!#REF!),"")</f>
        <v>#REF!</v>
      </c>
      <c r="Y29" s="54" t="e">
        <f>IF(AND('Mapa final'!#REF!="Media",'Mapa final'!#REF!="Moderado"),CONCATENATE("R4C",'Mapa final'!#REF!),"")</f>
        <v>#REF!</v>
      </c>
      <c r="Z29" s="54" t="e">
        <f>IF(AND('Mapa final'!#REF!="Media",'Mapa final'!#REF!="Moderado"),CONCATENATE("R4C",'Mapa final'!#REF!),"")</f>
        <v>#REF!</v>
      </c>
      <c r="AA29" s="55" t="e">
        <f>IF(AND('Mapa final'!#REF!="Media",'Mapa final'!#REF!="Moderado"),CONCATENATE("R4C",'Mapa final'!#REF!),"")</f>
        <v>#REF!</v>
      </c>
      <c r="AB29" s="38" t="str">
        <f ca="1">IF(AND('Mapa final'!$AG$20="Media",'Mapa final'!$AI$20="Mayor"),CONCATENATE("R4C",'Mapa final'!$W$20),"")</f>
        <v/>
      </c>
      <c r="AC29" s="39" t="str">
        <f ca="1">IF(AND('Mapa final'!$AG$21="Media",'Mapa final'!$AI$21="Mayor"),CONCATENATE("R4C",'Mapa final'!$W$21),"")</f>
        <v/>
      </c>
      <c r="AD29" s="39" t="e">
        <f>IF(AND('Mapa final'!#REF!="Media",'Mapa final'!#REF!="Mayor"),CONCATENATE("R4C",'Mapa final'!#REF!),"")</f>
        <v>#REF!</v>
      </c>
      <c r="AE29" s="39" t="e">
        <f>IF(AND('Mapa final'!#REF!="Media",'Mapa final'!#REF!="Mayor"),CONCATENATE("R4C",'Mapa final'!#REF!),"")</f>
        <v>#REF!</v>
      </c>
      <c r="AF29" s="39" t="e">
        <f>IF(AND('Mapa final'!#REF!="Media",'Mapa final'!#REF!="Mayor"),CONCATENATE("R4C",'Mapa final'!#REF!),"")</f>
        <v>#REF!</v>
      </c>
      <c r="AG29" s="40" t="e">
        <f>IF(AND('Mapa final'!#REF!="Media",'Mapa final'!#REF!="Mayor"),CONCATENATE("R4C",'Mapa final'!#REF!),"")</f>
        <v>#REF!</v>
      </c>
      <c r="AH29" s="41" t="str">
        <f ca="1">IF(AND('Mapa final'!$AG$20="Media",'Mapa final'!$AI$20="Catastrófico"),CONCATENATE("R4C",'Mapa final'!$W$20),"")</f>
        <v/>
      </c>
      <c r="AI29" s="42" t="str">
        <f ca="1">IF(AND('Mapa final'!$AG$21="Media",'Mapa final'!$AI$21="Catastrófico"),CONCATENATE("R4C",'Mapa final'!$W$21),"")</f>
        <v/>
      </c>
      <c r="AJ29" s="42" t="e">
        <f>IF(AND('Mapa final'!#REF!="Media",'Mapa final'!#REF!="Catastrófico"),CONCATENATE("R4C",'Mapa final'!#REF!),"")</f>
        <v>#REF!</v>
      </c>
      <c r="AK29" s="42" t="e">
        <f>IF(AND('Mapa final'!#REF!="Media",'Mapa final'!#REF!="Catastrófico"),CONCATENATE("R4C",'Mapa final'!#REF!),"")</f>
        <v>#REF!</v>
      </c>
      <c r="AL29" s="42" t="e">
        <f>IF(AND('Mapa final'!#REF!="Media",'Mapa final'!#REF!="Catastrófico"),CONCATENATE("R4C",'Mapa final'!#REF!),"")</f>
        <v>#REF!</v>
      </c>
      <c r="AM29" s="43" t="e">
        <f>IF(AND('Mapa final'!#REF!="Media",'Mapa final'!#REF!="Catastrófico"),CONCATENATE("R4C",'Mapa final'!#REF!),"")</f>
        <v>#REF!</v>
      </c>
      <c r="AN29" s="69"/>
      <c r="AO29" s="635"/>
      <c r="AP29" s="636"/>
      <c r="AQ29" s="636"/>
      <c r="AR29" s="636"/>
      <c r="AS29" s="636"/>
      <c r="AT29" s="637"/>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18"/>
      <c r="C30" s="518"/>
      <c r="D30" s="519"/>
      <c r="E30" s="599"/>
      <c r="F30" s="597"/>
      <c r="G30" s="597"/>
      <c r="H30" s="597"/>
      <c r="I30" s="598"/>
      <c r="J30" s="53" t="str">
        <f ca="1">IF(AND('Mapa final'!$AG$22="Media",'Mapa final'!$AI$22="Leve"),CONCATENATE("R5C",'Mapa final'!$W$22),"")</f>
        <v/>
      </c>
      <c r="K30" s="54" t="str">
        <f ca="1">IF(AND('Mapa final'!$AG$23="Media",'Mapa final'!$AI$23="Leve"),CONCATENATE("R5C",'Mapa final'!$W$23),"")</f>
        <v/>
      </c>
      <c r="L30" s="54" t="str">
        <f ca="1">IF(AND('Mapa final'!$AG$24="Media",'Mapa final'!$AI$24="Leve"),CONCATENATE("R5C",'Mapa final'!$W$24),"")</f>
        <v/>
      </c>
      <c r="M30" s="54" t="e">
        <f>IF(AND('Mapa final'!#REF!="Media",'Mapa final'!#REF!="Leve"),CONCATENATE("R5C",'Mapa final'!#REF!),"")</f>
        <v>#REF!</v>
      </c>
      <c r="N30" s="54" t="e">
        <f>IF(AND('Mapa final'!#REF!="Media",'Mapa final'!#REF!="Leve"),CONCATENATE("R5C",'Mapa final'!#REF!),"")</f>
        <v>#REF!</v>
      </c>
      <c r="O30" s="55" t="e">
        <f>IF(AND('Mapa final'!#REF!="Media",'Mapa final'!#REF!="Leve"),CONCATENATE("R5C",'Mapa final'!#REF!),"")</f>
        <v>#REF!</v>
      </c>
      <c r="P30" s="53" t="str">
        <f ca="1">IF(AND('Mapa final'!$AG$22="Media",'Mapa final'!$AI$22="Menor"),CONCATENATE("R5C",'Mapa final'!$W$22),"")</f>
        <v/>
      </c>
      <c r="Q30" s="54" t="str">
        <f ca="1">IF(AND('Mapa final'!$AG$23="Media",'Mapa final'!$AI$23="Menor"),CONCATENATE("R5C",'Mapa final'!$W$23),"")</f>
        <v/>
      </c>
      <c r="R30" s="54" t="str">
        <f ca="1">IF(AND('Mapa final'!$AG$24="Media",'Mapa final'!$AI$24="Menor"),CONCATENATE("R5C",'Mapa final'!$W$24),"")</f>
        <v/>
      </c>
      <c r="S30" s="54" t="e">
        <f>IF(AND('Mapa final'!#REF!="Media",'Mapa final'!#REF!="Menor"),CONCATENATE("R5C",'Mapa final'!#REF!),"")</f>
        <v>#REF!</v>
      </c>
      <c r="T30" s="54" t="e">
        <f>IF(AND('Mapa final'!#REF!="Media",'Mapa final'!#REF!="Menor"),CONCATENATE("R5C",'Mapa final'!#REF!),"")</f>
        <v>#REF!</v>
      </c>
      <c r="U30" s="55" t="e">
        <f>IF(AND('Mapa final'!#REF!="Media",'Mapa final'!#REF!="Menor"),CONCATENATE("R5C",'Mapa final'!#REF!),"")</f>
        <v>#REF!</v>
      </c>
      <c r="V30" s="53" t="str">
        <f ca="1">IF(AND('Mapa final'!$AG$22="Media",'Mapa final'!$AI$22="Moderado"),CONCATENATE("R5C",'Mapa final'!$W$22),"")</f>
        <v/>
      </c>
      <c r="W30" s="54" t="str">
        <f ca="1">IF(AND('Mapa final'!$AG$23="Media",'Mapa final'!$AI$23="Moderado"),CONCATENATE("R5C",'Mapa final'!$W$23),"")</f>
        <v/>
      </c>
      <c r="X30" s="54" t="str">
        <f ca="1">IF(AND('Mapa final'!$AG$24="Media",'Mapa final'!$AI$24="Moderado"),CONCATENATE("R5C",'Mapa final'!$W$24),"")</f>
        <v/>
      </c>
      <c r="Y30" s="54" t="e">
        <f>IF(AND('Mapa final'!#REF!="Media",'Mapa final'!#REF!="Moderado"),CONCATENATE("R5C",'Mapa final'!#REF!),"")</f>
        <v>#REF!</v>
      </c>
      <c r="Z30" s="54" t="e">
        <f>IF(AND('Mapa final'!#REF!="Media",'Mapa final'!#REF!="Moderado"),CONCATENATE("R5C",'Mapa final'!#REF!),"")</f>
        <v>#REF!</v>
      </c>
      <c r="AA30" s="55" t="e">
        <f>IF(AND('Mapa final'!#REF!="Media",'Mapa final'!#REF!="Moderado"),CONCATENATE("R5C",'Mapa final'!#REF!),"")</f>
        <v>#REF!</v>
      </c>
      <c r="AB30" s="38" t="str">
        <f ca="1">IF(AND('Mapa final'!$AG$22="Media",'Mapa final'!$AI$22="Mayor"),CONCATENATE("R5C",'Mapa final'!$W$22),"")</f>
        <v/>
      </c>
      <c r="AC30" s="39" t="str">
        <f ca="1">IF(AND('Mapa final'!$AG$23="Media",'Mapa final'!$AI$23="Mayor"),CONCATENATE("R5C",'Mapa final'!$W$23),"")</f>
        <v/>
      </c>
      <c r="AD30" s="39" t="str">
        <f ca="1">IF(AND('Mapa final'!$AG$24="Media",'Mapa final'!$AI$24="Mayor"),CONCATENATE("R5C",'Mapa final'!$W$24),"")</f>
        <v/>
      </c>
      <c r="AE30" s="39" t="e">
        <f>IF(AND('Mapa final'!#REF!="Media",'Mapa final'!#REF!="Mayor"),CONCATENATE("R5C",'Mapa final'!#REF!),"")</f>
        <v>#REF!</v>
      </c>
      <c r="AF30" s="39" t="e">
        <f>IF(AND('Mapa final'!#REF!="Media",'Mapa final'!#REF!="Mayor"),CONCATENATE("R5C",'Mapa final'!#REF!),"")</f>
        <v>#REF!</v>
      </c>
      <c r="AG30" s="40" t="e">
        <f>IF(AND('Mapa final'!#REF!="Media",'Mapa final'!#REF!="Mayor"),CONCATENATE("R5C",'Mapa final'!#REF!),"")</f>
        <v>#REF!</v>
      </c>
      <c r="AH30" s="41" t="str">
        <f ca="1">IF(AND('Mapa final'!$AG$22="Media",'Mapa final'!$AI$22="Catastrófico"),CONCATENATE("R5C",'Mapa final'!$W$22),"")</f>
        <v/>
      </c>
      <c r="AI30" s="42" t="str">
        <f ca="1">IF(AND('Mapa final'!$AG$23="Media",'Mapa final'!$AI$23="Catastrófico"),CONCATENATE("R5C",'Mapa final'!$W$23),"")</f>
        <v/>
      </c>
      <c r="AJ30" s="42" t="str">
        <f ca="1">IF(AND('Mapa final'!$AG$24="Media",'Mapa final'!$AI$24="Catastrófico"),CONCATENATE("R5C",'Mapa final'!$W$24),"")</f>
        <v/>
      </c>
      <c r="AK30" s="42" t="e">
        <f>IF(AND('Mapa final'!#REF!="Media",'Mapa final'!#REF!="Catastrófico"),CONCATENATE("R5C",'Mapa final'!#REF!),"")</f>
        <v>#REF!</v>
      </c>
      <c r="AL30" s="42" t="e">
        <f>IF(AND('Mapa final'!#REF!="Media",'Mapa final'!#REF!="Catastrófico"),CONCATENATE("R5C",'Mapa final'!#REF!),"")</f>
        <v>#REF!</v>
      </c>
      <c r="AM30" s="43" t="e">
        <f>IF(AND('Mapa final'!#REF!="Media",'Mapa final'!#REF!="Catastrófico"),CONCATENATE("R5C",'Mapa final'!#REF!),"")</f>
        <v>#REF!</v>
      </c>
      <c r="AN30" s="69"/>
      <c r="AO30" s="635"/>
      <c r="AP30" s="636"/>
      <c r="AQ30" s="636"/>
      <c r="AR30" s="636"/>
      <c r="AS30" s="636"/>
      <c r="AT30" s="637"/>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18"/>
      <c r="C31" s="518"/>
      <c r="D31" s="519"/>
      <c r="E31" s="599"/>
      <c r="F31" s="597"/>
      <c r="G31" s="597"/>
      <c r="H31" s="597"/>
      <c r="I31" s="598"/>
      <c r="J31" s="53" t="str">
        <f ca="1">IF(AND('Mapa final'!$AG$25="Media",'Mapa final'!$AI$25="Leve"),CONCATENATE("R6C",'Mapa final'!$W$25),"")</f>
        <v/>
      </c>
      <c r="K31" s="54" t="str">
        <f ca="1">IF(AND('Mapa final'!$AG$26="Media",'Mapa final'!$AI$26="Leve"),CONCATENATE("R6C",'Mapa final'!$W$26),"")</f>
        <v/>
      </c>
      <c r="L31" s="54" t="e">
        <f>IF(AND('Mapa final'!#REF!="Media",'Mapa final'!#REF!="Leve"),CONCATENATE("R6C",'Mapa final'!#REF!),"")</f>
        <v>#REF!</v>
      </c>
      <c r="M31" s="54" t="e">
        <f>IF(AND('Mapa final'!#REF!="Media",'Mapa final'!#REF!="Leve"),CONCATENATE("R6C",'Mapa final'!#REF!),"")</f>
        <v>#REF!</v>
      </c>
      <c r="N31" s="54" t="e">
        <f>IF(AND('Mapa final'!#REF!="Media",'Mapa final'!#REF!="Leve"),CONCATENATE("R6C",'Mapa final'!#REF!),"")</f>
        <v>#REF!</v>
      </c>
      <c r="O31" s="55" t="e">
        <f>IF(AND('Mapa final'!#REF!="Media",'Mapa final'!#REF!="Leve"),CONCATENATE("R6C",'Mapa final'!#REF!),"")</f>
        <v>#REF!</v>
      </c>
      <c r="P31" s="53" t="str">
        <f ca="1">IF(AND('Mapa final'!$AG$25="Media",'Mapa final'!$AI$25="Menor"),CONCATENATE("R6C",'Mapa final'!$W$25),"")</f>
        <v/>
      </c>
      <c r="Q31" s="54" t="str">
        <f ca="1">IF(AND('Mapa final'!$AG$26="Media",'Mapa final'!$AI$26="Menor"),CONCATENATE("R6C",'Mapa final'!$W$26),"")</f>
        <v/>
      </c>
      <c r="R31" s="54" t="e">
        <f>IF(AND('Mapa final'!#REF!="Media",'Mapa final'!#REF!="Menor"),CONCATENATE("R6C",'Mapa final'!#REF!),"")</f>
        <v>#REF!</v>
      </c>
      <c r="S31" s="54" t="e">
        <f>IF(AND('Mapa final'!#REF!="Media",'Mapa final'!#REF!="Menor"),CONCATENATE("R6C",'Mapa final'!#REF!),"")</f>
        <v>#REF!</v>
      </c>
      <c r="T31" s="54" t="e">
        <f>IF(AND('Mapa final'!#REF!="Media",'Mapa final'!#REF!="Menor"),CONCATENATE("R6C",'Mapa final'!#REF!),"")</f>
        <v>#REF!</v>
      </c>
      <c r="U31" s="55" t="e">
        <f>IF(AND('Mapa final'!#REF!="Media",'Mapa final'!#REF!="Menor"),CONCATENATE("R6C",'Mapa final'!#REF!),"")</f>
        <v>#REF!</v>
      </c>
      <c r="V31" s="53" t="str">
        <f ca="1">IF(AND('Mapa final'!$AG$25="Media",'Mapa final'!$AI$25="Moderado"),CONCATENATE("R6C",'Mapa final'!$W$25),"")</f>
        <v/>
      </c>
      <c r="W31" s="54" t="str">
        <f ca="1">IF(AND('Mapa final'!$AG$26="Media",'Mapa final'!$AI$26="Moderado"),CONCATENATE("R6C",'Mapa final'!$W$26),"")</f>
        <v/>
      </c>
      <c r="X31" s="54" t="e">
        <f>IF(AND('Mapa final'!#REF!="Media",'Mapa final'!#REF!="Moderado"),CONCATENATE("R6C",'Mapa final'!#REF!),"")</f>
        <v>#REF!</v>
      </c>
      <c r="Y31" s="54" t="e">
        <f>IF(AND('Mapa final'!#REF!="Media",'Mapa final'!#REF!="Moderado"),CONCATENATE("R6C",'Mapa final'!#REF!),"")</f>
        <v>#REF!</v>
      </c>
      <c r="Z31" s="54" t="e">
        <f>IF(AND('Mapa final'!#REF!="Media",'Mapa final'!#REF!="Moderado"),CONCATENATE("R6C",'Mapa final'!#REF!),"")</f>
        <v>#REF!</v>
      </c>
      <c r="AA31" s="55" t="e">
        <f>IF(AND('Mapa final'!#REF!="Media",'Mapa final'!#REF!="Moderado"),CONCATENATE("R6C",'Mapa final'!#REF!),"")</f>
        <v>#REF!</v>
      </c>
      <c r="AB31" s="38" t="str">
        <f ca="1">IF(AND('Mapa final'!$AG$25="Media",'Mapa final'!$AI$25="Mayor"),CONCATENATE("R6C",'Mapa final'!$W$25),"")</f>
        <v/>
      </c>
      <c r="AC31" s="39" t="str">
        <f ca="1">IF(AND('Mapa final'!$AG$26="Media",'Mapa final'!$AI$26="Mayor"),CONCATENATE("R6C",'Mapa final'!$W$26),"")</f>
        <v/>
      </c>
      <c r="AD31" s="39" t="e">
        <f>IF(AND('Mapa final'!#REF!="Media",'Mapa final'!#REF!="Mayor"),CONCATENATE("R6C",'Mapa final'!#REF!),"")</f>
        <v>#REF!</v>
      </c>
      <c r="AE31" s="39" t="e">
        <f>IF(AND('Mapa final'!#REF!="Media",'Mapa final'!#REF!="Mayor"),CONCATENATE("R6C",'Mapa final'!#REF!),"")</f>
        <v>#REF!</v>
      </c>
      <c r="AF31" s="39" t="e">
        <f>IF(AND('Mapa final'!#REF!="Media",'Mapa final'!#REF!="Mayor"),CONCATENATE("R6C",'Mapa final'!#REF!),"")</f>
        <v>#REF!</v>
      </c>
      <c r="AG31" s="40" t="e">
        <f>IF(AND('Mapa final'!#REF!="Media",'Mapa final'!#REF!="Mayor"),CONCATENATE("R6C",'Mapa final'!#REF!),"")</f>
        <v>#REF!</v>
      </c>
      <c r="AH31" s="41" t="str">
        <f ca="1">IF(AND('Mapa final'!$AG$25="Media",'Mapa final'!$AI$25="Catastrófico"),CONCATENATE("R6C",'Mapa final'!$W$25),"")</f>
        <v/>
      </c>
      <c r="AI31" s="42" t="str">
        <f ca="1">IF(AND('Mapa final'!$AG$26="Media",'Mapa final'!$AI$26="Catastrófico"),CONCATENATE("R6C",'Mapa final'!$W$26),"")</f>
        <v/>
      </c>
      <c r="AJ31" s="42" t="e">
        <f>IF(AND('Mapa final'!#REF!="Media",'Mapa final'!#REF!="Catastrófico"),CONCATENATE("R6C",'Mapa final'!#REF!),"")</f>
        <v>#REF!</v>
      </c>
      <c r="AK31" s="42" t="e">
        <f>IF(AND('Mapa final'!#REF!="Media",'Mapa final'!#REF!="Catastrófico"),CONCATENATE("R6C",'Mapa final'!#REF!),"")</f>
        <v>#REF!</v>
      </c>
      <c r="AL31" s="42" t="e">
        <f>IF(AND('Mapa final'!#REF!="Media",'Mapa final'!#REF!="Catastrófico"),CONCATENATE("R6C",'Mapa final'!#REF!),"")</f>
        <v>#REF!</v>
      </c>
      <c r="AM31" s="43" t="e">
        <f>IF(AND('Mapa final'!#REF!="Media",'Mapa final'!#REF!="Catastrófico"),CONCATENATE("R6C",'Mapa final'!#REF!),"")</f>
        <v>#REF!</v>
      </c>
      <c r="AN31" s="69"/>
      <c r="AO31" s="635"/>
      <c r="AP31" s="636"/>
      <c r="AQ31" s="636"/>
      <c r="AR31" s="636"/>
      <c r="AS31" s="636"/>
      <c r="AT31" s="637"/>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18"/>
      <c r="C32" s="518"/>
      <c r="D32" s="519"/>
      <c r="E32" s="599"/>
      <c r="F32" s="597"/>
      <c r="G32" s="597"/>
      <c r="H32" s="597"/>
      <c r="I32" s="598"/>
      <c r="J32" s="53" t="str">
        <f ca="1">IF(AND('Mapa final'!$AG$27="Media",'Mapa final'!$AI$27="Leve"),CONCATENATE("R7C",'Mapa final'!$W$27),"")</f>
        <v/>
      </c>
      <c r="K32" s="54" t="str">
        <f ca="1">IF(AND('Mapa final'!$AG$28="Media",'Mapa final'!$AI$28="Leve"),CONCATENATE("R7C",'Mapa final'!$W$28),"")</f>
        <v/>
      </c>
      <c r="L32" s="54" t="e">
        <f>IF(AND('Mapa final'!#REF!="Media",'Mapa final'!#REF!="Leve"),CONCATENATE("R7C",'Mapa final'!#REF!),"")</f>
        <v>#REF!</v>
      </c>
      <c r="M32" s="54" t="e">
        <f>IF(AND('Mapa final'!#REF!="Media",'Mapa final'!#REF!="Leve"),CONCATENATE("R7C",'Mapa final'!#REF!),"")</f>
        <v>#REF!</v>
      </c>
      <c r="N32" s="54" t="e">
        <f>IF(AND('Mapa final'!#REF!="Media",'Mapa final'!#REF!="Leve"),CONCATENATE("R7C",'Mapa final'!#REF!),"")</f>
        <v>#REF!</v>
      </c>
      <c r="O32" s="55" t="e">
        <f>IF(AND('Mapa final'!#REF!="Media",'Mapa final'!#REF!="Leve"),CONCATENATE("R7C",'Mapa final'!#REF!),"")</f>
        <v>#REF!</v>
      </c>
      <c r="P32" s="53" t="str">
        <f ca="1">IF(AND('Mapa final'!$AG$27="Media",'Mapa final'!$AI$27="Menor"),CONCATENATE("R7C",'Mapa final'!$W$27),"")</f>
        <v/>
      </c>
      <c r="Q32" s="54" t="str">
        <f ca="1">IF(AND('Mapa final'!$AG$28="Media",'Mapa final'!$AI$28="Menor"),CONCATENATE("R7C",'Mapa final'!$W$28),"")</f>
        <v/>
      </c>
      <c r="R32" s="54" t="e">
        <f>IF(AND('Mapa final'!#REF!="Media",'Mapa final'!#REF!="Menor"),CONCATENATE("R7C",'Mapa final'!#REF!),"")</f>
        <v>#REF!</v>
      </c>
      <c r="S32" s="54" t="e">
        <f>IF(AND('Mapa final'!#REF!="Media",'Mapa final'!#REF!="Menor"),CONCATENATE("R7C",'Mapa final'!#REF!),"")</f>
        <v>#REF!</v>
      </c>
      <c r="T32" s="54" t="e">
        <f>IF(AND('Mapa final'!#REF!="Media",'Mapa final'!#REF!="Menor"),CONCATENATE("R7C",'Mapa final'!#REF!),"")</f>
        <v>#REF!</v>
      </c>
      <c r="U32" s="55" t="e">
        <f>IF(AND('Mapa final'!#REF!="Media",'Mapa final'!#REF!="Menor"),CONCATENATE("R7C",'Mapa final'!#REF!),"")</f>
        <v>#REF!</v>
      </c>
      <c r="V32" s="53" t="str">
        <f ca="1">IF(AND('Mapa final'!$AG$27="Media",'Mapa final'!$AI$27="Moderado"),CONCATENATE("R7C",'Mapa final'!$W$27),"")</f>
        <v/>
      </c>
      <c r="W32" s="54" t="str">
        <f ca="1">IF(AND('Mapa final'!$AG$28="Media",'Mapa final'!$AI$28="Moderado"),CONCATENATE("R7C",'Mapa final'!$W$28),"")</f>
        <v/>
      </c>
      <c r="X32" s="54" t="e">
        <f>IF(AND('Mapa final'!#REF!="Media",'Mapa final'!#REF!="Moderado"),CONCATENATE("R7C",'Mapa final'!#REF!),"")</f>
        <v>#REF!</v>
      </c>
      <c r="Y32" s="54" t="e">
        <f>IF(AND('Mapa final'!#REF!="Media",'Mapa final'!#REF!="Moderado"),CONCATENATE("R7C",'Mapa final'!#REF!),"")</f>
        <v>#REF!</v>
      </c>
      <c r="Z32" s="54" t="e">
        <f>IF(AND('Mapa final'!#REF!="Media",'Mapa final'!#REF!="Moderado"),CONCATENATE("R7C",'Mapa final'!#REF!),"")</f>
        <v>#REF!</v>
      </c>
      <c r="AA32" s="55" t="e">
        <f>IF(AND('Mapa final'!#REF!="Media",'Mapa final'!#REF!="Moderado"),CONCATENATE("R7C",'Mapa final'!#REF!),"")</f>
        <v>#REF!</v>
      </c>
      <c r="AB32" s="38" t="str">
        <f ca="1">IF(AND('Mapa final'!$AG$27="Media",'Mapa final'!$AI$27="Mayor"),CONCATENATE("R7C",'Mapa final'!$W$27),"")</f>
        <v/>
      </c>
      <c r="AC32" s="39" t="str">
        <f ca="1">IF(AND('Mapa final'!$AG$28="Media",'Mapa final'!$AI$28="Mayor"),CONCATENATE("R7C",'Mapa final'!$W$28),"")</f>
        <v/>
      </c>
      <c r="AD32" s="39" t="e">
        <f>IF(AND('Mapa final'!#REF!="Media",'Mapa final'!#REF!="Mayor"),CONCATENATE("R7C",'Mapa final'!#REF!),"")</f>
        <v>#REF!</v>
      </c>
      <c r="AE32" s="39" t="e">
        <f>IF(AND('Mapa final'!#REF!="Media",'Mapa final'!#REF!="Mayor"),CONCATENATE("R7C",'Mapa final'!#REF!),"")</f>
        <v>#REF!</v>
      </c>
      <c r="AF32" s="39" t="e">
        <f>IF(AND('Mapa final'!#REF!="Media",'Mapa final'!#REF!="Mayor"),CONCATENATE("R7C",'Mapa final'!#REF!),"")</f>
        <v>#REF!</v>
      </c>
      <c r="AG32" s="40" t="e">
        <f>IF(AND('Mapa final'!#REF!="Media",'Mapa final'!#REF!="Mayor"),CONCATENATE("R7C",'Mapa final'!#REF!),"")</f>
        <v>#REF!</v>
      </c>
      <c r="AH32" s="41" t="str">
        <f ca="1">IF(AND('Mapa final'!$AG$27="Media",'Mapa final'!$AI$27="Catastrófico"),CONCATENATE("R7C",'Mapa final'!$W$27),"")</f>
        <v/>
      </c>
      <c r="AI32" s="42" t="str">
        <f ca="1">IF(AND('Mapa final'!$AG$28="Media",'Mapa final'!$AI$28="Catastrófico"),CONCATENATE("R7C",'Mapa final'!$W$28),"")</f>
        <v/>
      </c>
      <c r="AJ32" s="42" t="e">
        <f>IF(AND('Mapa final'!#REF!="Media",'Mapa final'!#REF!="Catastrófico"),CONCATENATE("R7C",'Mapa final'!#REF!),"")</f>
        <v>#REF!</v>
      </c>
      <c r="AK32" s="42" t="e">
        <f>IF(AND('Mapa final'!#REF!="Media",'Mapa final'!#REF!="Catastrófico"),CONCATENATE("R7C",'Mapa final'!#REF!),"")</f>
        <v>#REF!</v>
      </c>
      <c r="AL32" s="42" t="e">
        <f>IF(AND('Mapa final'!#REF!="Media",'Mapa final'!#REF!="Catastrófico"),CONCATENATE("R7C",'Mapa final'!#REF!),"")</f>
        <v>#REF!</v>
      </c>
      <c r="AM32" s="43" t="e">
        <f>IF(AND('Mapa final'!#REF!="Media",'Mapa final'!#REF!="Catastrófico"),CONCATENATE("R7C",'Mapa final'!#REF!),"")</f>
        <v>#REF!</v>
      </c>
      <c r="AN32" s="69"/>
      <c r="AO32" s="635"/>
      <c r="AP32" s="636"/>
      <c r="AQ32" s="636"/>
      <c r="AR32" s="636"/>
      <c r="AS32" s="636"/>
      <c r="AT32" s="637"/>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18"/>
      <c r="C33" s="518"/>
      <c r="D33" s="519"/>
      <c r="E33" s="599"/>
      <c r="F33" s="597"/>
      <c r="G33" s="597"/>
      <c r="H33" s="597"/>
      <c r="I33" s="598"/>
      <c r="J33" s="53" t="str">
        <f ca="1">IF(AND('Mapa final'!$AG$29="Media",'Mapa final'!$AI$29="Leve"),CONCATENATE("R8C",'Mapa final'!$W$29),"")</f>
        <v/>
      </c>
      <c r="K33" s="54" t="str">
        <f ca="1">IF(AND('Mapa final'!$AG$30="Media",'Mapa final'!$AI$30="Leve"),CONCATENATE("R8C",'Mapa final'!$W$30),"")</f>
        <v/>
      </c>
      <c r="L33" s="54" t="str">
        <f ca="1">IF(AND('Mapa final'!$AG$31="Media",'Mapa final'!$AI$31="Leve"),CONCATENATE("R8C",'Mapa final'!$W$31),"")</f>
        <v/>
      </c>
      <c r="M33" s="54" t="str">
        <f ca="1">IF(AND('Mapa final'!$AG$32="Media",'Mapa final'!$AI$32="Leve"),CONCATENATE("R8C",'Mapa final'!$W$32),"")</f>
        <v/>
      </c>
      <c r="N33" s="54" t="e">
        <f>IF(AND('Mapa final'!#REF!="Media",'Mapa final'!#REF!="Leve"),CONCATENATE("R8C",'Mapa final'!#REF!),"")</f>
        <v>#REF!</v>
      </c>
      <c r="O33" s="55" t="e">
        <f>IF(AND('Mapa final'!#REF!="Media",'Mapa final'!#REF!="Leve"),CONCATENATE("R8C",'Mapa final'!#REF!),"")</f>
        <v>#REF!</v>
      </c>
      <c r="P33" s="53" t="str">
        <f ca="1">IF(AND('Mapa final'!$AG$29="Media",'Mapa final'!$AI$29="Menor"),CONCATENATE("R8C",'Mapa final'!$W$29),"")</f>
        <v/>
      </c>
      <c r="Q33" s="54" t="str">
        <f ca="1">IF(AND('Mapa final'!$AG$30="Media",'Mapa final'!$AI$30="Menor"),CONCATENATE("R8C",'Mapa final'!$W$30),"")</f>
        <v/>
      </c>
      <c r="R33" s="54" t="str">
        <f ca="1">IF(AND('Mapa final'!$AG$31="Media",'Mapa final'!$AI$31="Menor"),CONCATENATE("R8C",'Mapa final'!$W$31),"")</f>
        <v/>
      </c>
      <c r="S33" s="54" t="str">
        <f ca="1">IF(AND('Mapa final'!$AG$32="Media",'Mapa final'!$AI$32="Menor"),CONCATENATE("R8C",'Mapa final'!$W$32),"")</f>
        <v/>
      </c>
      <c r="T33" s="54" t="e">
        <f>IF(AND('Mapa final'!#REF!="Media",'Mapa final'!#REF!="Menor"),CONCATENATE("R8C",'Mapa final'!#REF!),"")</f>
        <v>#REF!</v>
      </c>
      <c r="U33" s="55" t="e">
        <f>IF(AND('Mapa final'!#REF!="Media",'Mapa final'!#REF!="Menor"),CONCATENATE("R8C",'Mapa final'!#REF!),"")</f>
        <v>#REF!</v>
      </c>
      <c r="V33" s="53" t="str">
        <f ca="1">IF(AND('Mapa final'!$AG$29="Media",'Mapa final'!$AI$29="Moderado"),CONCATENATE("R8C",'Mapa final'!$W$29),"")</f>
        <v>R8C1</v>
      </c>
      <c r="W33" s="54" t="str">
        <f ca="1">IF(AND('Mapa final'!$AG$30="Media",'Mapa final'!$AI$30="Moderado"),CONCATENATE("R8C",'Mapa final'!$W$30),"")</f>
        <v/>
      </c>
      <c r="X33" s="54" t="str">
        <f ca="1">IF(AND('Mapa final'!$AG$31="Media",'Mapa final'!$AI$31="Moderado"),CONCATENATE("R8C",'Mapa final'!$W$31),"")</f>
        <v/>
      </c>
      <c r="Y33" s="54" t="str">
        <f ca="1">IF(AND('Mapa final'!$AG$32="Media",'Mapa final'!$AI$32="Moderado"),CONCATENATE("R8C",'Mapa final'!$W$32),"")</f>
        <v/>
      </c>
      <c r="Z33" s="54" t="e">
        <f>IF(AND('Mapa final'!#REF!="Media",'Mapa final'!#REF!="Moderado"),CONCATENATE("R8C",'Mapa final'!#REF!),"")</f>
        <v>#REF!</v>
      </c>
      <c r="AA33" s="55" t="e">
        <f>IF(AND('Mapa final'!#REF!="Media",'Mapa final'!#REF!="Moderado"),CONCATENATE("R8C",'Mapa final'!#REF!),"")</f>
        <v>#REF!</v>
      </c>
      <c r="AB33" s="38" t="str">
        <f ca="1">IF(AND('Mapa final'!$AG$29="Media",'Mapa final'!$AI$29="Mayor"),CONCATENATE("R8C",'Mapa final'!$W$29),"")</f>
        <v/>
      </c>
      <c r="AC33" s="39" t="str">
        <f ca="1">IF(AND('Mapa final'!$AG$30="Media",'Mapa final'!$AI$30="Mayor"),CONCATENATE("R8C",'Mapa final'!$W$30),"")</f>
        <v/>
      </c>
      <c r="AD33" s="39" t="str">
        <f ca="1">IF(AND('Mapa final'!$AG$31="Media",'Mapa final'!$AI$31="Mayor"),CONCATENATE("R8C",'Mapa final'!$W$31),"")</f>
        <v/>
      </c>
      <c r="AE33" s="39" t="str">
        <f ca="1">IF(AND('Mapa final'!$AG$32="Media",'Mapa final'!$AI$32="Mayor"),CONCATENATE("R8C",'Mapa final'!$W$32),"")</f>
        <v/>
      </c>
      <c r="AF33" s="39" t="e">
        <f>IF(AND('Mapa final'!#REF!="Media",'Mapa final'!#REF!="Mayor"),CONCATENATE("R8C",'Mapa final'!#REF!),"")</f>
        <v>#REF!</v>
      </c>
      <c r="AG33" s="40" t="e">
        <f>IF(AND('Mapa final'!#REF!="Media",'Mapa final'!#REF!="Mayor"),CONCATENATE("R8C",'Mapa final'!#REF!),"")</f>
        <v>#REF!</v>
      </c>
      <c r="AH33" s="41" t="str">
        <f ca="1">IF(AND('Mapa final'!$AG$29="Media",'Mapa final'!$AI$29="Catastrófico"),CONCATENATE("R8C",'Mapa final'!$W$29),"")</f>
        <v/>
      </c>
      <c r="AI33" s="42" t="str">
        <f ca="1">IF(AND('Mapa final'!$AG$30="Media",'Mapa final'!$AI$30="Catastrófico"),CONCATENATE("R8C",'Mapa final'!$W$30),"")</f>
        <v/>
      </c>
      <c r="AJ33" s="42" t="str">
        <f ca="1">IF(AND('Mapa final'!$AG$31="Media",'Mapa final'!$AI$31="Catastrófico"),CONCATENATE("R8C",'Mapa final'!$W$31),"")</f>
        <v/>
      </c>
      <c r="AK33" s="42" t="str">
        <f ca="1">IF(AND('Mapa final'!$AG$32="Media",'Mapa final'!$AI$32="Catastrófico"),CONCATENATE("R8C",'Mapa final'!$W$32),"")</f>
        <v/>
      </c>
      <c r="AL33" s="42" t="e">
        <f>IF(AND('Mapa final'!#REF!="Media",'Mapa final'!#REF!="Catastrófico"),CONCATENATE("R8C",'Mapa final'!#REF!),"")</f>
        <v>#REF!</v>
      </c>
      <c r="AM33" s="43" t="e">
        <f>IF(AND('Mapa final'!#REF!="Media",'Mapa final'!#REF!="Catastrófico"),CONCATENATE("R8C",'Mapa final'!#REF!),"")</f>
        <v>#REF!</v>
      </c>
      <c r="AN33" s="69"/>
      <c r="AO33" s="635"/>
      <c r="AP33" s="636"/>
      <c r="AQ33" s="636"/>
      <c r="AR33" s="636"/>
      <c r="AS33" s="636"/>
      <c r="AT33" s="637"/>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18"/>
      <c r="C34" s="518"/>
      <c r="D34" s="519"/>
      <c r="E34" s="599"/>
      <c r="F34" s="597"/>
      <c r="G34" s="597"/>
      <c r="H34" s="597"/>
      <c r="I34" s="598"/>
      <c r="J34" s="53" t="str">
        <f ca="1">IF(AND('Mapa final'!$AG$33="Media",'Mapa final'!$AI$33="Leve"),CONCATENATE("R9C",'Mapa final'!$W$33),"")</f>
        <v/>
      </c>
      <c r="K34" s="54" t="str">
        <f ca="1">IF(AND('Mapa final'!$AG$34="Media",'Mapa final'!$AI$34="Leve"),CONCATENATE("R9C",'Mapa final'!$W$34),"")</f>
        <v/>
      </c>
      <c r="L34" s="54" t="str">
        <f ca="1">IF(AND('Mapa final'!$AG$35="Media",'Mapa final'!$AI$35="Leve"),CONCATENATE("R9C",'Mapa final'!$W$35),"")</f>
        <v/>
      </c>
      <c r="M34" s="54" t="str">
        <f ca="1">IF(AND('Mapa final'!$AG$36="Media",'Mapa final'!$AI$36="Leve"),CONCATENATE("R9C",'Mapa final'!$W$36),"")</f>
        <v/>
      </c>
      <c r="N34" s="54" t="str">
        <f ca="1">IF(AND('Mapa final'!$AG$37="Media",'Mapa final'!$AI$37="Leve"),CONCATENATE("R9C",'Mapa final'!$W$37),"")</f>
        <v/>
      </c>
      <c r="O34" s="55" t="e">
        <f>IF(AND('Mapa final'!#REF!="Media",'Mapa final'!#REF!="Leve"),CONCATENATE("R9C",'Mapa final'!#REF!),"")</f>
        <v>#REF!</v>
      </c>
      <c r="P34" s="53" t="str">
        <f ca="1">IF(AND('Mapa final'!$AG$33="Media",'Mapa final'!$AI$33="Menor"),CONCATENATE("R9C",'Mapa final'!$W$33),"")</f>
        <v/>
      </c>
      <c r="Q34" s="54" t="str">
        <f ca="1">IF(AND('Mapa final'!$AG$34="Media",'Mapa final'!$AI$34="Menor"),CONCATENATE("R9C",'Mapa final'!$W$34),"")</f>
        <v/>
      </c>
      <c r="R34" s="54" t="str">
        <f ca="1">IF(AND('Mapa final'!$AG$35="Media",'Mapa final'!$AI$35="Menor"),CONCATENATE("R9C",'Mapa final'!$W$35),"")</f>
        <v/>
      </c>
      <c r="S34" s="54" t="str">
        <f ca="1">IF(AND('Mapa final'!$AG$36="Media",'Mapa final'!$AI$36="Menor"),CONCATENATE("R9C",'Mapa final'!$W$36),"")</f>
        <v/>
      </c>
      <c r="T34" s="54" t="str">
        <f ca="1">IF(AND('Mapa final'!$AG$37="Media",'Mapa final'!$AI$37="Menor"),CONCATENATE("R9C",'Mapa final'!$W$37),"")</f>
        <v/>
      </c>
      <c r="U34" s="55" t="e">
        <f>IF(AND('Mapa final'!#REF!="Media",'Mapa final'!#REF!="Menor"),CONCATENATE("R9C",'Mapa final'!#REF!),"")</f>
        <v>#REF!</v>
      </c>
      <c r="V34" s="53" t="str">
        <f ca="1">IF(AND('Mapa final'!$AG$33="Media",'Mapa final'!$AI$33="Moderado"),CONCATENATE("R9C",'Mapa final'!$W$33),"")</f>
        <v/>
      </c>
      <c r="W34" s="54" t="str">
        <f ca="1">IF(AND('Mapa final'!$AG$34="Media",'Mapa final'!$AI$34="Moderado"),CONCATENATE("R9C",'Mapa final'!$W$34),"")</f>
        <v/>
      </c>
      <c r="X34" s="54" t="str">
        <f ca="1">IF(AND('Mapa final'!$AG$35="Media",'Mapa final'!$AI$35="Moderado"),CONCATENATE("R9C",'Mapa final'!$W$35),"")</f>
        <v/>
      </c>
      <c r="Y34" s="54" t="str">
        <f ca="1">IF(AND('Mapa final'!$AG$36="Media",'Mapa final'!$AI$36="Moderado"),CONCATENATE("R9C",'Mapa final'!$W$36),"")</f>
        <v/>
      </c>
      <c r="Z34" s="54" t="str">
        <f ca="1">IF(AND('Mapa final'!$AG$37="Media",'Mapa final'!$AI$37="Moderado"),CONCATENATE("R9C",'Mapa final'!$W$37),"")</f>
        <v/>
      </c>
      <c r="AA34" s="55" t="e">
        <f>IF(AND('Mapa final'!#REF!="Media",'Mapa final'!#REF!="Moderado"),CONCATENATE("R9C",'Mapa final'!#REF!),"")</f>
        <v>#REF!</v>
      </c>
      <c r="AB34" s="38" t="str">
        <f ca="1">IF(AND('Mapa final'!$AG$33="Media",'Mapa final'!$AI$33="Mayor"),CONCATENATE("R9C",'Mapa final'!$W$33),"")</f>
        <v/>
      </c>
      <c r="AC34" s="39" t="str">
        <f ca="1">IF(AND('Mapa final'!$AG$34="Media",'Mapa final'!$AI$34="Mayor"),CONCATENATE("R9C",'Mapa final'!$W$34),"")</f>
        <v/>
      </c>
      <c r="AD34" s="39" t="str">
        <f ca="1">IF(AND('Mapa final'!$AG$35="Media",'Mapa final'!$AI$35="Mayor"),CONCATENATE("R9C",'Mapa final'!$W$35),"")</f>
        <v/>
      </c>
      <c r="AE34" s="39" t="str">
        <f ca="1">IF(AND('Mapa final'!$AG$36="Media",'Mapa final'!$AI$36="Mayor"),CONCATENATE("R9C",'Mapa final'!$W$36),"")</f>
        <v/>
      </c>
      <c r="AF34" s="39" t="str">
        <f ca="1">IF(AND('Mapa final'!$AG$37="Media",'Mapa final'!$AI$37="Mayor"),CONCATENATE("R9C",'Mapa final'!$W$37),"")</f>
        <v/>
      </c>
      <c r="AG34" s="40" t="e">
        <f>IF(AND('Mapa final'!#REF!="Media",'Mapa final'!#REF!="Mayor"),CONCATENATE("R9C",'Mapa final'!#REF!),"")</f>
        <v>#REF!</v>
      </c>
      <c r="AH34" s="41" t="str">
        <f ca="1">IF(AND('Mapa final'!$AG$33="Media",'Mapa final'!$AI$33="Catastrófico"),CONCATENATE("R9C",'Mapa final'!$W$33),"")</f>
        <v/>
      </c>
      <c r="AI34" s="42" t="str">
        <f ca="1">IF(AND('Mapa final'!$AG$34="Media",'Mapa final'!$AI$34="Catastrófico"),CONCATENATE("R9C",'Mapa final'!$W$34),"")</f>
        <v/>
      </c>
      <c r="AJ34" s="42" t="str">
        <f ca="1">IF(AND('Mapa final'!$AG$35="Media",'Mapa final'!$AI$35="Catastrófico"),CONCATENATE("R9C",'Mapa final'!$W$35),"")</f>
        <v/>
      </c>
      <c r="AK34" s="42" t="str">
        <f ca="1">IF(AND('Mapa final'!$AG$36="Media",'Mapa final'!$AI$36="Catastrófico"),CONCATENATE("R9C",'Mapa final'!$W$36),"")</f>
        <v/>
      </c>
      <c r="AL34" s="42" t="str">
        <f ca="1">IF(AND('Mapa final'!$AG$37="Media",'Mapa final'!$AI$37="Catastrófico"),CONCATENATE("R9C",'Mapa final'!$W$37),"")</f>
        <v/>
      </c>
      <c r="AM34" s="43" t="e">
        <f>IF(AND('Mapa final'!#REF!="Media",'Mapa final'!#REF!="Catastrófico"),CONCATENATE("R9C",'Mapa final'!#REF!),"")</f>
        <v>#REF!</v>
      </c>
      <c r="AN34" s="69"/>
      <c r="AO34" s="635"/>
      <c r="AP34" s="636"/>
      <c r="AQ34" s="636"/>
      <c r="AR34" s="636"/>
      <c r="AS34" s="636"/>
      <c r="AT34" s="637"/>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18"/>
      <c r="C35" s="518"/>
      <c r="D35" s="519"/>
      <c r="E35" s="600"/>
      <c r="F35" s="601"/>
      <c r="G35" s="601"/>
      <c r="H35" s="601"/>
      <c r="I35" s="602"/>
      <c r="J35" s="53" t="str">
        <f ca="1">IF(AND('Mapa final'!$AG$38="Media",'Mapa final'!$AI$38="Leve"),CONCATENATE("R10C",'Mapa final'!$W$38),"")</f>
        <v/>
      </c>
      <c r="K35" s="54" t="str">
        <f ca="1">IF(AND('Mapa final'!$AG$39="Media",'Mapa final'!$AI$39="Leve"),CONCATENATE("R10C",'Mapa final'!$W$39),"")</f>
        <v/>
      </c>
      <c r="L35" s="54" t="e">
        <f>IF(AND('Mapa final'!#REF!="Media",'Mapa final'!#REF!="Leve"),CONCATENATE("R10C",'Mapa final'!#REF!),"")</f>
        <v>#REF!</v>
      </c>
      <c r="M35" s="54" t="e">
        <f>IF(AND('Mapa final'!#REF!="Media",'Mapa final'!#REF!="Leve"),CONCATENATE("R10C",'Mapa final'!#REF!),"")</f>
        <v>#REF!</v>
      </c>
      <c r="N35" s="54" t="e">
        <f>IF(AND('Mapa final'!#REF!="Media",'Mapa final'!#REF!="Leve"),CONCATENATE("R10C",'Mapa final'!#REF!),"")</f>
        <v>#REF!</v>
      </c>
      <c r="O35" s="55" t="e">
        <f>IF(AND('Mapa final'!#REF!="Media",'Mapa final'!#REF!="Leve"),CONCATENATE("R10C",'Mapa final'!#REF!),"")</f>
        <v>#REF!</v>
      </c>
      <c r="P35" s="53" t="str">
        <f ca="1">IF(AND('Mapa final'!$AG$38="Media",'Mapa final'!$AI$38="Menor"),CONCATENATE("R10C",'Mapa final'!$W$38),"")</f>
        <v/>
      </c>
      <c r="Q35" s="54" t="str">
        <f ca="1">IF(AND('Mapa final'!$AG$39="Media",'Mapa final'!$AI$39="Menor"),CONCATENATE("R10C",'Mapa final'!$W$39),"")</f>
        <v/>
      </c>
      <c r="R35" s="54" t="e">
        <f>IF(AND('Mapa final'!#REF!="Media",'Mapa final'!#REF!="Menor"),CONCATENATE("R10C",'Mapa final'!#REF!),"")</f>
        <v>#REF!</v>
      </c>
      <c r="S35" s="54" t="e">
        <f>IF(AND('Mapa final'!#REF!="Media",'Mapa final'!#REF!="Menor"),CONCATENATE("R10C",'Mapa final'!#REF!),"")</f>
        <v>#REF!</v>
      </c>
      <c r="T35" s="54" t="e">
        <f>IF(AND('Mapa final'!#REF!="Media",'Mapa final'!#REF!="Menor"),CONCATENATE("R10C",'Mapa final'!#REF!),"")</f>
        <v>#REF!</v>
      </c>
      <c r="U35" s="55" t="e">
        <f>IF(AND('Mapa final'!#REF!="Media",'Mapa final'!#REF!="Menor"),CONCATENATE("R10C",'Mapa final'!#REF!),"")</f>
        <v>#REF!</v>
      </c>
      <c r="V35" s="53" t="str">
        <f ca="1">IF(AND('Mapa final'!$AG$38="Media",'Mapa final'!$AI$38="Moderado"),CONCATENATE("R10C",'Mapa final'!$W$38),"")</f>
        <v/>
      </c>
      <c r="W35" s="54" t="str">
        <f ca="1">IF(AND('Mapa final'!$AG$39="Media",'Mapa final'!$AI$39="Moderado"),CONCATENATE("R10C",'Mapa final'!$W$39),"")</f>
        <v/>
      </c>
      <c r="X35" s="54" t="e">
        <f>IF(AND('Mapa final'!#REF!="Media",'Mapa final'!#REF!="Moderado"),CONCATENATE("R10C",'Mapa final'!#REF!),"")</f>
        <v>#REF!</v>
      </c>
      <c r="Y35" s="54" t="e">
        <f>IF(AND('Mapa final'!#REF!="Media",'Mapa final'!#REF!="Moderado"),CONCATENATE("R10C",'Mapa final'!#REF!),"")</f>
        <v>#REF!</v>
      </c>
      <c r="Z35" s="54" t="e">
        <f>IF(AND('Mapa final'!#REF!="Media",'Mapa final'!#REF!="Moderado"),CONCATENATE("R10C",'Mapa final'!#REF!),"")</f>
        <v>#REF!</v>
      </c>
      <c r="AA35" s="55" t="e">
        <f>IF(AND('Mapa final'!#REF!="Media",'Mapa final'!#REF!="Moderado"),CONCATENATE("R10C",'Mapa final'!#REF!),"")</f>
        <v>#REF!</v>
      </c>
      <c r="AB35" s="44" t="str">
        <f ca="1">IF(AND('Mapa final'!$AG$38="Media",'Mapa final'!$AI$38="Mayor"),CONCATENATE("R10C",'Mapa final'!$W$38),"")</f>
        <v>R10C1</v>
      </c>
      <c r="AC35" s="45" t="str">
        <f ca="1">IF(AND('Mapa final'!$AG$39="Media",'Mapa final'!$AI$39="Mayor"),CONCATENATE("R10C",'Mapa final'!$W$39),"")</f>
        <v/>
      </c>
      <c r="AD35" s="45" t="e">
        <f>IF(AND('Mapa final'!#REF!="Media",'Mapa final'!#REF!="Mayor"),CONCATENATE("R10C",'Mapa final'!#REF!),"")</f>
        <v>#REF!</v>
      </c>
      <c r="AE35" s="45" t="e">
        <f>IF(AND('Mapa final'!#REF!="Media",'Mapa final'!#REF!="Mayor"),CONCATENATE("R10C",'Mapa final'!#REF!),"")</f>
        <v>#REF!</v>
      </c>
      <c r="AF35" s="45" t="e">
        <f>IF(AND('Mapa final'!#REF!="Media",'Mapa final'!#REF!="Mayor"),CONCATENATE("R10C",'Mapa final'!#REF!),"")</f>
        <v>#REF!</v>
      </c>
      <c r="AG35" s="46" t="e">
        <f>IF(AND('Mapa final'!#REF!="Media",'Mapa final'!#REF!="Mayor"),CONCATENATE("R10C",'Mapa final'!#REF!),"")</f>
        <v>#REF!</v>
      </c>
      <c r="AH35" s="47" t="str">
        <f ca="1">IF(AND('Mapa final'!$AG$38="Media",'Mapa final'!$AI$38="Catastrófico"),CONCATENATE("R10C",'Mapa final'!$W$38),"")</f>
        <v/>
      </c>
      <c r="AI35" s="48" t="str">
        <f ca="1">IF(AND('Mapa final'!$AG$39="Media",'Mapa final'!$AI$39="Catastrófico"),CONCATENATE("R10C",'Mapa final'!$W$39),"")</f>
        <v/>
      </c>
      <c r="AJ35" s="48" t="e">
        <f>IF(AND('Mapa final'!#REF!="Media",'Mapa final'!#REF!="Catastrófico"),CONCATENATE("R10C",'Mapa final'!#REF!),"")</f>
        <v>#REF!</v>
      </c>
      <c r="AK35" s="48" t="e">
        <f>IF(AND('Mapa final'!#REF!="Media",'Mapa final'!#REF!="Catastrófico"),CONCATENATE("R10C",'Mapa final'!#REF!),"")</f>
        <v>#REF!</v>
      </c>
      <c r="AL35" s="48" t="e">
        <f>IF(AND('Mapa final'!#REF!="Media",'Mapa final'!#REF!="Catastrófico"),CONCATENATE("R10C",'Mapa final'!#REF!),"")</f>
        <v>#REF!</v>
      </c>
      <c r="AM35" s="49" t="e">
        <f>IF(AND('Mapa final'!#REF!="Media",'Mapa final'!#REF!="Catastrófico"),CONCATENATE("R10C",'Mapa final'!#REF!),"")</f>
        <v>#REF!</v>
      </c>
      <c r="AN35" s="69"/>
      <c r="AO35" s="638"/>
      <c r="AP35" s="639"/>
      <c r="AQ35" s="639"/>
      <c r="AR35" s="639"/>
      <c r="AS35" s="639"/>
      <c r="AT35" s="640"/>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18"/>
      <c r="C36" s="518"/>
      <c r="D36" s="519"/>
      <c r="E36" s="593" t="s">
        <v>135</v>
      </c>
      <c r="F36" s="594"/>
      <c r="G36" s="594"/>
      <c r="H36" s="594"/>
      <c r="I36" s="594"/>
      <c r="J36" s="59" t="str">
        <f ca="1">IF(AND('Mapa final'!$AG$13="Baja",'Mapa final'!$AI$13="Leve"),CONCATENATE("R1C",'Mapa final'!$W$13),"")</f>
        <v/>
      </c>
      <c r="K36" s="60" t="str">
        <f ca="1">IF(AND('Mapa final'!$AG$14="Baja",'Mapa final'!$AI$14="Leve"),CONCATENATE("R1C",'Mapa final'!$W$14),"")</f>
        <v/>
      </c>
      <c r="L36" s="60" t="e">
        <f>IF(AND('Mapa final'!#REF!="Baja",'Mapa final'!#REF!="Leve"),CONCATENATE("R1C",'Mapa final'!#REF!),"")</f>
        <v>#REF!</v>
      </c>
      <c r="M36" s="60" t="e">
        <f>IF(AND('Mapa final'!#REF!="Baja",'Mapa final'!#REF!="Leve"),CONCATENATE("R1C",'Mapa final'!#REF!),"")</f>
        <v>#REF!</v>
      </c>
      <c r="N36" s="60" t="e">
        <f>IF(AND('Mapa final'!#REF!="Baja",'Mapa final'!#REF!="Leve"),CONCATENATE("R1C",'Mapa final'!#REF!),"")</f>
        <v>#REF!</v>
      </c>
      <c r="O36" s="61" t="e">
        <f>IF(AND('Mapa final'!#REF!="Baja",'Mapa final'!#REF!="Leve"),CONCATENATE("R1C",'Mapa final'!#REF!),"")</f>
        <v>#REF!</v>
      </c>
      <c r="P36" s="50" t="str">
        <f ca="1">IF(AND('Mapa final'!$AG$13="Baja",'Mapa final'!$AI$13="Menor"),CONCATENATE("R1C",'Mapa final'!$W$13),"")</f>
        <v/>
      </c>
      <c r="Q36" s="51" t="str">
        <f ca="1">IF(AND('Mapa final'!$AG$14="Baja",'Mapa final'!$AI$14="Menor"),CONCATENATE("R1C",'Mapa final'!$W$14),"")</f>
        <v>R1C2</v>
      </c>
      <c r="R36" s="51" t="e">
        <f>IF(AND('Mapa final'!#REF!="Baja",'Mapa final'!#REF!="Menor"),CONCATENATE("R1C",'Mapa final'!#REF!),"")</f>
        <v>#REF!</v>
      </c>
      <c r="S36" s="51" t="e">
        <f>IF(AND('Mapa final'!#REF!="Baja",'Mapa final'!#REF!="Menor"),CONCATENATE("R1C",'Mapa final'!#REF!),"")</f>
        <v>#REF!</v>
      </c>
      <c r="T36" s="51" t="e">
        <f>IF(AND('Mapa final'!#REF!="Baja",'Mapa final'!#REF!="Menor"),CONCATENATE("R1C",'Mapa final'!#REF!),"")</f>
        <v>#REF!</v>
      </c>
      <c r="U36" s="52" t="e">
        <f>IF(AND('Mapa final'!#REF!="Baja",'Mapa final'!#REF!="Menor"),CONCATENATE("R1C",'Mapa final'!#REF!),"")</f>
        <v>#REF!</v>
      </c>
      <c r="V36" s="50" t="str">
        <f ca="1">IF(AND('Mapa final'!$AG$13="Baja",'Mapa final'!$AI$13="Moderado"),CONCATENATE("R1C",'Mapa final'!$W$13),"")</f>
        <v/>
      </c>
      <c r="W36" s="51" t="str">
        <f ca="1">IF(AND('Mapa final'!$AG$14="Baja",'Mapa final'!$AI$14="Moderado"),CONCATENATE("R1C",'Mapa final'!$W$14),"")</f>
        <v/>
      </c>
      <c r="X36" s="51" t="e">
        <f>IF(AND('Mapa final'!#REF!="Baja",'Mapa final'!#REF!="Moderado"),CONCATENATE("R1C",'Mapa final'!#REF!),"")</f>
        <v>#REF!</v>
      </c>
      <c r="Y36" s="51" t="e">
        <f>IF(AND('Mapa final'!#REF!="Baja",'Mapa final'!#REF!="Moderado"),CONCATENATE("R1C",'Mapa final'!#REF!),"")</f>
        <v>#REF!</v>
      </c>
      <c r="Z36" s="51" t="e">
        <f>IF(AND('Mapa final'!#REF!="Baja",'Mapa final'!#REF!="Moderado"),CONCATENATE("R1C",'Mapa final'!#REF!),"")</f>
        <v>#REF!</v>
      </c>
      <c r="AA36" s="52" t="e">
        <f>IF(AND('Mapa final'!#REF!="Baja",'Mapa final'!#REF!="Moderado"),CONCATENATE("R1C",'Mapa final'!#REF!),"")</f>
        <v>#REF!</v>
      </c>
      <c r="AB36" s="32" t="str">
        <f ca="1">IF(AND('Mapa final'!$AG$13="Baja",'Mapa final'!$AI$13="Mayor"),CONCATENATE("R1C",'Mapa final'!$W$13),"")</f>
        <v/>
      </c>
      <c r="AC36" s="33" t="str">
        <f ca="1">IF(AND('Mapa final'!$AG$14="Baja",'Mapa final'!$AI$14="Mayor"),CONCATENATE("R1C",'Mapa final'!$W$14),"")</f>
        <v/>
      </c>
      <c r="AD36" s="33" t="e">
        <f>IF(AND('Mapa final'!#REF!="Baja",'Mapa final'!#REF!="Mayor"),CONCATENATE("R1C",'Mapa final'!#REF!),"")</f>
        <v>#REF!</v>
      </c>
      <c r="AE36" s="33" t="e">
        <f>IF(AND('Mapa final'!#REF!="Baja",'Mapa final'!#REF!="Mayor"),CONCATENATE("R1C",'Mapa final'!#REF!),"")</f>
        <v>#REF!</v>
      </c>
      <c r="AF36" s="33" t="e">
        <f>IF(AND('Mapa final'!#REF!="Baja",'Mapa final'!#REF!="Mayor"),CONCATENATE("R1C",'Mapa final'!#REF!),"")</f>
        <v>#REF!</v>
      </c>
      <c r="AG36" s="34" t="e">
        <f>IF(AND('Mapa final'!#REF!="Baja",'Mapa final'!#REF!="Mayor"),CONCATENATE("R1C",'Mapa final'!#REF!),"")</f>
        <v>#REF!</v>
      </c>
      <c r="AH36" s="35" t="str">
        <f ca="1">IF(AND('Mapa final'!$AG$13="Baja",'Mapa final'!$AI$13="Catastrófico"),CONCATENATE("R1C",'Mapa final'!$W$13),"")</f>
        <v/>
      </c>
      <c r="AI36" s="36" t="str">
        <f ca="1">IF(AND('Mapa final'!$AG$14="Baja",'Mapa final'!$AI$14="Catastrófico"),CONCATENATE("R1C",'Mapa final'!$W$14),"")</f>
        <v/>
      </c>
      <c r="AJ36" s="36" t="e">
        <f>IF(AND('Mapa final'!#REF!="Baja",'Mapa final'!#REF!="Catastrófico"),CONCATENATE("R1C",'Mapa final'!#REF!),"")</f>
        <v>#REF!</v>
      </c>
      <c r="AK36" s="36" t="e">
        <f>IF(AND('Mapa final'!#REF!="Baja",'Mapa final'!#REF!="Catastrófico"),CONCATENATE("R1C",'Mapa final'!#REF!),"")</f>
        <v>#REF!</v>
      </c>
      <c r="AL36" s="36" t="e">
        <f>IF(AND('Mapa final'!#REF!="Baja",'Mapa final'!#REF!="Catastrófico"),CONCATENATE("R1C",'Mapa final'!#REF!),"")</f>
        <v>#REF!</v>
      </c>
      <c r="AM36" s="37" t="e">
        <f>IF(AND('Mapa final'!#REF!="Baja",'Mapa final'!#REF!="Catastrófico"),CONCATENATE("R1C",'Mapa final'!#REF!),"")</f>
        <v>#REF!</v>
      </c>
      <c r="AN36" s="69"/>
      <c r="AO36" s="614" t="s">
        <v>136</v>
      </c>
      <c r="AP36" s="615"/>
      <c r="AQ36" s="615"/>
      <c r="AR36" s="615"/>
      <c r="AS36" s="615"/>
      <c r="AT36" s="616"/>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18"/>
      <c r="C37" s="518"/>
      <c r="D37" s="519"/>
      <c r="E37" s="596"/>
      <c r="F37" s="597"/>
      <c r="G37" s="597"/>
      <c r="H37" s="597"/>
      <c r="I37" s="597"/>
      <c r="J37" s="62" t="str">
        <f ca="1">IF(AND('Mapa final'!$AG$15="Baja",'Mapa final'!$AI$15="Leve"),CONCATENATE("R2C",'Mapa final'!$W$15),"")</f>
        <v/>
      </c>
      <c r="K37" s="63" t="str">
        <f ca="1">IF(AND('Mapa final'!$AG$16="Baja",'Mapa final'!$AI$16="Leve"),CONCATENATE("R2C",'Mapa final'!$W$16),"")</f>
        <v/>
      </c>
      <c r="L37" s="63" t="e">
        <f>IF(AND('Mapa final'!#REF!="Baja",'Mapa final'!#REF!="Leve"),CONCATENATE("R2C",'Mapa final'!#REF!),"")</f>
        <v>#REF!</v>
      </c>
      <c r="M37" s="63" t="e">
        <f>IF(AND('Mapa final'!#REF!="Baja",'Mapa final'!#REF!="Leve"),CONCATENATE("R2C",'Mapa final'!#REF!),"")</f>
        <v>#REF!</v>
      </c>
      <c r="N37" s="63" t="e">
        <f>IF(AND('Mapa final'!#REF!="Baja",'Mapa final'!#REF!="Leve"),CONCATENATE("R2C",'Mapa final'!#REF!),"")</f>
        <v>#REF!</v>
      </c>
      <c r="O37" s="64" t="e">
        <f>IF(AND('Mapa final'!#REF!="Baja",'Mapa final'!#REF!="Leve"),CONCATENATE("R2C",'Mapa final'!#REF!),"")</f>
        <v>#REF!</v>
      </c>
      <c r="P37" s="53" t="str">
        <f ca="1">IF(AND('Mapa final'!$AG$15="Baja",'Mapa final'!$AI$15="Menor"),CONCATENATE("R2C",'Mapa final'!$W$15),"")</f>
        <v/>
      </c>
      <c r="Q37" s="54" t="str">
        <f ca="1">IF(AND('Mapa final'!$AG$16="Baja",'Mapa final'!$AI$16="Menor"),CONCATENATE("R2C",'Mapa final'!$W$16),"")</f>
        <v/>
      </c>
      <c r="R37" s="54" t="e">
        <f>IF(AND('Mapa final'!#REF!="Baja",'Mapa final'!#REF!="Menor"),CONCATENATE("R2C",'Mapa final'!#REF!),"")</f>
        <v>#REF!</v>
      </c>
      <c r="S37" s="54" t="e">
        <f>IF(AND('Mapa final'!#REF!="Baja",'Mapa final'!#REF!="Menor"),CONCATENATE("R2C",'Mapa final'!#REF!),"")</f>
        <v>#REF!</v>
      </c>
      <c r="T37" s="54" t="e">
        <f>IF(AND('Mapa final'!#REF!="Baja",'Mapa final'!#REF!="Menor"),CONCATENATE("R2C",'Mapa final'!#REF!),"")</f>
        <v>#REF!</v>
      </c>
      <c r="U37" s="55" t="e">
        <f>IF(AND('Mapa final'!#REF!="Baja",'Mapa final'!#REF!="Menor"),CONCATENATE("R2C",'Mapa final'!#REF!),"")</f>
        <v>#REF!</v>
      </c>
      <c r="V37" s="53" t="str">
        <f ca="1">IF(AND('Mapa final'!$AG$15="Baja",'Mapa final'!$AI$15="Moderado"),CONCATENATE("R2C",'Mapa final'!$W$15),"")</f>
        <v>R2C1</v>
      </c>
      <c r="W37" s="54" t="str">
        <f ca="1">IF(AND('Mapa final'!$AG$16="Baja",'Mapa final'!$AI$16="Moderado"),CONCATENATE("R2C",'Mapa final'!$W$16),"")</f>
        <v>R2C2</v>
      </c>
      <c r="X37" s="54" t="e">
        <f>IF(AND('Mapa final'!#REF!="Baja",'Mapa final'!#REF!="Moderado"),CONCATENATE("R2C",'Mapa final'!#REF!),"")</f>
        <v>#REF!</v>
      </c>
      <c r="Y37" s="54" t="e">
        <f>IF(AND('Mapa final'!#REF!="Baja",'Mapa final'!#REF!="Moderado"),CONCATENATE("R2C",'Mapa final'!#REF!),"")</f>
        <v>#REF!</v>
      </c>
      <c r="Z37" s="54" t="e">
        <f>IF(AND('Mapa final'!#REF!="Baja",'Mapa final'!#REF!="Moderado"),CONCATENATE("R2C",'Mapa final'!#REF!),"")</f>
        <v>#REF!</v>
      </c>
      <c r="AA37" s="55" t="e">
        <f>IF(AND('Mapa final'!#REF!="Baja",'Mapa final'!#REF!="Moderado"),CONCATENATE("R2C",'Mapa final'!#REF!),"")</f>
        <v>#REF!</v>
      </c>
      <c r="AB37" s="38" t="str">
        <f ca="1">IF(AND('Mapa final'!$AG$15="Baja",'Mapa final'!$AI$15="Mayor"),CONCATENATE("R2C",'Mapa final'!$W$15),"")</f>
        <v/>
      </c>
      <c r="AC37" s="39" t="str">
        <f ca="1">IF(AND('Mapa final'!$AG$16="Baja",'Mapa final'!$AI$16="Mayor"),CONCATENATE("R2C",'Mapa final'!$W$16),"")</f>
        <v/>
      </c>
      <c r="AD37" s="39" t="e">
        <f>IF(AND('Mapa final'!#REF!="Baja",'Mapa final'!#REF!="Mayor"),CONCATENATE("R2C",'Mapa final'!#REF!),"")</f>
        <v>#REF!</v>
      </c>
      <c r="AE37" s="39" t="e">
        <f>IF(AND('Mapa final'!#REF!="Baja",'Mapa final'!#REF!="Mayor"),CONCATENATE("R2C",'Mapa final'!#REF!),"")</f>
        <v>#REF!</v>
      </c>
      <c r="AF37" s="39" t="e">
        <f>IF(AND('Mapa final'!#REF!="Baja",'Mapa final'!#REF!="Mayor"),CONCATENATE("R2C",'Mapa final'!#REF!),"")</f>
        <v>#REF!</v>
      </c>
      <c r="AG37" s="40" t="e">
        <f>IF(AND('Mapa final'!#REF!="Baja",'Mapa final'!#REF!="Mayor"),CONCATENATE("R2C",'Mapa final'!#REF!),"")</f>
        <v>#REF!</v>
      </c>
      <c r="AH37" s="41" t="str">
        <f ca="1">IF(AND('Mapa final'!$AG$15="Baja",'Mapa final'!$AI$15="Catastrófico"),CONCATENATE("R2C",'Mapa final'!$W$15),"")</f>
        <v/>
      </c>
      <c r="AI37" s="42" t="str">
        <f ca="1">IF(AND('Mapa final'!$AG$16="Baja",'Mapa final'!$AI$16="Catastrófico"),CONCATENATE("R2C",'Mapa final'!$W$16),"")</f>
        <v/>
      </c>
      <c r="AJ37" s="42" t="e">
        <f>IF(AND('Mapa final'!#REF!="Baja",'Mapa final'!#REF!="Catastrófico"),CONCATENATE("R2C",'Mapa final'!#REF!),"")</f>
        <v>#REF!</v>
      </c>
      <c r="AK37" s="42" t="e">
        <f>IF(AND('Mapa final'!#REF!="Baja",'Mapa final'!#REF!="Catastrófico"),CONCATENATE("R2C",'Mapa final'!#REF!),"")</f>
        <v>#REF!</v>
      </c>
      <c r="AL37" s="42" t="e">
        <f>IF(AND('Mapa final'!#REF!="Baja",'Mapa final'!#REF!="Catastrófico"),CONCATENATE("R2C",'Mapa final'!#REF!),"")</f>
        <v>#REF!</v>
      </c>
      <c r="AM37" s="43" t="e">
        <f>IF(AND('Mapa final'!#REF!="Baja",'Mapa final'!#REF!="Catastrófico"),CONCATENATE("R2C",'Mapa final'!#REF!),"")</f>
        <v>#REF!</v>
      </c>
      <c r="AN37" s="69"/>
      <c r="AO37" s="617"/>
      <c r="AP37" s="618"/>
      <c r="AQ37" s="618"/>
      <c r="AR37" s="618"/>
      <c r="AS37" s="618"/>
      <c r="AT37" s="619"/>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18"/>
      <c r="C38" s="518"/>
      <c r="D38" s="519"/>
      <c r="E38" s="599"/>
      <c r="F38" s="597"/>
      <c r="G38" s="597"/>
      <c r="H38" s="597"/>
      <c r="I38" s="597"/>
      <c r="J38" s="62" t="str">
        <f ca="1">IF(AND('Mapa final'!$AG$17="Baja",'Mapa final'!$AI$17="Leve"),CONCATENATE("R3C",'Mapa final'!$W$17),"")</f>
        <v/>
      </c>
      <c r="K38" s="63" t="str">
        <f ca="1">IF(AND('Mapa final'!$AG$18="Baja",'Mapa final'!$AI$18="Leve"),CONCATENATE("R3C",'Mapa final'!$W$18),"")</f>
        <v/>
      </c>
      <c r="L38" s="63" t="str">
        <f ca="1">IF(AND('Mapa final'!$AG$19="Baja",'Mapa final'!$AI$19="Leve"),CONCATENATE("R3C",'Mapa final'!$W$19),"")</f>
        <v/>
      </c>
      <c r="M38" s="63" t="e">
        <f>IF(AND('Mapa final'!#REF!="Baja",'Mapa final'!#REF!="Leve"),CONCATENATE("R3C",'Mapa final'!#REF!),"")</f>
        <v>#REF!</v>
      </c>
      <c r="N38" s="63" t="e">
        <f>IF(AND('Mapa final'!#REF!="Baja",'Mapa final'!#REF!="Leve"),CONCATENATE("R3C",'Mapa final'!#REF!),"")</f>
        <v>#REF!</v>
      </c>
      <c r="O38" s="64" t="e">
        <f>IF(AND('Mapa final'!#REF!="Baja",'Mapa final'!#REF!="Leve"),CONCATENATE("R3C",'Mapa final'!#REF!),"")</f>
        <v>#REF!</v>
      </c>
      <c r="P38" s="53" t="str">
        <f ca="1">IF(AND('Mapa final'!$AG$17="Baja",'Mapa final'!$AI$17="Menor"),CONCATENATE("R3C",'Mapa final'!$W$17),"")</f>
        <v/>
      </c>
      <c r="Q38" s="54" t="str">
        <f ca="1">IF(AND('Mapa final'!$AG$18="Baja",'Mapa final'!$AI$18="Menor"),CONCATENATE("R3C",'Mapa final'!$W$18),"")</f>
        <v/>
      </c>
      <c r="R38" s="54" t="str">
        <f ca="1">IF(AND('Mapa final'!$AG$19="Baja",'Mapa final'!$AI$19="Menor"),CONCATENATE("R3C",'Mapa final'!$W$19),"")</f>
        <v/>
      </c>
      <c r="S38" s="54" t="e">
        <f>IF(AND('Mapa final'!#REF!="Baja",'Mapa final'!#REF!="Menor"),CONCATENATE("R3C",'Mapa final'!#REF!),"")</f>
        <v>#REF!</v>
      </c>
      <c r="T38" s="54" t="e">
        <f>IF(AND('Mapa final'!#REF!="Baja",'Mapa final'!#REF!="Menor"),CONCATENATE("R3C",'Mapa final'!#REF!),"")</f>
        <v>#REF!</v>
      </c>
      <c r="U38" s="55" t="e">
        <f>IF(AND('Mapa final'!#REF!="Baja",'Mapa final'!#REF!="Menor"),CONCATENATE("R3C",'Mapa final'!#REF!),"")</f>
        <v>#REF!</v>
      </c>
      <c r="V38" s="53" t="str">
        <f ca="1">IF(AND('Mapa final'!$AG$17="Baja",'Mapa final'!$AI$17="Moderado"),CONCATENATE("R3C",'Mapa final'!$W$17),"")</f>
        <v/>
      </c>
      <c r="W38" s="54" t="str">
        <f ca="1">IF(AND('Mapa final'!$AG$18="Baja",'Mapa final'!$AI$18="Moderado"),CONCATENATE("R3C",'Mapa final'!$W$18),"")</f>
        <v/>
      </c>
      <c r="X38" s="54" t="str">
        <f ca="1">IF(AND('Mapa final'!$AG$19="Baja",'Mapa final'!$AI$19="Moderado"),CONCATENATE("R3C",'Mapa final'!$W$19),"")</f>
        <v/>
      </c>
      <c r="Y38" s="54" t="e">
        <f>IF(AND('Mapa final'!#REF!="Baja",'Mapa final'!#REF!="Moderado"),CONCATENATE("R3C",'Mapa final'!#REF!),"")</f>
        <v>#REF!</v>
      </c>
      <c r="Z38" s="54" t="e">
        <f>IF(AND('Mapa final'!#REF!="Baja",'Mapa final'!#REF!="Moderado"),CONCATENATE("R3C",'Mapa final'!#REF!),"")</f>
        <v>#REF!</v>
      </c>
      <c r="AA38" s="55" t="e">
        <f>IF(AND('Mapa final'!#REF!="Baja",'Mapa final'!#REF!="Moderado"),CONCATENATE("R3C",'Mapa final'!#REF!),"")</f>
        <v>#REF!</v>
      </c>
      <c r="AB38" s="38" t="str">
        <f ca="1">IF(AND('Mapa final'!$AG$17="Baja",'Mapa final'!$AI$17="Mayor"),CONCATENATE("R3C",'Mapa final'!$W$17),"")</f>
        <v/>
      </c>
      <c r="AC38" s="39" t="str">
        <f ca="1">IF(AND('Mapa final'!$AG$18="Baja",'Mapa final'!$AI$18="Mayor"),CONCATENATE("R3C",'Mapa final'!$W$18),"")</f>
        <v/>
      </c>
      <c r="AD38" s="39" t="str">
        <f ca="1">IF(AND('Mapa final'!$AG$19="Baja",'Mapa final'!$AI$19="Mayor"),CONCATENATE("R3C",'Mapa final'!$W$19),"")</f>
        <v/>
      </c>
      <c r="AE38" s="39" t="e">
        <f>IF(AND('Mapa final'!#REF!="Baja",'Mapa final'!#REF!="Mayor"),CONCATENATE("R3C",'Mapa final'!#REF!),"")</f>
        <v>#REF!</v>
      </c>
      <c r="AF38" s="39" t="e">
        <f>IF(AND('Mapa final'!#REF!="Baja",'Mapa final'!#REF!="Mayor"),CONCATENATE("R3C",'Mapa final'!#REF!),"")</f>
        <v>#REF!</v>
      </c>
      <c r="AG38" s="40" t="e">
        <f>IF(AND('Mapa final'!#REF!="Baja",'Mapa final'!#REF!="Mayor"),CONCATENATE("R3C",'Mapa final'!#REF!),"")</f>
        <v>#REF!</v>
      </c>
      <c r="AH38" s="41" t="str">
        <f ca="1">IF(AND('Mapa final'!$AG$17="Baja",'Mapa final'!$AI$17="Catastrófico"),CONCATENATE("R3C",'Mapa final'!$W$17),"")</f>
        <v/>
      </c>
      <c r="AI38" s="42" t="str">
        <f ca="1">IF(AND('Mapa final'!$AG$18="Baja",'Mapa final'!$AI$18="Catastrófico"),CONCATENATE("R3C",'Mapa final'!$W$18),"")</f>
        <v/>
      </c>
      <c r="AJ38" s="42" t="str">
        <f ca="1">IF(AND('Mapa final'!$AG$19="Baja",'Mapa final'!$AI$19="Catastrófico"),CONCATENATE("R3C",'Mapa final'!$W$19),"")</f>
        <v/>
      </c>
      <c r="AK38" s="42" t="e">
        <f>IF(AND('Mapa final'!#REF!="Baja",'Mapa final'!#REF!="Catastrófico"),CONCATENATE("R3C",'Mapa final'!#REF!),"")</f>
        <v>#REF!</v>
      </c>
      <c r="AL38" s="42" t="e">
        <f>IF(AND('Mapa final'!#REF!="Baja",'Mapa final'!#REF!="Catastrófico"),CONCATENATE("R3C",'Mapa final'!#REF!),"")</f>
        <v>#REF!</v>
      </c>
      <c r="AM38" s="43" t="e">
        <f>IF(AND('Mapa final'!#REF!="Baja",'Mapa final'!#REF!="Catastrófico"),CONCATENATE("R3C",'Mapa final'!#REF!),"")</f>
        <v>#REF!</v>
      </c>
      <c r="AN38" s="69"/>
      <c r="AO38" s="617"/>
      <c r="AP38" s="618"/>
      <c r="AQ38" s="618"/>
      <c r="AR38" s="618"/>
      <c r="AS38" s="618"/>
      <c r="AT38" s="61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18"/>
      <c r="C39" s="518"/>
      <c r="D39" s="519"/>
      <c r="E39" s="599"/>
      <c r="F39" s="597"/>
      <c r="G39" s="597"/>
      <c r="H39" s="597"/>
      <c r="I39" s="597"/>
      <c r="J39" s="62" t="str">
        <f ca="1">IF(AND('Mapa final'!$AG$20="Baja",'Mapa final'!$AI$20="Leve"),CONCATENATE("R4C",'Mapa final'!$W$20),"")</f>
        <v/>
      </c>
      <c r="K39" s="63" t="str">
        <f ca="1">IF(AND('Mapa final'!$AG$21="Baja",'Mapa final'!$AI$21="Leve"),CONCATENATE("R4C",'Mapa final'!$W$21),"")</f>
        <v/>
      </c>
      <c r="L39" s="63" t="e">
        <f>IF(AND('Mapa final'!#REF!="Baja",'Mapa final'!#REF!="Leve"),CONCATENATE("R4C",'Mapa final'!#REF!),"")</f>
        <v>#REF!</v>
      </c>
      <c r="M39" s="63" t="e">
        <f>IF(AND('Mapa final'!#REF!="Baja",'Mapa final'!#REF!="Leve"),CONCATENATE("R4C",'Mapa final'!#REF!),"")</f>
        <v>#REF!</v>
      </c>
      <c r="N39" s="63" t="e">
        <f>IF(AND('Mapa final'!#REF!="Baja",'Mapa final'!#REF!="Leve"),CONCATENATE("R4C",'Mapa final'!#REF!),"")</f>
        <v>#REF!</v>
      </c>
      <c r="O39" s="64" t="e">
        <f>IF(AND('Mapa final'!#REF!="Baja",'Mapa final'!#REF!="Leve"),CONCATENATE("R4C",'Mapa final'!#REF!),"")</f>
        <v>#REF!</v>
      </c>
      <c r="P39" s="53" t="str">
        <f ca="1">IF(AND('Mapa final'!$AG$20="Baja",'Mapa final'!$AI$20="Menor"),CONCATENATE("R4C",'Mapa final'!$W$20),"")</f>
        <v/>
      </c>
      <c r="Q39" s="54" t="str">
        <f ca="1">IF(AND('Mapa final'!$AG$21="Baja",'Mapa final'!$AI$21="Menor"),CONCATENATE("R4C",'Mapa final'!$W$21),"")</f>
        <v/>
      </c>
      <c r="R39" s="54" t="e">
        <f>IF(AND('Mapa final'!#REF!="Baja",'Mapa final'!#REF!="Menor"),CONCATENATE("R4C",'Mapa final'!#REF!),"")</f>
        <v>#REF!</v>
      </c>
      <c r="S39" s="54" t="e">
        <f>IF(AND('Mapa final'!#REF!="Baja",'Mapa final'!#REF!="Menor"),CONCATENATE("R4C",'Mapa final'!#REF!),"")</f>
        <v>#REF!</v>
      </c>
      <c r="T39" s="54" t="e">
        <f>IF(AND('Mapa final'!#REF!="Baja",'Mapa final'!#REF!="Menor"),CONCATENATE("R4C",'Mapa final'!#REF!),"")</f>
        <v>#REF!</v>
      </c>
      <c r="U39" s="55" t="e">
        <f>IF(AND('Mapa final'!#REF!="Baja",'Mapa final'!#REF!="Menor"),CONCATENATE("R4C",'Mapa final'!#REF!),"")</f>
        <v>#REF!</v>
      </c>
      <c r="V39" s="53" t="str">
        <f ca="1">IF(AND('Mapa final'!$AG$20="Baja",'Mapa final'!$AI$20="Moderado"),CONCATENATE("R4C",'Mapa final'!$W$20),"")</f>
        <v>R4C1</v>
      </c>
      <c r="W39" s="54" t="str">
        <f ca="1">IF(AND('Mapa final'!$AG$21="Baja",'Mapa final'!$AI$21="Moderado"),CONCATENATE("R4C",'Mapa final'!$W$21),"")</f>
        <v/>
      </c>
      <c r="X39" s="54" t="e">
        <f>IF(AND('Mapa final'!#REF!="Baja",'Mapa final'!#REF!="Moderado"),CONCATENATE("R4C",'Mapa final'!#REF!),"")</f>
        <v>#REF!</v>
      </c>
      <c r="Y39" s="54" t="e">
        <f>IF(AND('Mapa final'!#REF!="Baja",'Mapa final'!#REF!="Moderado"),CONCATENATE("R4C",'Mapa final'!#REF!),"")</f>
        <v>#REF!</v>
      </c>
      <c r="Z39" s="54" t="e">
        <f>IF(AND('Mapa final'!#REF!="Baja",'Mapa final'!#REF!="Moderado"),CONCATENATE("R4C",'Mapa final'!#REF!),"")</f>
        <v>#REF!</v>
      </c>
      <c r="AA39" s="55" t="e">
        <f>IF(AND('Mapa final'!#REF!="Baja",'Mapa final'!#REF!="Moderado"),CONCATENATE("R4C",'Mapa final'!#REF!),"")</f>
        <v>#REF!</v>
      </c>
      <c r="AB39" s="38" t="str">
        <f ca="1">IF(AND('Mapa final'!$AG$20="Baja",'Mapa final'!$AI$20="Mayor"),CONCATENATE("R4C",'Mapa final'!$W$20),"")</f>
        <v/>
      </c>
      <c r="AC39" s="39" t="str">
        <f ca="1">IF(AND('Mapa final'!$AG$21="Baja",'Mapa final'!$AI$21="Mayor"),CONCATENATE("R4C",'Mapa final'!$W$21),"")</f>
        <v/>
      </c>
      <c r="AD39" s="39" t="e">
        <f>IF(AND('Mapa final'!#REF!="Baja",'Mapa final'!#REF!="Mayor"),CONCATENATE("R4C",'Mapa final'!#REF!),"")</f>
        <v>#REF!</v>
      </c>
      <c r="AE39" s="39" t="e">
        <f>IF(AND('Mapa final'!#REF!="Baja",'Mapa final'!#REF!="Mayor"),CONCATENATE("R4C",'Mapa final'!#REF!),"")</f>
        <v>#REF!</v>
      </c>
      <c r="AF39" s="39" t="e">
        <f>IF(AND('Mapa final'!#REF!="Baja",'Mapa final'!#REF!="Mayor"),CONCATENATE("R4C",'Mapa final'!#REF!),"")</f>
        <v>#REF!</v>
      </c>
      <c r="AG39" s="40" t="e">
        <f>IF(AND('Mapa final'!#REF!="Baja",'Mapa final'!#REF!="Mayor"),CONCATENATE("R4C",'Mapa final'!#REF!),"")</f>
        <v>#REF!</v>
      </c>
      <c r="AH39" s="41" t="str">
        <f ca="1">IF(AND('Mapa final'!$AG$20="Baja",'Mapa final'!$AI$20="Catastrófico"),CONCATENATE("R4C",'Mapa final'!$W$20),"")</f>
        <v/>
      </c>
      <c r="AI39" s="42" t="str">
        <f ca="1">IF(AND('Mapa final'!$AG$21="Baja",'Mapa final'!$AI$21="Catastrófico"),CONCATENATE("R4C",'Mapa final'!$W$21),"")</f>
        <v/>
      </c>
      <c r="AJ39" s="42" t="e">
        <f>IF(AND('Mapa final'!#REF!="Baja",'Mapa final'!#REF!="Catastrófico"),CONCATENATE("R4C",'Mapa final'!#REF!),"")</f>
        <v>#REF!</v>
      </c>
      <c r="AK39" s="42" t="e">
        <f>IF(AND('Mapa final'!#REF!="Baja",'Mapa final'!#REF!="Catastrófico"),CONCATENATE("R4C",'Mapa final'!#REF!),"")</f>
        <v>#REF!</v>
      </c>
      <c r="AL39" s="42" t="e">
        <f>IF(AND('Mapa final'!#REF!="Baja",'Mapa final'!#REF!="Catastrófico"),CONCATENATE("R4C",'Mapa final'!#REF!),"")</f>
        <v>#REF!</v>
      </c>
      <c r="AM39" s="43" t="e">
        <f>IF(AND('Mapa final'!#REF!="Baja",'Mapa final'!#REF!="Catastrófico"),CONCATENATE("R4C",'Mapa final'!#REF!),"")</f>
        <v>#REF!</v>
      </c>
      <c r="AN39" s="69"/>
      <c r="AO39" s="617"/>
      <c r="AP39" s="618"/>
      <c r="AQ39" s="618"/>
      <c r="AR39" s="618"/>
      <c r="AS39" s="618"/>
      <c r="AT39" s="61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18"/>
      <c r="C40" s="518"/>
      <c r="D40" s="519"/>
      <c r="E40" s="599"/>
      <c r="F40" s="597"/>
      <c r="G40" s="597"/>
      <c r="H40" s="597"/>
      <c r="I40" s="597"/>
      <c r="J40" s="62" t="str">
        <f ca="1">IF(AND('Mapa final'!$AG$22="Baja",'Mapa final'!$AI$22="Leve"),CONCATENATE("R5C",'Mapa final'!$W$22),"")</f>
        <v/>
      </c>
      <c r="K40" s="63" t="str">
        <f ca="1">IF(AND('Mapa final'!$AG$23="Baja",'Mapa final'!$AI$23="Leve"),CONCATENATE("R5C",'Mapa final'!$W$23),"")</f>
        <v/>
      </c>
      <c r="L40" s="63" t="str">
        <f ca="1">IF(AND('Mapa final'!$AG$24="Baja",'Mapa final'!$AI$24="Leve"),CONCATENATE("R5C",'Mapa final'!$W$24),"")</f>
        <v/>
      </c>
      <c r="M40" s="63" t="e">
        <f>IF(AND('Mapa final'!#REF!="Baja",'Mapa final'!#REF!="Leve"),CONCATENATE("R5C",'Mapa final'!#REF!),"")</f>
        <v>#REF!</v>
      </c>
      <c r="N40" s="63" t="e">
        <f>IF(AND('Mapa final'!#REF!="Baja",'Mapa final'!#REF!="Leve"),CONCATENATE("R5C",'Mapa final'!#REF!),"")</f>
        <v>#REF!</v>
      </c>
      <c r="O40" s="64" t="e">
        <f>IF(AND('Mapa final'!#REF!="Baja",'Mapa final'!#REF!="Leve"),CONCATENATE("R5C",'Mapa final'!#REF!),"")</f>
        <v>#REF!</v>
      </c>
      <c r="P40" s="53" t="str">
        <f ca="1">IF(AND('Mapa final'!$AG$22="Baja",'Mapa final'!$AI$22="Menor"),CONCATENATE("R5C",'Mapa final'!$W$22),"")</f>
        <v/>
      </c>
      <c r="Q40" s="54" t="str">
        <f ca="1">IF(AND('Mapa final'!$AG$23="Baja",'Mapa final'!$AI$23="Menor"),CONCATENATE("R5C",'Mapa final'!$W$23),"")</f>
        <v/>
      </c>
      <c r="R40" s="54" t="str">
        <f ca="1">IF(AND('Mapa final'!$AG$24="Baja",'Mapa final'!$AI$24="Menor"),CONCATENATE("R5C",'Mapa final'!$W$24),"")</f>
        <v/>
      </c>
      <c r="S40" s="54" t="e">
        <f>IF(AND('Mapa final'!#REF!="Baja",'Mapa final'!#REF!="Menor"),CONCATENATE("R5C",'Mapa final'!#REF!),"")</f>
        <v>#REF!</v>
      </c>
      <c r="T40" s="54" t="e">
        <f>IF(AND('Mapa final'!#REF!="Baja",'Mapa final'!#REF!="Menor"),CONCATENATE("R5C",'Mapa final'!#REF!),"")</f>
        <v>#REF!</v>
      </c>
      <c r="U40" s="55" t="e">
        <f>IF(AND('Mapa final'!#REF!="Baja",'Mapa final'!#REF!="Menor"),CONCATENATE("R5C",'Mapa final'!#REF!),"")</f>
        <v>#REF!</v>
      </c>
      <c r="V40" s="53" t="str">
        <f ca="1">IF(AND('Mapa final'!$AG$22="Baja",'Mapa final'!$AI$22="Moderado"),CONCATENATE("R5C",'Mapa final'!$W$22),"")</f>
        <v/>
      </c>
      <c r="W40" s="54" t="str">
        <f ca="1">IF(AND('Mapa final'!$AG$23="Baja",'Mapa final'!$AI$23="Moderado"),CONCATENATE("R5C",'Mapa final'!$W$23),"")</f>
        <v/>
      </c>
      <c r="X40" s="54" t="str">
        <f ca="1">IF(AND('Mapa final'!$AG$24="Baja",'Mapa final'!$AI$24="Moderado"),CONCATENATE("R5C",'Mapa final'!$W$24),"")</f>
        <v/>
      </c>
      <c r="Y40" s="54" t="e">
        <f>IF(AND('Mapa final'!#REF!="Baja",'Mapa final'!#REF!="Moderado"),CONCATENATE("R5C",'Mapa final'!#REF!),"")</f>
        <v>#REF!</v>
      </c>
      <c r="Z40" s="54" t="e">
        <f>IF(AND('Mapa final'!#REF!="Baja",'Mapa final'!#REF!="Moderado"),CONCATENATE("R5C",'Mapa final'!#REF!),"")</f>
        <v>#REF!</v>
      </c>
      <c r="AA40" s="55" t="e">
        <f>IF(AND('Mapa final'!#REF!="Baja",'Mapa final'!#REF!="Moderado"),CONCATENATE("R5C",'Mapa final'!#REF!),"")</f>
        <v>#REF!</v>
      </c>
      <c r="AB40" s="38" t="str">
        <f ca="1">IF(AND('Mapa final'!$AG$22="Baja",'Mapa final'!$AI$22="Mayor"),CONCATENATE("R5C",'Mapa final'!$W$22),"")</f>
        <v/>
      </c>
      <c r="AC40" s="39" t="str">
        <f ca="1">IF(AND('Mapa final'!$AG$23="Baja",'Mapa final'!$AI$23="Mayor"),CONCATENATE("R5C",'Mapa final'!$W$23),"")</f>
        <v/>
      </c>
      <c r="AD40" s="39" t="str">
        <f ca="1">IF(AND('Mapa final'!$AG$24="Baja",'Mapa final'!$AI$24="Mayor"),CONCATENATE("R5C",'Mapa final'!$W$24),"")</f>
        <v/>
      </c>
      <c r="AE40" s="39" t="e">
        <f>IF(AND('Mapa final'!#REF!="Baja",'Mapa final'!#REF!="Mayor"),CONCATENATE("R5C",'Mapa final'!#REF!),"")</f>
        <v>#REF!</v>
      </c>
      <c r="AF40" s="39" t="e">
        <f>IF(AND('Mapa final'!#REF!="Baja",'Mapa final'!#REF!="Mayor"),CONCATENATE("R5C",'Mapa final'!#REF!),"")</f>
        <v>#REF!</v>
      </c>
      <c r="AG40" s="40" t="e">
        <f>IF(AND('Mapa final'!#REF!="Baja",'Mapa final'!#REF!="Mayor"),CONCATENATE("R5C",'Mapa final'!#REF!),"")</f>
        <v>#REF!</v>
      </c>
      <c r="AH40" s="41" t="str">
        <f ca="1">IF(AND('Mapa final'!$AG$22="Baja",'Mapa final'!$AI$22="Catastrófico"),CONCATENATE("R5C",'Mapa final'!$W$22),"")</f>
        <v/>
      </c>
      <c r="AI40" s="42" t="str">
        <f ca="1">IF(AND('Mapa final'!$AG$23="Baja",'Mapa final'!$AI$23="Catastrófico"),CONCATENATE("R5C",'Mapa final'!$W$23),"")</f>
        <v/>
      </c>
      <c r="AJ40" s="42" t="str">
        <f ca="1">IF(AND('Mapa final'!$AG$24="Baja",'Mapa final'!$AI$24="Catastrófico"),CONCATENATE("R5C",'Mapa final'!$W$24),"")</f>
        <v/>
      </c>
      <c r="AK40" s="42" t="e">
        <f>IF(AND('Mapa final'!#REF!="Baja",'Mapa final'!#REF!="Catastrófico"),CONCATENATE("R5C",'Mapa final'!#REF!),"")</f>
        <v>#REF!</v>
      </c>
      <c r="AL40" s="42" t="e">
        <f>IF(AND('Mapa final'!#REF!="Baja",'Mapa final'!#REF!="Catastrófico"),CONCATENATE("R5C",'Mapa final'!#REF!),"")</f>
        <v>#REF!</v>
      </c>
      <c r="AM40" s="43" t="e">
        <f>IF(AND('Mapa final'!#REF!="Baja",'Mapa final'!#REF!="Catastrófico"),CONCATENATE("R5C",'Mapa final'!#REF!),"")</f>
        <v>#REF!</v>
      </c>
      <c r="AN40" s="69"/>
      <c r="AO40" s="617"/>
      <c r="AP40" s="618"/>
      <c r="AQ40" s="618"/>
      <c r="AR40" s="618"/>
      <c r="AS40" s="618"/>
      <c r="AT40" s="61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18"/>
      <c r="C41" s="518"/>
      <c r="D41" s="519"/>
      <c r="E41" s="599"/>
      <c r="F41" s="597"/>
      <c r="G41" s="597"/>
      <c r="H41" s="597"/>
      <c r="I41" s="597"/>
      <c r="J41" s="62" t="str">
        <f ca="1">IF(AND('Mapa final'!$AG$25="Baja",'Mapa final'!$AI$25="Leve"),CONCATENATE("R6C",'Mapa final'!$W$25),"")</f>
        <v/>
      </c>
      <c r="K41" s="63" t="str">
        <f ca="1">IF(AND('Mapa final'!$AG$26="Baja",'Mapa final'!$AI$26="Leve"),CONCATENATE("R6C",'Mapa final'!$W$26),"")</f>
        <v/>
      </c>
      <c r="L41" s="63" t="e">
        <f>IF(AND('Mapa final'!#REF!="Baja",'Mapa final'!#REF!="Leve"),CONCATENATE("R6C",'Mapa final'!#REF!),"")</f>
        <v>#REF!</v>
      </c>
      <c r="M41" s="63" t="e">
        <f>IF(AND('Mapa final'!#REF!="Baja",'Mapa final'!#REF!="Leve"),CONCATENATE("R6C",'Mapa final'!#REF!),"")</f>
        <v>#REF!</v>
      </c>
      <c r="N41" s="63" t="e">
        <f>IF(AND('Mapa final'!#REF!="Baja",'Mapa final'!#REF!="Leve"),CONCATENATE("R6C",'Mapa final'!#REF!),"")</f>
        <v>#REF!</v>
      </c>
      <c r="O41" s="64" t="e">
        <f>IF(AND('Mapa final'!#REF!="Baja",'Mapa final'!#REF!="Leve"),CONCATENATE("R6C",'Mapa final'!#REF!),"")</f>
        <v>#REF!</v>
      </c>
      <c r="P41" s="53" t="str">
        <f ca="1">IF(AND('Mapa final'!$AG$25="Baja",'Mapa final'!$AI$25="Menor"),CONCATENATE("R6C",'Mapa final'!$W$25),"")</f>
        <v/>
      </c>
      <c r="Q41" s="54" t="str">
        <f ca="1">IF(AND('Mapa final'!$AG$26="Baja",'Mapa final'!$AI$26="Menor"),CONCATENATE("R6C",'Mapa final'!$W$26),"")</f>
        <v/>
      </c>
      <c r="R41" s="54" t="e">
        <f>IF(AND('Mapa final'!#REF!="Baja",'Mapa final'!#REF!="Menor"),CONCATENATE("R6C",'Mapa final'!#REF!),"")</f>
        <v>#REF!</v>
      </c>
      <c r="S41" s="54" t="e">
        <f>IF(AND('Mapa final'!#REF!="Baja",'Mapa final'!#REF!="Menor"),CONCATENATE("R6C",'Mapa final'!#REF!),"")</f>
        <v>#REF!</v>
      </c>
      <c r="T41" s="54" t="e">
        <f>IF(AND('Mapa final'!#REF!="Baja",'Mapa final'!#REF!="Menor"),CONCATENATE("R6C",'Mapa final'!#REF!),"")</f>
        <v>#REF!</v>
      </c>
      <c r="U41" s="55" t="e">
        <f>IF(AND('Mapa final'!#REF!="Baja",'Mapa final'!#REF!="Menor"),CONCATENATE("R6C",'Mapa final'!#REF!),"")</f>
        <v>#REF!</v>
      </c>
      <c r="V41" s="53" t="str">
        <f ca="1">IF(AND('Mapa final'!$AG$25="Baja",'Mapa final'!$AI$25="Moderado"),CONCATENATE("R6C",'Mapa final'!$W$25),"")</f>
        <v>R6C1</v>
      </c>
      <c r="W41" s="54" t="str">
        <f ca="1">IF(AND('Mapa final'!$AG$26="Baja",'Mapa final'!$AI$26="Moderado"),CONCATENATE("R6C",'Mapa final'!$W$26),"")</f>
        <v>R6C2</v>
      </c>
      <c r="X41" s="54" t="e">
        <f>IF(AND('Mapa final'!#REF!="Baja",'Mapa final'!#REF!="Moderado"),CONCATENATE("R6C",'Mapa final'!#REF!),"")</f>
        <v>#REF!</v>
      </c>
      <c r="Y41" s="54" t="e">
        <f>IF(AND('Mapa final'!#REF!="Baja",'Mapa final'!#REF!="Moderado"),CONCATENATE("R6C",'Mapa final'!#REF!),"")</f>
        <v>#REF!</v>
      </c>
      <c r="Z41" s="54" t="e">
        <f>IF(AND('Mapa final'!#REF!="Baja",'Mapa final'!#REF!="Moderado"),CONCATENATE("R6C",'Mapa final'!#REF!),"")</f>
        <v>#REF!</v>
      </c>
      <c r="AA41" s="55" t="e">
        <f>IF(AND('Mapa final'!#REF!="Baja",'Mapa final'!#REF!="Moderado"),CONCATENATE("R6C",'Mapa final'!#REF!),"")</f>
        <v>#REF!</v>
      </c>
      <c r="AB41" s="38" t="str">
        <f ca="1">IF(AND('Mapa final'!$AG$25="Baja",'Mapa final'!$AI$25="Mayor"),CONCATENATE("R6C",'Mapa final'!$W$25),"")</f>
        <v/>
      </c>
      <c r="AC41" s="39" t="str">
        <f ca="1">IF(AND('Mapa final'!$AG$26="Baja",'Mapa final'!$AI$26="Mayor"),CONCATENATE("R6C",'Mapa final'!$W$26),"")</f>
        <v/>
      </c>
      <c r="AD41" s="39" t="e">
        <f>IF(AND('Mapa final'!#REF!="Baja",'Mapa final'!#REF!="Mayor"),CONCATENATE("R6C",'Mapa final'!#REF!),"")</f>
        <v>#REF!</v>
      </c>
      <c r="AE41" s="39" t="e">
        <f>IF(AND('Mapa final'!#REF!="Baja",'Mapa final'!#REF!="Mayor"),CONCATENATE("R6C",'Mapa final'!#REF!),"")</f>
        <v>#REF!</v>
      </c>
      <c r="AF41" s="39" t="e">
        <f>IF(AND('Mapa final'!#REF!="Baja",'Mapa final'!#REF!="Mayor"),CONCATENATE("R6C",'Mapa final'!#REF!),"")</f>
        <v>#REF!</v>
      </c>
      <c r="AG41" s="40" t="e">
        <f>IF(AND('Mapa final'!#REF!="Baja",'Mapa final'!#REF!="Mayor"),CONCATENATE("R6C",'Mapa final'!#REF!),"")</f>
        <v>#REF!</v>
      </c>
      <c r="AH41" s="41" t="str">
        <f ca="1">IF(AND('Mapa final'!$AG$25="Baja",'Mapa final'!$AI$25="Catastrófico"),CONCATENATE("R6C",'Mapa final'!$W$25),"")</f>
        <v/>
      </c>
      <c r="AI41" s="42" t="str">
        <f ca="1">IF(AND('Mapa final'!$AG$26="Baja",'Mapa final'!$AI$26="Catastrófico"),CONCATENATE("R6C",'Mapa final'!$W$26),"")</f>
        <v/>
      </c>
      <c r="AJ41" s="42" t="e">
        <f>IF(AND('Mapa final'!#REF!="Baja",'Mapa final'!#REF!="Catastrófico"),CONCATENATE("R6C",'Mapa final'!#REF!),"")</f>
        <v>#REF!</v>
      </c>
      <c r="AK41" s="42" t="e">
        <f>IF(AND('Mapa final'!#REF!="Baja",'Mapa final'!#REF!="Catastrófico"),CONCATENATE("R6C",'Mapa final'!#REF!),"")</f>
        <v>#REF!</v>
      </c>
      <c r="AL41" s="42" t="e">
        <f>IF(AND('Mapa final'!#REF!="Baja",'Mapa final'!#REF!="Catastrófico"),CONCATENATE("R6C",'Mapa final'!#REF!),"")</f>
        <v>#REF!</v>
      </c>
      <c r="AM41" s="43" t="e">
        <f>IF(AND('Mapa final'!#REF!="Baja",'Mapa final'!#REF!="Catastrófico"),CONCATENATE("R6C",'Mapa final'!#REF!),"")</f>
        <v>#REF!</v>
      </c>
      <c r="AN41" s="69"/>
      <c r="AO41" s="617"/>
      <c r="AP41" s="618"/>
      <c r="AQ41" s="618"/>
      <c r="AR41" s="618"/>
      <c r="AS41" s="618"/>
      <c r="AT41" s="61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18"/>
      <c r="C42" s="518"/>
      <c r="D42" s="519"/>
      <c r="E42" s="599"/>
      <c r="F42" s="597"/>
      <c r="G42" s="597"/>
      <c r="H42" s="597"/>
      <c r="I42" s="597"/>
      <c r="J42" s="62" t="str">
        <f ca="1">IF(AND('Mapa final'!$AG$27="Baja",'Mapa final'!$AI$27="Leve"),CONCATENATE("R7C",'Mapa final'!$W$27),"")</f>
        <v/>
      </c>
      <c r="K42" s="63" t="str">
        <f ca="1">IF(AND('Mapa final'!$AG$28="Baja",'Mapa final'!$AI$28="Leve"),CONCATENATE("R7C",'Mapa final'!$W$28),"")</f>
        <v/>
      </c>
      <c r="L42" s="63" t="e">
        <f>IF(AND('Mapa final'!#REF!="Baja",'Mapa final'!#REF!="Leve"),CONCATENATE("R7C",'Mapa final'!#REF!),"")</f>
        <v>#REF!</v>
      </c>
      <c r="M42" s="63" t="e">
        <f>IF(AND('Mapa final'!#REF!="Baja",'Mapa final'!#REF!="Leve"),CONCATENATE("R7C",'Mapa final'!#REF!),"")</f>
        <v>#REF!</v>
      </c>
      <c r="N42" s="63" t="e">
        <f>IF(AND('Mapa final'!#REF!="Baja",'Mapa final'!#REF!="Leve"),CONCATENATE("R7C",'Mapa final'!#REF!),"")</f>
        <v>#REF!</v>
      </c>
      <c r="O42" s="64" t="e">
        <f>IF(AND('Mapa final'!#REF!="Baja",'Mapa final'!#REF!="Leve"),CONCATENATE("R7C",'Mapa final'!#REF!),"")</f>
        <v>#REF!</v>
      </c>
      <c r="P42" s="53" t="str">
        <f ca="1">IF(AND('Mapa final'!$AG$27="Baja",'Mapa final'!$AI$27="Menor"),CONCATENATE("R7C",'Mapa final'!$W$27),"")</f>
        <v/>
      </c>
      <c r="Q42" s="54" t="str">
        <f ca="1">IF(AND('Mapa final'!$AG$28="Baja",'Mapa final'!$AI$28="Menor"),CONCATENATE("R7C",'Mapa final'!$W$28),"")</f>
        <v/>
      </c>
      <c r="R42" s="54" t="e">
        <f>IF(AND('Mapa final'!#REF!="Baja",'Mapa final'!#REF!="Menor"),CONCATENATE("R7C",'Mapa final'!#REF!),"")</f>
        <v>#REF!</v>
      </c>
      <c r="S42" s="54" t="e">
        <f>IF(AND('Mapa final'!#REF!="Baja",'Mapa final'!#REF!="Menor"),CONCATENATE("R7C",'Mapa final'!#REF!),"")</f>
        <v>#REF!</v>
      </c>
      <c r="T42" s="54" t="e">
        <f>IF(AND('Mapa final'!#REF!="Baja",'Mapa final'!#REF!="Menor"),CONCATENATE("R7C",'Mapa final'!#REF!),"")</f>
        <v>#REF!</v>
      </c>
      <c r="U42" s="55" t="e">
        <f>IF(AND('Mapa final'!#REF!="Baja",'Mapa final'!#REF!="Menor"),CONCATENATE("R7C",'Mapa final'!#REF!),"")</f>
        <v>#REF!</v>
      </c>
      <c r="V42" s="53" t="str">
        <f ca="1">IF(AND('Mapa final'!$AG$27="Baja",'Mapa final'!$AI$27="Moderado"),CONCATENATE("R7C",'Mapa final'!$W$27),"")</f>
        <v>R7C1</v>
      </c>
      <c r="W42" s="54" t="str">
        <f ca="1">IF(AND('Mapa final'!$AG$28="Baja",'Mapa final'!$AI$28="Moderado"),CONCATENATE("R7C",'Mapa final'!$W$28),"")</f>
        <v>R7C2</v>
      </c>
      <c r="X42" s="54" t="e">
        <f>IF(AND('Mapa final'!#REF!="Baja",'Mapa final'!#REF!="Moderado"),CONCATENATE("R7C",'Mapa final'!#REF!),"")</f>
        <v>#REF!</v>
      </c>
      <c r="Y42" s="54" t="e">
        <f>IF(AND('Mapa final'!#REF!="Baja",'Mapa final'!#REF!="Moderado"),CONCATENATE("R7C",'Mapa final'!#REF!),"")</f>
        <v>#REF!</v>
      </c>
      <c r="Z42" s="54" t="e">
        <f>IF(AND('Mapa final'!#REF!="Baja",'Mapa final'!#REF!="Moderado"),CONCATENATE("R7C",'Mapa final'!#REF!),"")</f>
        <v>#REF!</v>
      </c>
      <c r="AA42" s="55" t="e">
        <f>IF(AND('Mapa final'!#REF!="Baja",'Mapa final'!#REF!="Moderado"),CONCATENATE("R7C",'Mapa final'!#REF!),"")</f>
        <v>#REF!</v>
      </c>
      <c r="AB42" s="38" t="str">
        <f ca="1">IF(AND('Mapa final'!$AG$27="Baja",'Mapa final'!$AI$27="Mayor"),CONCATENATE("R7C",'Mapa final'!$W$27),"")</f>
        <v/>
      </c>
      <c r="AC42" s="39" t="str">
        <f ca="1">IF(AND('Mapa final'!$AG$28="Baja",'Mapa final'!$AI$28="Mayor"),CONCATENATE("R7C",'Mapa final'!$W$28),"")</f>
        <v/>
      </c>
      <c r="AD42" s="39" t="e">
        <f>IF(AND('Mapa final'!#REF!="Baja",'Mapa final'!#REF!="Mayor"),CONCATENATE("R7C",'Mapa final'!#REF!),"")</f>
        <v>#REF!</v>
      </c>
      <c r="AE42" s="39" t="e">
        <f>IF(AND('Mapa final'!#REF!="Baja",'Mapa final'!#REF!="Mayor"),CONCATENATE("R7C",'Mapa final'!#REF!),"")</f>
        <v>#REF!</v>
      </c>
      <c r="AF42" s="39" t="e">
        <f>IF(AND('Mapa final'!#REF!="Baja",'Mapa final'!#REF!="Mayor"),CONCATENATE("R7C",'Mapa final'!#REF!),"")</f>
        <v>#REF!</v>
      </c>
      <c r="AG42" s="40" t="e">
        <f>IF(AND('Mapa final'!#REF!="Baja",'Mapa final'!#REF!="Mayor"),CONCATENATE("R7C",'Mapa final'!#REF!),"")</f>
        <v>#REF!</v>
      </c>
      <c r="AH42" s="41" t="str">
        <f ca="1">IF(AND('Mapa final'!$AG$27="Baja",'Mapa final'!$AI$27="Catastrófico"),CONCATENATE("R7C",'Mapa final'!$W$27),"")</f>
        <v/>
      </c>
      <c r="AI42" s="42" t="str">
        <f ca="1">IF(AND('Mapa final'!$AG$28="Baja",'Mapa final'!$AI$28="Catastrófico"),CONCATENATE("R7C",'Mapa final'!$W$28),"")</f>
        <v/>
      </c>
      <c r="AJ42" s="42" t="e">
        <f>IF(AND('Mapa final'!#REF!="Baja",'Mapa final'!#REF!="Catastrófico"),CONCATENATE("R7C",'Mapa final'!#REF!),"")</f>
        <v>#REF!</v>
      </c>
      <c r="AK42" s="42" t="e">
        <f>IF(AND('Mapa final'!#REF!="Baja",'Mapa final'!#REF!="Catastrófico"),CONCATENATE("R7C",'Mapa final'!#REF!),"")</f>
        <v>#REF!</v>
      </c>
      <c r="AL42" s="42" t="e">
        <f>IF(AND('Mapa final'!#REF!="Baja",'Mapa final'!#REF!="Catastrófico"),CONCATENATE("R7C",'Mapa final'!#REF!),"")</f>
        <v>#REF!</v>
      </c>
      <c r="AM42" s="43" t="e">
        <f>IF(AND('Mapa final'!#REF!="Baja",'Mapa final'!#REF!="Catastrófico"),CONCATENATE("R7C",'Mapa final'!#REF!),"")</f>
        <v>#REF!</v>
      </c>
      <c r="AN42" s="69"/>
      <c r="AO42" s="617"/>
      <c r="AP42" s="618"/>
      <c r="AQ42" s="618"/>
      <c r="AR42" s="618"/>
      <c r="AS42" s="618"/>
      <c r="AT42" s="61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18"/>
      <c r="C43" s="518"/>
      <c r="D43" s="519"/>
      <c r="E43" s="599"/>
      <c r="F43" s="597"/>
      <c r="G43" s="597"/>
      <c r="H43" s="597"/>
      <c r="I43" s="597"/>
      <c r="J43" s="62" t="str">
        <f ca="1">IF(AND('Mapa final'!$AG$29="Baja",'Mapa final'!$AI$29="Leve"),CONCATENATE("R8C",'Mapa final'!$W$29),"")</f>
        <v/>
      </c>
      <c r="K43" s="63" t="str">
        <f ca="1">IF(AND('Mapa final'!$AG$30="Baja",'Mapa final'!$AI$30="Leve"),CONCATENATE("R8C",'Mapa final'!$W$30),"")</f>
        <v/>
      </c>
      <c r="L43" s="63" t="str">
        <f ca="1">IF(AND('Mapa final'!$AG$31="Baja",'Mapa final'!$AI$31="Leve"),CONCATENATE("R8C",'Mapa final'!$W$31),"")</f>
        <v/>
      </c>
      <c r="M43" s="63" t="str">
        <f ca="1">IF(AND('Mapa final'!$AG$32="Baja",'Mapa final'!$AI$32="Leve"),CONCATENATE("R8C",'Mapa final'!$W$32),"")</f>
        <v/>
      </c>
      <c r="N43" s="63" t="e">
        <f>IF(AND('Mapa final'!#REF!="Baja",'Mapa final'!#REF!="Leve"),CONCATENATE("R8C",'Mapa final'!#REF!),"")</f>
        <v>#REF!</v>
      </c>
      <c r="O43" s="64" t="e">
        <f>IF(AND('Mapa final'!#REF!="Baja",'Mapa final'!#REF!="Leve"),CONCATENATE("R8C",'Mapa final'!#REF!),"")</f>
        <v>#REF!</v>
      </c>
      <c r="P43" s="53" t="str">
        <f ca="1">IF(AND('Mapa final'!$AG$29="Baja",'Mapa final'!$AI$29="Menor"),CONCATENATE("R8C",'Mapa final'!$W$29),"")</f>
        <v/>
      </c>
      <c r="Q43" s="54" t="str">
        <f ca="1">IF(AND('Mapa final'!$AG$30="Baja",'Mapa final'!$AI$30="Menor"),CONCATENATE("R8C",'Mapa final'!$W$30),"")</f>
        <v/>
      </c>
      <c r="R43" s="54" t="str">
        <f ca="1">IF(AND('Mapa final'!$AG$31="Baja",'Mapa final'!$AI$31="Menor"),CONCATENATE("R8C",'Mapa final'!$W$31),"")</f>
        <v/>
      </c>
      <c r="S43" s="54" t="str">
        <f ca="1">IF(AND('Mapa final'!$AG$32="Baja",'Mapa final'!$AI$32="Menor"),CONCATENATE("R8C",'Mapa final'!$W$32),"")</f>
        <v/>
      </c>
      <c r="T43" s="54" t="e">
        <f>IF(AND('Mapa final'!#REF!="Baja",'Mapa final'!#REF!="Menor"),CONCATENATE("R8C",'Mapa final'!#REF!),"")</f>
        <v>#REF!</v>
      </c>
      <c r="U43" s="55" t="e">
        <f>IF(AND('Mapa final'!#REF!="Baja",'Mapa final'!#REF!="Menor"),CONCATENATE("R8C",'Mapa final'!#REF!),"")</f>
        <v>#REF!</v>
      </c>
      <c r="V43" s="53" t="str">
        <f ca="1">IF(AND('Mapa final'!$AG$29="Baja",'Mapa final'!$AI$29="Moderado"),CONCATENATE("R8C",'Mapa final'!$W$29),"")</f>
        <v/>
      </c>
      <c r="W43" s="54" t="str">
        <f ca="1">IF(AND('Mapa final'!$AG$30="Baja",'Mapa final'!$AI$30="Moderado"),CONCATENATE("R8C",'Mapa final'!$W$30),"")</f>
        <v>R8C2</v>
      </c>
      <c r="X43" s="54" t="str">
        <f ca="1">IF(AND('Mapa final'!$AG$31="Baja",'Mapa final'!$AI$31="Moderado"),CONCATENATE("R8C",'Mapa final'!$W$31),"")</f>
        <v/>
      </c>
      <c r="Y43" s="54" t="str">
        <f ca="1">IF(AND('Mapa final'!$AG$32="Baja",'Mapa final'!$AI$32="Moderado"),CONCATENATE("R8C",'Mapa final'!$W$32),"")</f>
        <v/>
      </c>
      <c r="Z43" s="54" t="e">
        <f>IF(AND('Mapa final'!#REF!="Baja",'Mapa final'!#REF!="Moderado"),CONCATENATE("R8C",'Mapa final'!#REF!),"")</f>
        <v>#REF!</v>
      </c>
      <c r="AA43" s="55" t="e">
        <f>IF(AND('Mapa final'!#REF!="Baja",'Mapa final'!#REF!="Moderado"),CONCATENATE("R8C",'Mapa final'!#REF!),"")</f>
        <v>#REF!</v>
      </c>
      <c r="AB43" s="38" t="str">
        <f ca="1">IF(AND('Mapa final'!$AG$29="Baja",'Mapa final'!$AI$29="Mayor"),CONCATENATE("R8C",'Mapa final'!$W$29),"")</f>
        <v/>
      </c>
      <c r="AC43" s="39" t="str">
        <f ca="1">IF(AND('Mapa final'!$AG$30="Baja",'Mapa final'!$AI$30="Mayor"),CONCATENATE("R8C",'Mapa final'!$W$30),"")</f>
        <v/>
      </c>
      <c r="AD43" s="39" t="str">
        <f ca="1">IF(AND('Mapa final'!$AG$31="Baja",'Mapa final'!$AI$31="Mayor"),CONCATENATE("R8C",'Mapa final'!$W$31),"")</f>
        <v/>
      </c>
      <c r="AE43" s="39" t="str">
        <f ca="1">IF(AND('Mapa final'!$AG$32="Baja",'Mapa final'!$AI$32="Mayor"),CONCATENATE("R8C",'Mapa final'!$W$32),"")</f>
        <v/>
      </c>
      <c r="AF43" s="39" t="e">
        <f>IF(AND('Mapa final'!#REF!="Baja",'Mapa final'!#REF!="Mayor"),CONCATENATE("R8C",'Mapa final'!#REF!),"")</f>
        <v>#REF!</v>
      </c>
      <c r="AG43" s="40" t="e">
        <f>IF(AND('Mapa final'!#REF!="Baja",'Mapa final'!#REF!="Mayor"),CONCATENATE("R8C",'Mapa final'!#REF!),"")</f>
        <v>#REF!</v>
      </c>
      <c r="AH43" s="41" t="str">
        <f ca="1">IF(AND('Mapa final'!$AG$29="Baja",'Mapa final'!$AI$29="Catastrófico"),CONCATENATE("R8C",'Mapa final'!$W$29),"")</f>
        <v/>
      </c>
      <c r="AI43" s="42" t="str">
        <f ca="1">IF(AND('Mapa final'!$AG$30="Baja",'Mapa final'!$AI$30="Catastrófico"),CONCATENATE("R8C",'Mapa final'!$W$30),"")</f>
        <v/>
      </c>
      <c r="AJ43" s="42" t="str">
        <f ca="1">IF(AND('Mapa final'!$AG$31="Baja",'Mapa final'!$AI$31="Catastrófico"),CONCATENATE("R8C",'Mapa final'!$W$31),"")</f>
        <v/>
      </c>
      <c r="AK43" s="42" t="str">
        <f ca="1">IF(AND('Mapa final'!$AG$32="Baja",'Mapa final'!$AI$32="Catastrófico"),CONCATENATE("R8C",'Mapa final'!$W$32),"")</f>
        <v/>
      </c>
      <c r="AL43" s="42" t="e">
        <f>IF(AND('Mapa final'!#REF!="Baja",'Mapa final'!#REF!="Catastrófico"),CONCATENATE("R8C",'Mapa final'!#REF!),"")</f>
        <v>#REF!</v>
      </c>
      <c r="AM43" s="43" t="e">
        <f>IF(AND('Mapa final'!#REF!="Baja",'Mapa final'!#REF!="Catastrófico"),CONCATENATE("R8C",'Mapa final'!#REF!),"")</f>
        <v>#REF!</v>
      </c>
      <c r="AN43" s="69"/>
      <c r="AO43" s="617"/>
      <c r="AP43" s="618"/>
      <c r="AQ43" s="618"/>
      <c r="AR43" s="618"/>
      <c r="AS43" s="618"/>
      <c r="AT43" s="61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18"/>
      <c r="C44" s="518"/>
      <c r="D44" s="519"/>
      <c r="E44" s="599"/>
      <c r="F44" s="597"/>
      <c r="G44" s="597"/>
      <c r="H44" s="597"/>
      <c r="I44" s="597"/>
      <c r="J44" s="62" t="str">
        <f ca="1">IF(AND('Mapa final'!$AG$33="Baja",'Mapa final'!$AI$33="Leve"),CONCATENATE("R9C",'Mapa final'!$W$33),"")</f>
        <v/>
      </c>
      <c r="K44" s="63" t="str">
        <f ca="1">IF(AND('Mapa final'!$AG$34="Baja",'Mapa final'!$AI$34="Leve"),CONCATENATE("R9C",'Mapa final'!$W$34),"")</f>
        <v/>
      </c>
      <c r="L44" s="63" t="str">
        <f ca="1">IF(AND('Mapa final'!$AG$35="Baja",'Mapa final'!$AI$35="Leve"),CONCATENATE("R9C",'Mapa final'!$W$35),"")</f>
        <v/>
      </c>
      <c r="M44" s="63" t="str">
        <f ca="1">IF(AND('Mapa final'!$AG$36="Baja",'Mapa final'!$AI$36="Leve"),CONCATENATE("R9C",'Mapa final'!$W$36),"")</f>
        <v/>
      </c>
      <c r="N44" s="63" t="str">
        <f ca="1">IF(AND('Mapa final'!$AG$37="Baja",'Mapa final'!$AI$37="Leve"),CONCATENATE("R9C",'Mapa final'!$W$37),"")</f>
        <v/>
      </c>
      <c r="O44" s="64" t="e">
        <f>IF(AND('Mapa final'!#REF!="Baja",'Mapa final'!#REF!="Leve"),CONCATENATE("R9C",'Mapa final'!#REF!),"")</f>
        <v>#REF!</v>
      </c>
      <c r="P44" s="53" t="str">
        <f ca="1">IF(AND('Mapa final'!$AG$33="Baja",'Mapa final'!$AI$33="Menor"),CONCATENATE("R9C",'Mapa final'!$W$33),"")</f>
        <v/>
      </c>
      <c r="Q44" s="54" t="str">
        <f ca="1">IF(AND('Mapa final'!$AG$34="Baja",'Mapa final'!$AI$34="Menor"),CONCATENATE("R9C",'Mapa final'!$W$34),"")</f>
        <v/>
      </c>
      <c r="R44" s="54" t="str">
        <f ca="1">IF(AND('Mapa final'!$AG$35="Baja",'Mapa final'!$AI$35="Menor"),CONCATENATE("R9C",'Mapa final'!$W$35),"")</f>
        <v/>
      </c>
      <c r="S44" s="54" t="str">
        <f ca="1">IF(AND('Mapa final'!$AG$36="Baja",'Mapa final'!$AI$36="Menor"),CONCATENATE("R9C",'Mapa final'!$W$36),"")</f>
        <v/>
      </c>
      <c r="T44" s="54" t="str">
        <f ca="1">IF(AND('Mapa final'!$AG$37="Baja",'Mapa final'!$AI$37="Menor"),CONCATENATE("R9C",'Mapa final'!$W$37),"")</f>
        <v/>
      </c>
      <c r="U44" s="55" t="e">
        <f>IF(AND('Mapa final'!#REF!="Baja",'Mapa final'!#REF!="Menor"),CONCATENATE("R9C",'Mapa final'!#REF!),"")</f>
        <v>#REF!</v>
      </c>
      <c r="V44" s="53" t="str">
        <f ca="1">IF(AND('Mapa final'!$AG$33="Baja",'Mapa final'!$AI$33="Moderado"),CONCATENATE("R9C",'Mapa final'!$W$33),"")</f>
        <v/>
      </c>
      <c r="W44" s="54" t="str">
        <f ca="1">IF(AND('Mapa final'!$AG$34="Baja",'Mapa final'!$AI$34="Moderado"),CONCATENATE("R9C",'Mapa final'!$W$34),"")</f>
        <v/>
      </c>
      <c r="X44" s="54" t="str">
        <f ca="1">IF(AND('Mapa final'!$AG$35="Baja",'Mapa final'!$AI$35="Moderado"),CONCATENATE("R9C",'Mapa final'!$W$35),"")</f>
        <v/>
      </c>
      <c r="Y44" s="54" t="str">
        <f ca="1">IF(AND('Mapa final'!$AG$36="Baja",'Mapa final'!$AI$36="Moderado"),CONCATENATE("R9C",'Mapa final'!$W$36),"")</f>
        <v/>
      </c>
      <c r="Z44" s="54" t="str">
        <f ca="1">IF(AND('Mapa final'!$AG$37="Baja",'Mapa final'!$AI$37="Moderado"),CONCATENATE("R9C",'Mapa final'!$W$37),"")</f>
        <v/>
      </c>
      <c r="AA44" s="55" t="e">
        <f>IF(AND('Mapa final'!#REF!="Baja",'Mapa final'!#REF!="Moderado"),CONCATENATE("R9C",'Mapa final'!#REF!),"")</f>
        <v>#REF!</v>
      </c>
      <c r="AB44" s="38" t="str">
        <f ca="1">IF(AND('Mapa final'!$AG$33="Baja",'Mapa final'!$AI$33="Mayor"),CONCATENATE("R9C",'Mapa final'!$W$33),"")</f>
        <v/>
      </c>
      <c r="AC44" s="39" t="str">
        <f ca="1">IF(AND('Mapa final'!$AG$34="Baja",'Mapa final'!$AI$34="Mayor"),CONCATENATE("R9C",'Mapa final'!$W$34),"")</f>
        <v/>
      </c>
      <c r="AD44" s="39" t="str">
        <f ca="1">IF(AND('Mapa final'!$AG$35="Baja",'Mapa final'!$AI$35="Mayor"),CONCATENATE("R9C",'Mapa final'!$W$35),"")</f>
        <v/>
      </c>
      <c r="AE44" s="39" t="str">
        <f ca="1">IF(AND('Mapa final'!$AG$36="Baja",'Mapa final'!$AI$36="Mayor"),CONCATENATE("R9C",'Mapa final'!$W$36),"")</f>
        <v/>
      </c>
      <c r="AF44" s="39" t="str">
        <f ca="1">IF(AND('Mapa final'!$AG$37="Baja",'Mapa final'!$AI$37="Mayor"),CONCATENATE("R9C",'Mapa final'!$W$37),"")</f>
        <v/>
      </c>
      <c r="AG44" s="40" t="e">
        <f>IF(AND('Mapa final'!#REF!="Baja",'Mapa final'!#REF!="Mayor"),CONCATENATE("R9C",'Mapa final'!#REF!),"")</f>
        <v>#REF!</v>
      </c>
      <c r="AH44" s="41" t="str">
        <f ca="1">IF(AND('Mapa final'!$AG$33="Baja",'Mapa final'!$AI$33="Catastrófico"),CONCATENATE("R9C",'Mapa final'!$W$33),"")</f>
        <v>R9C1</v>
      </c>
      <c r="AI44" s="42" t="str">
        <f ca="1">IF(AND('Mapa final'!$AG$34="Baja",'Mapa final'!$AI$34="Catastrófico"),CONCATENATE("R9C",'Mapa final'!$W$34),"")</f>
        <v>R9C2</v>
      </c>
      <c r="AJ44" s="42" t="str">
        <f ca="1">IF(AND('Mapa final'!$AG$35="Baja",'Mapa final'!$AI$35="Catastrófico"),CONCATENATE("R9C",'Mapa final'!$W$35),"")</f>
        <v/>
      </c>
      <c r="AK44" s="42" t="str">
        <f ca="1">IF(AND('Mapa final'!$AG$36="Baja",'Mapa final'!$AI$36="Catastrófico"),CONCATENATE("R9C",'Mapa final'!$W$36),"")</f>
        <v/>
      </c>
      <c r="AL44" s="42" t="str">
        <f ca="1">IF(AND('Mapa final'!$AG$37="Baja",'Mapa final'!$AI$37="Catastrófico"),CONCATENATE("R9C",'Mapa final'!$W$37),"")</f>
        <v/>
      </c>
      <c r="AM44" s="43" t="e">
        <f>IF(AND('Mapa final'!#REF!="Baja",'Mapa final'!#REF!="Catastrófico"),CONCATENATE("R9C",'Mapa final'!#REF!),"")</f>
        <v>#REF!</v>
      </c>
      <c r="AN44" s="69"/>
      <c r="AO44" s="617"/>
      <c r="AP44" s="618"/>
      <c r="AQ44" s="618"/>
      <c r="AR44" s="618"/>
      <c r="AS44" s="618"/>
      <c r="AT44" s="61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18"/>
      <c r="C45" s="518"/>
      <c r="D45" s="519"/>
      <c r="E45" s="600"/>
      <c r="F45" s="601"/>
      <c r="G45" s="601"/>
      <c r="H45" s="601"/>
      <c r="I45" s="601"/>
      <c r="J45" s="65" t="str">
        <f ca="1">IF(AND('Mapa final'!$AG$38="Baja",'Mapa final'!$AI$38="Leve"),CONCATENATE("R10C",'Mapa final'!$W$38),"")</f>
        <v/>
      </c>
      <c r="K45" s="66" t="str">
        <f ca="1">IF(AND('Mapa final'!$AG$39="Baja",'Mapa final'!$AI$39="Leve"),CONCATENATE("R10C",'Mapa final'!$W$39),"")</f>
        <v/>
      </c>
      <c r="L45" s="66" t="e">
        <f>IF(AND('Mapa final'!#REF!="Baja",'Mapa final'!#REF!="Leve"),CONCATENATE("R10C",'Mapa final'!#REF!),"")</f>
        <v>#REF!</v>
      </c>
      <c r="M45" s="66" t="e">
        <f>IF(AND('Mapa final'!#REF!="Baja",'Mapa final'!#REF!="Leve"),CONCATENATE("R10C",'Mapa final'!#REF!),"")</f>
        <v>#REF!</v>
      </c>
      <c r="N45" s="66" t="e">
        <f>IF(AND('Mapa final'!#REF!="Baja",'Mapa final'!#REF!="Leve"),CONCATENATE("R10C",'Mapa final'!#REF!),"")</f>
        <v>#REF!</v>
      </c>
      <c r="O45" s="67" t="e">
        <f>IF(AND('Mapa final'!#REF!="Baja",'Mapa final'!#REF!="Leve"),CONCATENATE("R10C",'Mapa final'!#REF!),"")</f>
        <v>#REF!</v>
      </c>
      <c r="P45" s="53" t="str">
        <f ca="1">IF(AND('Mapa final'!$AG$38="Baja",'Mapa final'!$AI$38="Menor"),CONCATENATE("R10C",'Mapa final'!$W$38),"")</f>
        <v/>
      </c>
      <c r="Q45" s="54" t="str">
        <f ca="1">IF(AND('Mapa final'!$AG$39="Baja",'Mapa final'!$AI$39="Menor"),CONCATENATE("R10C",'Mapa final'!$W$39),"")</f>
        <v/>
      </c>
      <c r="R45" s="54" t="e">
        <f>IF(AND('Mapa final'!#REF!="Baja",'Mapa final'!#REF!="Menor"),CONCATENATE("R10C",'Mapa final'!#REF!),"")</f>
        <v>#REF!</v>
      </c>
      <c r="S45" s="54" t="e">
        <f>IF(AND('Mapa final'!#REF!="Baja",'Mapa final'!#REF!="Menor"),CONCATENATE("R10C",'Mapa final'!#REF!),"")</f>
        <v>#REF!</v>
      </c>
      <c r="T45" s="54" t="e">
        <f>IF(AND('Mapa final'!#REF!="Baja",'Mapa final'!#REF!="Menor"),CONCATENATE("R10C",'Mapa final'!#REF!),"")</f>
        <v>#REF!</v>
      </c>
      <c r="U45" s="55" t="e">
        <f>IF(AND('Mapa final'!#REF!="Baja",'Mapa final'!#REF!="Menor"),CONCATENATE("R10C",'Mapa final'!#REF!),"")</f>
        <v>#REF!</v>
      </c>
      <c r="V45" s="56" t="str">
        <f ca="1">IF(AND('Mapa final'!$AG$38="Baja",'Mapa final'!$AI$38="Moderado"),CONCATENATE("R10C",'Mapa final'!$W$38),"")</f>
        <v/>
      </c>
      <c r="W45" s="57" t="str">
        <f ca="1">IF(AND('Mapa final'!$AG$39="Baja",'Mapa final'!$AI$39="Moderado"),CONCATENATE("R10C",'Mapa final'!$W$39),"")</f>
        <v/>
      </c>
      <c r="X45" s="57" t="e">
        <f>IF(AND('Mapa final'!#REF!="Baja",'Mapa final'!#REF!="Moderado"),CONCATENATE("R10C",'Mapa final'!#REF!),"")</f>
        <v>#REF!</v>
      </c>
      <c r="Y45" s="57" t="e">
        <f>IF(AND('Mapa final'!#REF!="Baja",'Mapa final'!#REF!="Moderado"),CONCATENATE("R10C",'Mapa final'!#REF!),"")</f>
        <v>#REF!</v>
      </c>
      <c r="Z45" s="57" t="e">
        <f>IF(AND('Mapa final'!#REF!="Baja",'Mapa final'!#REF!="Moderado"),CONCATENATE("R10C",'Mapa final'!#REF!),"")</f>
        <v>#REF!</v>
      </c>
      <c r="AA45" s="58" t="e">
        <f>IF(AND('Mapa final'!#REF!="Baja",'Mapa final'!#REF!="Moderado"),CONCATENATE("R10C",'Mapa final'!#REF!),"")</f>
        <v>#REF!</v>
      </c>
      <c r="AB45" s="44" t="str">
        <f ca="1">IF(AND('Mapa final'!$AG$38="Baja",'Mapa final'!$AI$38="Mayor"),CONCATENATE("R10C",'Mapa final'!$W$38),"")</f>
        <v/>
      </c>
      <c r="AC45" s="45" t="str">
        <f ca="1">IF(AND('Mapa final'!$AG$39="Baja",'Mapa final'!$AI$39="Mayor"),CONCATENATE("R10C",'Mapa final'!$W$39),"")</f>
        <v>R10C2</v>
      </c>
      <c r="AD45" s="45" t="e">
        <f>IF(AND('Mapa final'!#REF!="Baja",'Mapa final'!#REF!="Mayor"),CONCATENATE("R10C",'Mapa final'!#REF!),"")</f>
        <v>#REF!</v>
      </c>
      <c r="AE45" s="45" t="e">
        <f>IF(AND('Mapa final'!#REF!="Baja",'Mapa final'!#REF!="Mayor"),CONCATENATE("R10C",'Mapa final'!#REF!),"")</f>
        <v>#REF!</v>
      </c>
      <c r="AF45" s="45" t="e">
        <f>IF(AND('Mapa final'!#REF!="Baja",'Mapa final'!#REF!="Mayor"),CONCATENATE("R10C",'Mapa final'!#REF!),"")</f>
        <v>#REF!</v>
      </c>
      <c r="AG45" s="46" t="e">
        <f>IF(AND('Mapa final'!#REF!="Baja",'Mapa final'!#REF!="Mayor"),CONCATENATE("R10C",'Mapa final'!#REF!),"")</f>
        <v>#REF!</v>
      </c>
      <c r="AH45" s="47" t="str">
        <f ca="1">IF(AND('Mapa final'!$AG$38="Baja",'Mapa final'!$AI$38="Catastrófico"),CONCATENATE("R10C",'Mapa final'!$W$38),"")</f>
        <v/>
      </c>
      <c r="AI45" s="48" t="str">
        <f ca="1">IF(AND('Mapa final'!$AG$39="Baja",'Mapa final'!$AI$39="Catastrófico"),CONCATENATE("R10C",'Mapa final'!$W$39),"")</f>
        <v/>
      </c>
      <c r="AJ45" s="48" t="e">
        <f>IF(AND('Mapa final'!#REF!="Baja",'Mapa final'!#REF!="Catastrófico"),CONCATENATE("R10C",'Mapa final'!#REF!),"")</f>
        <v>#REF!</v>
      </c>
      <c r="AK45" s="48" t="e">
        <f>IF(AND('Mapa final'!#REF!="Baja",'Mapa final'!#REF!="Catastrófico"),CONCATENATE("R10C",'Mapa final'!#REF!),"")</f>
        <v>#REF!</v>
      </c>
      <c r="AL45" s="48" t="e">
        <f>IF(AND('Mapa final'!#REF!="Baja",'Mapa final'!#REF!="Catastrófico"),CONCATENATE("R10C",'Mapa final'!#REF!),"")</f>
        <v>#REF!</v>
      </c>
      <c r="AM45" s="49" t="e">
        <f>IF(AND('Mapa final'!#REF!="Baja",'Mapa final'!#REF!="Catastrófico"),CONCATENATE("R10C",'Mapa final'!#REF!),"")</f>
        <v>#REF!</v>
      </c>
      <c r="AN45" s="69"/>
      <c r="AO45" s="620"/>
      <c r="AP45" s="621"/>
      <c r="AQ45" s="621"/>
      <c r="AR45" s="621"/>
      <c r="AS45" s="621"/>
      <c r="AT45" s="622"/>
    </row>
    <row r="46" spans="1:80" ht="46.5" customHeight="1" x14ac:dyDescent="0.35">
      <c r="A46" s="69"/>
      <c r="B46" s="518"/>
      <c r="C46" s="518"/>
      <c r="D46" s="519"/>
      <c r="E46" s="593" t="s">
        <v>137</v>
      </c>
      <c r="F46" s="594"/>
      <c r="G46" s="594"/>
      <c r="H46" s="594"/>
      <c r="I46" s="595"/>
      <c r="J46" s="59" t="str">
        <f ca="1">IF(AND('Mapa final'!$AG$13="Muy Baja",'Mapa final'!$AI$13="Leve"),CONCATENATE("R1C",'Mapa final'!$W$13),"")</f>
        <v/>
      </c>
      <c r="K46" s="60" t="str">
        <f ca="1">IF(AND('Mapa final'!$AG$14="Muy Baja",'Mapa final'!$AI$14="Leve"),CONCATENATE("R1C",'Mapa final'!$W$14),"")</f>
        <v/>
      </c>
      <c r="L46" s="60" t="e">
        <f>IF(AND('Mapa final'!#REF!="Muy Baja",'Mapa final'!#REF!="Leve"),CONCATENATE("R1C",'Mapa final'!#REF!),"")</f>
        <v>#REF!</v>
      </c>
      <c r="M46" s="60" t="e">
        <f>IF(AND('Mapa final'!#REF!="Muy Baja",'Mapa final'!#REF!="Leve"),CONCATENATE("R1C",'Mapa final'!#REF!),"")</f>
        <v>#REF!</v>
      </c>
      <c r="N46" s="60" t="e">
        <f>IF(AND('Mapa final'!#REF!="Muy Baja",'Mapa final'!#REF!="Leve"),CONCATENATE("R1C",'Mapa final'!#REF!),"")</f>
        <v>#REF!</v>
      </c>
      <c r="O46" s="61" t="e">
        <f>IF(AND('Mapa final'!#REF!="Muy Baja",'Mapa final'!#REF!="Leve"),CONCATENATE("R1C",'Mapa final'!#REF!),"")</f>
        <v>#REF!</v>
      </c>
      <c r="P46" s="59" t="str">
        <f ca="1">IF(AND('Mapa final'!$AG$13="Muy Baja",'Mapa final'!$AI$13="Menor"),CONCATENATE("R1C",'Mapa final'!$W$13),"")</f>
        <v/>
      </c>
      <c r="Q46" s="60" t="str">
        <f ca="1">IF(AND('Mapa final'!$AG$14="Muy Baja",'Mapa final'!$AI$14="Menor"),CONCATENATE("R1C",'Mapa final'!$W$14),"")</f>
        <v/>
      </c>
      <c r="R46" s="60" t="e">
        <f>IF(AND('Mapa final'!#REF!="Muy Baja",'Mapa final'!#REF!="Menor"),CONCATENATE("R1C",'Mapa final'!#REF!),"")</f>
        <v>#REF!</v>
      </c>
      <c r="S46" s="60" t="e">
        <f>IF(AND('Mapa final'!#REF!="Muy Baja",'Mapa final'!#REF!="Menor"),CONCATENATE("R1C",'Mapa final'!#REF!),"")</f>
        <v>#REF!</v>
      </c>
      <c r="T46" s="60" t="e">
        <f>IF(AND('Mapa final'!#REF!="Muy Baja",'Mapa final'!#REF!="Menor"),CONCATENATE("R1C",'Mapa final'!#REF!),"")</f>
        <v>#REF!</v>
      </c>
      <c r="U46" s="61" t="e">
        <f>IF(AND('Mapa final'!#REF!="Muy Baja",'Mapa final'!#REF!="Menor"),CONCATENATE("R1C",'Mapa final'!#REF!),"")</f>
        <v>#REF!</v>
      </c>
      <c r="V46" s="50" t="str">
        <f ca="1">IF(AND('Mapa final'!$AG$13="Muy Baja",'Mapa final'!$AI$13="Moderado"),CONCATENATE("R1C",'Mapa final'!$W$13),"")</f>
        <v/>
      </c>
      <c r="W46" s="68" t="str">
        <f ca="1">IF(AND('Mapa final'!$AG$14="Muy Baja",'Mapa final'!$AI$14="Moderado"),CONCATENATE("R1C",'Mapa final'!$W$14),"")</f>
        <v/>
      </c>
      <c r="X46" s="51" t="e">
        <f>IF(AND('Mapa final'!#REF!="Muy Baja",'Mapa final'!#REF!="Moderado"),CONCATENATE("R1C",'Mapa final'!#REF!),"")</f>
        <v>#REF!</v>
      </c>
      <c r="Y46" s="51" t="e">
        <f>IF(AND('Mapa final'!#REF!="Muy Baja",'Mapa final'!#REF!="Moderado"),CONCATENATE("R1C",'Mapa final'!#REF!),"")</f>
        <v>#REF!</v>
      </c>
      <c r="Z46" s="51" t="e">
        <f>IF(AND('Mapa final'!#REF!="Muy Baja",'Mapa final'!#REF!="Moderado"),CONCATENATE("R1C",'Mapa final'!#REF!),"")</f>
        <v>#REF!</v>
      </c>
      <c r="AA46" s="52" t="e">
        <f>IF(AND('Mapa final'!#REF!="Muy Baja",'Mapa final'!#REF!="Moderado"),CONCATENATE("R1C",'Mapa final'!#REF!),"")</f>
        <v>#REF!</v>
      </c>
      <c r="AB46" s="32" t="str">
        <f ca="1">IF(AND('Mapa final'!$AG$13="Muy Baja",'Mapa final'!$AI$13="Mayor"),CONCATENATE("R1C",'Mapa final'!$W$13),"")</f>
        <v/>
      </c>
      <c r="AC46" s="33" t="str">
        <f ca="1">IF(AND('Mapa final'!$AG$14="Muy Baja",'Mapa final'!$AI$14="Mayor"),CONCATENATE("R1C",'Mapa final'!$W$14),"")</f>
        <v/>
      </c>
      <c r="AD46" s="33" t="e">
        <f>IF(AND('Mapa final'!#REF!="Muy Baja",'Mapa final'!#REF!="Mayor"),CONCATENATE("R1C",'Mapa final'!#REF!),"")</f>
        <v>#REF!</v>
      </c>
      <c r="AE46" s="33" t="e">
        <f>IF(AND('Mapa final'!#REF!="Muy Baja",'Mapa final'!#REF!="Mayor"),CONCATENATE("R1C",'Mapa final'!#REF!),"")</f>
        <v>#REF!</v>
      </c>
      <c r="AF46" s="33" t="e">
        <f>IF(AND('Mapa final'!#REF!="Muy Baja",'Mapa final'!#REF!="Mayor"),CONCATENATE("R1C",'Mapa final'!#REF!),"")</f>
        <v>#REF!</v>
      </c>
      <c r="AG46" s="34" t="e">
        <f>IF(AND('Mapa final'!#REF!="Muy Baja",'Mapa final'!#REF!="Mayor"),CONCATENATE("R1C",'Mapa final'!#REF!),"")</f>
        <v>#REF!</v>
      </c>
      <c r="AH46" s="35" t="str">
        <f ca="1">IF(AND('Mapa final'!$AG$13="Muy Baja",'Mapa final'!$AI$13="Catastrófico"),CONCATENATE("R1C",'Mapa final'!$W$13),"")</f>
        <v/>
      </c>
      <c r="AI46" s="36" t="str">
        <f ca="1">IF(AND('Mapa final'!$AG$14="Muy Baja",'Mapa final'!$AI$14="Catastrófico"),CONCATENATE("R1C",'Mapa final'!$W$14),"")</f>
        <v/>
      </c>
      <c r="AJ46" s="36" t="e">
        <f>IF(AND('Mapa final'!#REF!="Muy Baja",'Mapa final'!#REF!="Catastrófico"),CONCATENATE("R1C",'Mapa final'!#REF!),"")</f>
        <v>#REF!</v>
      </c>
      <c r="AK46" s="36" t="e">
        <f>IF(AND('Mapa final'!#REF!="Muy Baja",'Mapa final'!#REF!="Catastrófico"),CONCATENATE("R1C",'Mapa final'!#REF!),"")</f>
        <v>#REF!</v>
      </c>
      <c r="AL46" s="36" t="e">
        <f>IF(AND('Mapa final'!#REF!="Muy Baja",'Mapa final'!#REF!="Catastrófico"),CONCATENATE("R1C",'Mapa final'!#REF!),"")</f>
        <v>#REF!</v>
      </c>
      <c r="AM46" s="37" t="e">
        <f>IF(AND('Mapa final'!#REF!="Muy Baja",'Mapa final'!#REF!="Catastrófico"),CONCATENATE("R1C",'Mapa final'!#REF!),"")</f>
        <v>#REF!</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18"/>
      <c r="C47" s="518"/>
      <c r="D47" s="519"/>
      <c r="E47" s="596"/>
      <c r="F47" s="597"/>
      <c r="G47" s="597"/>
      <c r="H47" s="597"/>
      <c r="I47" s="598"/>
      <c r="J47" s="62" t="str">
        <f ca="1">IF(AND('Mapa final'!$AG$15="Muy Baja",'Mapa final'!$AI$15="Leve"),CONCATENATE("R2C",'Mapa final'!$W$15),"")</f>
        <v/>
      </c>
      <c r="K47" s="63" t="str">
        <f ca="1">IF(AND('Mapa final'!$AG$16="Muy Baja",'Mapa final'!$AI$16="Leve"),CONCATENATE("R2C",'Mapa final'!$W$16),"")</f>
        <v/>
      </c>
      <c r="L47" s="63" t="e">
        <f>IF(AND('Mapa final'!#REF!="Muy Baja",'Mapa final'!#REF!="Leve"),CONCATENATE("R2C",'Mapa final'!#REF!),"")</f>
        <v>#REF!</v>
      </c>
      <c r="M47" s="63" t="e">
        <f>IF(AND('Mapa final'!#REF!="Muy Baja",'Mapa final'!#REF!="Leve"),CONCATENATE("R2C",'Mapa final'!#REF!),"")</f>
        <v>#REF!</v>
      </c>
      <c r="N47" s="63" t="e">
        <f>IF(AND('Mapa final'!#REF!="Muy Baja",'Mapa final'!#REF!="Leve"),CONCATENATE("R2C",'Mapa final'!#REF!),"")</f>
        <v>#REF!</v>
      </c>
      <c r="O47" s="64" t="e">
        <f>IF(AND('Mapa final'!#REF!="Muy Baja",'Mapa final'!#REF!="Leve"),CONCATENATE("R2C",'Mapa final'!#REF!),"")</f>
        <v>#REF!</v>
      </c>
      <c r="P47" s="62" t="str">
        <f ca="1">IF(AND('Mapa final'!$AG$15="Muy Baja",'Mapa final'!$AI$15="Menor"),CONCATENATE("R2C",'Mapa final'!$W$15),"")</f>
        <v/>
      </c>
      <c r="Q47" s="63" t="str">
        <f ca="1">IF(AND('Mapa final'!$AG$16="Muy Baja",'Mapa final'!$AI$16="Menor"),CONCATENATE("R2C",'Mapa final'!$W$16),"")</f>
        <v/>
      </c>
      <c r="R47" s="63" t="e">
        <f>IF(AND('Mapa final'!#REF!="Muy Baja",'Mapa final'!#REF!="Menor"),CONCATENATE("R2C",'Mapa final'!#REF!),"")</f>
        <v>#REF!</v>
      </c>
      <c r="S47" s="63" t="e">
        <f>IF(AND('Mapa final'!#REF!="Muy Baja",'Mapa final'!#REF!="Menor"),CONCATENATE("R2C",'Mapa final'!#REF!),"")</f>
        <v>#REF!</v>
      </c>
      <c r="T47" s="63" t="e">
        <f>IF(AND('Mapa final'!#REF!="Muy Baja",'Mapa final'!#REF!="Menor"),CONCATENATE("R2C",'Mapa final'!#REF!),"")</f>
        <v>#REF!</v>
      </c>
      <c r="U47" s="64" t="e">
        <f>IF(AND('Mapa final'!#REF!="Muy Baja",'Mapa final'!#REF!="Menor"),CONCATENATE("R2C",'Mapa final'!#REF!),"")</f>
        <v>#REF!</v>
      </c>
      <c r="V47" s="53" t="str">
        <f ca="1">IF(AND('Mapa final'!$AG$15="Muy Baja",'Mapa final'!$AI$15="Moderado"),CONCATENATE("R2C",'Mapa final'!$W$15),"")</f>
        <v/>
      </c>
      <c r="W47" s="54" t="str">
        <f ca="1">IF(AND('Mapa final'!$AG$16="Muy Baja",'Mapa final'!$AI$16="Moderado"),CONCATENATE("R2C",'Mapa final'!$W$16),"")</f>
        <v/>
      </c>
      <c r="X47" s="54" t="e">
        <f>IF(AND('Mapa final'!#REF!="Muy Baja",'Mapa final'!#REF!="Moderado"),CONCATENATE("R2C",'Mapa final'!#REF!),"")</f>
        <v>#REF!</v>
      </c>
      <c r="Y47" s="54" t="e">
        <f>IF(AND('Mapa final'!#REF!="Muy Baja",'Mapa final'!#REF!="Moderado"),CONCATENATE("R2C",'Mapa final'!#REF!),"")</f>
        <v>#REF!</v>
      </c>
      <c r="Z47" s="54" t="e">
        <f>IF(AND('Mapa final'!#REF!="Muy Baja",'Mapa final'!#REF!="Moderado"),CONCATENATE("R2C",'Mapa final'!#REF!),"")</f>
        <v>#REF!</v>
      </c>
      <c r="AA47" s="55" t="e">
        <f>IF(AND('Mapa final'!#REF!="Muy Baja",'Mapa final'!#REF!="Moderado"),CONCATENATE("R2C",'Mapa final'!#REF!),"")</f>
        <v>#REF!</v>
      </c>
      <c r="AB47" s="38" t="str">
        <f ca="1">IF(AND('Mapa final'!$AG$15="Muy Baja",'Mapa final'!$AI$15="Mayor"),CONCATENATE("R2C",'Mapa final'!$W$15),"")</f>
        <v/>
      </c>
      <c r="AC47" s="39" t="str">
        <f ca="1">IF(AND('Mapa final'!$AG$16="Muy Baja",'Mapa final'!$AI$16="Mayor"),CONCATENATE("R2C",'Mapa final'!$W$16),"")</f>
        <v/>
      </c>
      <c r="AD47" s="39" t="e">
        <f>IF(AND('Mapa final'!#REF!="Muy Baja",'Mapa final'!#REF!="Mayor"),CONCATENATE("R2C",'Mapa final'!#REF!),"")</f>
        <v>#REF!</v>
      </c>
      <c r="AE47" s="39" t="e">
        <f>IF(AND('Mapa final'!#REF!="Muy Baja",'Mapa final'!#REF!="Mayor"),CONCATENATE("R2C",'Mapa final'!#REF!),"")</f>
        <v>#REF!</v>
      </c>
      <c r="AF47" s="39" t="e">
        <f>IF(AND('Mapa final'!#REF!="Muy Baja",'Mapa final'!#REF!="Mayor"),CONCATENATE("R2C",'Mapa final'!#REF!),"")</f>
        <v>#REF!</v>
      </c>
      <c r="AG47" s="40" t="e">
        <f>IF(AND('Mapa final'!#REF!="Muy Baja",'Mapa final'!#REF!="Mayor"),CONCATENATE("R2C",'Mapa final'!#REF!),"")</f>
        <v>#REF!</v>
      </c>
      <c r="AH47" s="41" t="str">
        <f ca="1">IF(AND('Mapa final'!$AG$15="Muy Baja",'Mapa final'!$AI$15="Catastrófico"),CONCATENATE("R2C",'Mapa final'!$W$15),"")</f>
        <v/>
      </c>
      <c r="AI47" s="42" t="str">
        <f ca="1">IF(AND('Mapa final'!$AG$16="Muy Baja",'Mapa final'!$AI$16="Catastrófico"),CONCATENATE("R2C",'Mapa final'!$W$16),"")</f>
        <v/>
      </c>
      <c r="AJ47" s="42" t="e">
        <f>IF(AND('Mapa final'!#REF!="Muy Baja",'Mapa final'!#REF!="Catastrófico"),CONCATENATE("R2C",'Mapa final'!#REF!),"")</f>
        <v>#REF!</v>
      </c>
      <c r="AK47" s="42" t="e">
        <f>IF(AND('Mapa final'!#REF!="Muy Baja",'Mapa final'!#REF!="Catastrófico"),CONCATENATE("R2C",'Mapa final'!#REF!),"")</f>
        <v>#REF!</v>
      </c>
      <c r="AL47" s="42" t="e">
        <f>IF(AND('Mapa final'!#REF!="Muy Baja",'Mapa final'!#REF!="Catastrófico"),CONCATENATE("R2C",'Mapa final'!#REF!),"")</f>
        <v>#REF!</v>
      </c>
      <c r="AM47" s="43" t="e">
        <f>IF(AND('Mapa final'!#REF!="Muy Baja",'Mapa final'!#REF!="Catastrófico"),CONCATENATE("R2C",'Mapa final'!#REF!),"")</f>
        <v>#REF!</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18"/>
      <c r="C48" s="518"/>
      <c r="D48" s="519"/>
      <c r="E48" s="596"/>
      <c r="F48" s="597"/>
      <c r="G48" s="597"/>
      <c r="H48" s="597"/>
      <c r="I48" s="598"/>
      <c r="J48" s="62" t="str">
        <f ca="1">IF(AND('Mapa final'!$AG$17="Muy Baja",'Mapa final'!$AI$17="Leve"),CONCATENATE("R3C",'Mapa final'!$W$17),"")</f>
        <v/>
      </c>
      <c r="K48" s="63" t="str">
        <f ca="1">IF(AND('Mapa final'!$AG$18="Muy Baja",'Mapa final'!$AI$18="Leve"),CONCATENATE("R3C",'Mapa final'!$W$18),"")</f>
        <v/>
      </c>
      <c r="L48" s="63" t="str">
        <f ca="1">IF(AND('Mapa final'!$AG$19="Muy Baja",'Mapa final'!$AI$19="Leve"),CONCATENATE("R3C",'Mapa final'!$W$19),"")</f>
        <v/>
      </c>
      <c r="M48" s="63" t="e">
        <f>IF(AND('Mapa final'!#REF!="Muy Baja",'Mapa final'!#REF!="Leve"),CONCATENATE("R3C",'Mapa final'!#REF!),"")</f>
        <v>#REF!</v>
      </c>
      <c r="N48" s="63" t="e">
        <f>IF(AND('Mapa final'!#REF!="Muy Baja",'Mapa final'!#REF!="Leve"),CONCATENATE("R3C",'Mapa final'!#REF!),"")</f>
        <v>#REF!</v>
      </c>
      <c r="O48" s="64" t="e">
        <f>IF(AND('Mapa final'!#REF!="Muy Baja",'Mapa final'!#REF!="Leve"),CONCATENATE("R3C",'Mapa final'!#REF!),"")</f>
        <v>#REF!</v>
      </c>
      <c r="P48" s="62" t="str">
        <f ca="1">IF(AND('Mapa final'!$AG$17="Muy Baja",'Mapa final'!$AI$17="Menor"),CONCATENATE("R3C",'Mapa final'!$W$17),"")</f>
        <v/>
      </c>
      <c r="Q48" s="63" t="str">
        <f ca="1">IF(AND('Mapa final'!$AG$18="Muy Baja",'Mapa final'!$AI$18="Menor"),CONCATENATE("R3C",'Mapa final'!$W$18),"")</f>
        <v/>
      </c>
      <c r="R48" s="63" t="str">
        <f ca="1">IF(AND('Mapa final'!$AG$19="Muy Baja",'Mapa final'!$AI$19="Menor"),CONCATENATE("R3C",'Mapa final'!$W$19),"")</f>
        <v/>
      </c>
      <c r="S48" s="63" t="e">
        <f>IF(AND('Mapa final'!#REF!="Muy Baja",'Mapa final'!#REF!="Menor"),CONCATENATE("R3C",'Mapa final'!#REF!),"")</f>
        <v>#REF!</v>
      </c>
      <c r="T48" s="63" t="e">
        <f>IF(AND('Mapa final'!#REF!="Muy Baja",'Mapa final'!#REF!="Menor"),CONCATENATE("R3C",'Mapa final'!#REF!),"")</f>
        <v>#REF!</v>
      </c>
      <c r="U48" s="64" t="e">
        <f>IF(AND('Mapa final'!#REF!="Muy Baja",'Mapa final'!#REF!="Menor"),CONCATENATE("R3C",'Mapa final'!#REF!),"")</f>
        <v>#REF!</v>
      </c>
      <c r="V48" s="53" t="str">
        <f ca="1">IF(AND('Mapa final'!$AG$17="Muy Baja",'Mapa final'!$AI$17="Moderado"),CONCATENATE("R3C",'Mapa final'!$W$17),"")</f>
        <v/>
      </c>
      <c r="W48" s="54" t="str">
        <f ca="1">IF(AND('Mapa final'!$AG$18="Muy Baja",'Mapa final'!$AI$18="Moderado"),CONCATENATE("R3C",'Mapa final'!$W$18),"")</f>
        <v/>
      </c>
      <c r="X48" s="54" t="str">
        <f ca="1">IF(AND('Mapa final'!$AG$19="Muy Baja",'Mapa final'!$AI$19="Moderado"),CONCATENATE("R3C",'Mapa final'!$W$19),"")</f>
        <v/>
      </c>
      <c r="Y48" s="54" t="e">
        <f>IF(AND('Mapa final'!#REF!="Muy Baja",'Mapa final'!#REF!="Moderado"),CONCATENATE("R3C",'Mapa final'!#REF!),"")</f>
        <v>#REF!</v>
      </c>
      <c r="Z48" s="54" t="e">
        <f>IF(AND('Mapa final'!#REF!="Muy Baja",'Mapa final'!#REF!="Moderado"),CONCATENATE("R3C",'Mapa final'!#REF!),"")</f>
        <v>#REF!</v>
      </c>
      <c r="AA48" s="55" t="e">
        <f>IF(AND('Mapa final'!#REF!="Muy Baja",'Mapa final'!#REF!="Moderado"),CONCATENATE("R3C",'Mapa final'!#REF!),"")</f>
        <v>#REF!</v>
      </c>
      <c r="AB48" s="38" t="str">
        <f ca="1">IF(AND('Mapa final'!$AG$17="Muy Baja",'Mapa final'!$AI$17="Mayor"),CONCATENATE("R3C",'Mapa final'!$W$17),"")</f>
        <v>R3C1</v>
      </c>
      <c r="AC48" s="39" t="str">
        <f ca="1">IF(AND('Mapa final'!$AG$18="Muy Baja",'Mapa final'!$AI$18="Mayor"),CONCATENATE("R3C",'Mapa final'!$W$18),"")</f>
        <v>R3C2</v>
      </c>
      <c r="AD48" s="39" t="str">
        <f ca="1">IF(AND('Mapa final'!$AG$19="Muy Baja",'Mapa final'!$AI$19="Mayor"),CONCATENATE("R3C",'Mapa final'!$W$19),"")</f>
        <v>R3C3</v>
      </c>
      <c r="AE48" s="39" t="e">
        <f>IF(AND('Mapa final'!#REF!="Muy Baja",'Mapa final'!#REF!="Mayor"),CONCATENATE("R3C",'Mapa final'!#REF!),"")</f>
        <v>#REF!</v>
      </c>
      <c r="AF48" s="39" t="e">
        <f>IF(AND('Mapa final'!#REF!="Muy Baja",'Mapa final'!#REF!="Mayor"),CONCATENATE("R3C",'Mapa final'!#REF!),"")</f>
        <v>#REF!</v>
      </c>
      <c r="AG48" s="40" t="e">
        <f>IF(AND('Mapa final'!#REF!="Muy Baja",'Mapa final'!#REF!="Mayor"),CONCATENATE("R3C",'Mapa final'!#REF!),"")</f>
        <v>#REF!</v>
      </c>
      <c r="AH48" s="41" t="str">
        <f ca="1">IF(AND('Mapa final'!$AG$17="Muy Baja",'Mapa final'!$AI$17="Catastrófico"),CONCATENATE("R3C",'Mapa final'!$W$17),"")</f>
        <v/>
      </c>
      <c r="AI48" s="42" t="str">
        <f ca="1">IF(AND('Mapa final'!$AG$18="Muy Baja",'Mapa final'!$AI$18="Catastrófico"),CONCATENATE("R3C",'Mapa final'!$W$18),"")</f>
        <v/>
      </c>
      <c r="AJ48" s="42" t="str">
        <f ca="1">IF(AND('Mapa final'!$AG$19="Muy Baja",'Mapa final'!$AI$19="Catastrófico"),CONCATENATE("R3C",'Mapa final'!$W$19),"")</f>
        <v/>
      </c>
      <c r="AK48" s="42" t="e">
        <f>IF(AND('Mapa final'!#REF!="Muy Baja",'Mapa final'!#REF!="Catastrófico"),CONCATENATE("R3C",'Mapa final'!#REF!),"")</f>
        <v>#REF!</v>
      </c>
      <c r="AL48" s="42" t="e">
        <f>IF(AND('Mapa final'!#REF!="Muy Baja",'Mapa final'!#REF!="Catastrófico"),CONCATENATE("R3C",'Mapa final'!#REF!),"")</f>
        <v>#REF!</v>
      </c>
      <c r="AM48" s="43" t="e">
        <f>IF(AND('Mapa final'!#REF!="Muy Baja",'Mapa final'!#REF!="Catastrófico"),CONCATENATE("R3C",'Mapa final'!#REF!),"")</f>
        <v>#REF!</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18"/>
      <c r="C49" s="518"/>
      <c r="D49" s="519"/>
      <c r="E49" s="599"/>
      <c r="F49" s="597"/>
      <c r="G49" s="597"/>
      <c r="H49" s="597"/>
      <c r="I49" s="598"/>
      <c r="J49" s="62" t="str">
        <f ca="1">IF(AND('Mapa final'!$AG$20="Muy Baja",'Mapa final'!$AI$20="Leve"),CONCATENATE("R4C",'Mapa final'!$W$20),"")</f>
        <v/>
      </c>
      <c r="K49" s="63" t="str">
        <f ca="1">IF(AND('Mapa final'!$AG$21="Muy Baja",'Mapa final'!$AI$21="Leve"),CONCATENATE("R4C",'Mapa final'!$W$21),"")</f>
        <v/>
      </c>
      <c r="L49" s="63" t="e">
        <f>IF(AND('Mapa final'!#REF!="Muy Baja",'Mapa final'!#REF!="Leve"),CONCATENATE("R4C",'Mapa final'!#REF!),"")</f>
        <v>#REF!</v>
      </c>
      <c r="M49" s="63" t="e">
        <f>IF(AND('Mapa final'!#REF!="Muy Baja",'Mapa final'!#REF!="Leve"),CONCATENATE("R4C",'Mapa final'!#REF!),"")</f>
        <v>#REF!</v>
      </c>
      <c r="N49" s="63" t="e">
        <f>IF(AND('Mapa final'!#REF!="Muy Baja",'Mapa final'!#REF!="Leve"),CONCATENATE("R4C",'Mapa final'!#REF!),"")</f>
        <v>#REF!</v>
      </c>
      <c r="O49" s="64" t="e">
        <f>IF(AND('Mapa final'!#REF!="Muy Baja",'Mapa final'!#REF!="Leve"),CONCATENATE("R4C",'Mapa final'!#REF!),"")</f>
        <v>#REF!</v>
      </c>
      <c r="P49" s="62" t="str">
        <f ca="1">IF(AND('Mapa final'!$AG$20="Muy Baja",'Mapa final'!$AI$20="Menor"),CONCATENATE("R4C",'Mapa final'!$W$20),"")</f>
        <v/>
      </c>
      <c r="Q49" s="63" t="str">
        <f ca="1">IF(AND('Mapa final'!$AG$21="Muy Baja",'Mapa final'!$AI$21="Menor"),CONCATENATE("R4C",'Mapa final'!$W$21),"")</f>
        <v/>
      </c>
      <c r="R49" s="63" t="e">
        <f>IF(AND('Mapa final'!#REF!="Muy Baja",'Mapa final'!#REF!="Menor"),CONCATENATE("R4C",'Mapa final'!#REF!),"")</f>
        <v>#REF!</v>
      </c>
      <c r="S49" s="63" t="e">
        <f>IF(AND('Mapa final'!#REF!="Muy Baja",'Mapa final'!#REF!="Menor"),CONCATENATE("R4C",'Mapa final'!#REF!),"")</f>
        <v>#REF!</v>
      </c>
      <c r="T49" s="63" t="e">
        <f>IF(AND('Mapa final'!#REF!="Muy Baja",'Mapa final'!#REF!="Menor"),CONCATENATE("R4C",'Mapa final'!#REF!),"")</f>
        <v>#REF!</v>
      </c>
      <c r="U49" s="64" t="e">
        <f>IF(AND('Mapa final'!#REF!="Muy Baja",'Mapa final'!#REF!="Menor"),CONCATENATE("R4C",'Mapa final'!#REF!),"")</f>
        <v>#REF!</v>
      </c>
      <c r="V49" s="53" t="str">
        <f ca="1">IF(AND('Mapa final'!$AG$20="Muy Baja",'Mapa final'!$AI$20="Moderado"),CONCATENATE("R4C",'Mapa final'!$W$20),"")</f>
        <v/>
      </c>
      <c r="W49" s="54" t="str">
        <f ca="1">IF(AND('Mapa final'!$AG$21="Muy Baja",'Mapa final'!$AI$21="Moderado"),CONCATENATE("R4C",'Mapa final'!$W$21),"")</f>
        <v>R4C2</v>
      </c>
      <c r="X49" s="54" t="e">
        <f>IF(AND('Mapa final'!#REF!="Muy Baja",'Mapa final'!#REF!="Moderado"),CONCATENATE("R4C",'Mapa final'!#REF!),"")</f>
        <v>#REF!</v>
      </c>
      <c r="Y49" s="54" t="e">
        <f>IF(AND('Mapa final'!#REF!="Muy Baja",'Mapa final'!#REF!="Moderado"),CONCATENATE("R4C",'Mapa final'!#REF!),"")</f>
        <v>#REF!</v>
      </c>
      <c r="Z49" s="54" t="e">
        <f>IF(AND('Mapa final'!#REF!="Muy Baja",'Mapa final'!#REF!="Moderado"),CONCATENATE("R4C",'Mapa final'!#REF!),"")</f>
        <v>#REF!</v>
      </c>
      <c r="AA49" s="55" t="e">
        <f>IF(AND('Mapa final'!#REF!="Muy Baja",'Mapa final'!#REF!="Moderado"),CONCATENATE("R4C",'Mapa final'!#REF!),"")</f>
        <v>#REF!</v>
      </c>
      <c r="AB49" s="38" t="str">
        <f ca="1">IF(AND('Mapa final'!$AG$20="Muy Baja",'Mapa final'!$AI$20="Mayor"),CONCATENATE("R4C",'Mapa final'!$W$20),"")</f>
        <v/>
      </c>
      <c r="AC49" s="39" t="str">
        <f ca="1">IF(AND('Mapa final'!$AG$21="Muy Baja",'Mapa final'!$AI$21="Mayor"),CONCATENATE("R4C",'Mapa final'!$W$21),"")</f>
        <v/>
      </c>
      <c r="AD49" s="39" t="e">
        <f>IF(AND('Mapa final'!#REF!="Muy Baja",'Mapa final'!#REF!="Mayor"),CONCATENATE("R4C",'Mapa final'!#REF!),"")</f>
        <v>#REF!</v>
      </c>
      <c r="AE49" s="39" t="e">
        <f>IF(AND('Mapa final'!#REF!="Muy Baja",'Mapa final'!#REF!="Mayor"),CONCATENATE("R4C",'Mapa final'!#REF!),"")</f>
        <v>#REF!</v>
      </c>
      <c r="AF49" s="39" t="e">
        <f>IF(AND('Mapa final'!#REF!="Muy Baja",'Mapa final'!#REF!="Mayor"),CONCATENATE("R4C",'Mapa final'!#REF!),"")</f>
        <v>#REF!</v>
      </c>
      <c r="AG49" s="40" t="e">
        <f>IF(AND('Mapa final'!#REF!="Muy Baja",'Mapa final'!#REF!="Mayor"),CONCATENATE("R4C",'Mapa final'!#REF!),"")</f>
        <v>#REF!</v>
      </c>
      <c r="AH49" s="41" t="str">
        <f ca="1">IF(AND('Mapa final'!$AG$20="Muy Baja",'Mapa final'!$AI$20="Catastrófico"),CONCATENATE("R4C",'Mapa final'!$W$20),"")</f>
        <v/>
      </c>
      <c r="AI49" s="42" t="str">
        <f ca="1">IF(AND('Mapa final'!$AG$21="Muy Baja",'Mapa final'!$AI$21="Catastrófico"),CONCATENATE("R4C",'Mapa final'!$W$21),"")</f>
        <v/>
      </c>
      <c r="AJ49" s="42" t="e">
        <f>IF(AND('Mapa final'!#REF!="Muy Baja",'Mapa final'!#REF!="Catastrófico"),CONCATENATE("R4C",'Mapa final'!#REF!),"")</f>
        <v>#REF!</v>
      </c>
      <c r="AK49" s="42" t="e">
        <f>IF(AND('Mapa final'!#REF!="Muy Baja",'Mapa final'!#REF!="Catastrófico"),CONCATENATE("R4C",'Mapa final'!#REF!),"")</f>
        <v>#REF!</v>
      </c>
      <c r="AL49" s="42" t="e">
        <f>IF(AND('Mapa final'!#REF!="Muy Baja",'Mapa final'!#REF!="Catastrófico"),CONCATENATE("R4C",'Mapa final'!#REF!),"")</f>
        <v>#REF!</v>
      </c>
      <c r="AM49" s="43" t="e">
        <f>IF(AND('Mapa final'!#REF!="Muy Baja",'Mapa final'!#REF!="Catastrófico"),CONCATENATE("R4C",'Mapa final'!#REF!),"")</f>
        <v>#REF!</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18"/>
      <c r="C50" s="518"/>
      <c r="D50" s="519"/>
      <c r="E50" s="599"/>
      <c r="F50" s="597"/>
      <c r="G50" s="597"/>
      <c r="H50" s="597"/>
      <c r="I50" s="598"/>
      <c r="J50" s="62" t="str">
        <f ca="1">IF(AND('Mapa final'!$AG$22="Muy Baja",'Mapa final'!$AI$22="Leve"),CONCATENATE("R5C",'Mapa final'!$W$22),"")</f>
        <v/>
      </c>
      <c r="K50" s="63" t="str">
        <f ca="1">IF(AND('Mapa final'!$AG$23="Muy Baja",'Mapa final'!$AI$23="Leve"),CONCATENATE("R5C",'Mapa final'!$W$23),"")</f>
        <v/>
      </c>
      <c r="L50" s="63" t="str">
        <f ca="1">IF(AND('Mapa final'!$AG$24="Muy Baja",'Mapa final'!$AI$24="Leve"),CONCATENATE("R5C",'Mapa final'!$W$24),"")</f>
        <v/>
      </c>
      <c r="M50" s="63" t="e">
        <f>IF(AND('Mapa final'!#REF!="Muy Baja",'Mapa final'!#REF!="Leve"),CONCATENATE("R5C",'Mapa final'!#REF!),"")</f>
        <v>#REF!</v>
      </c>
      <c r="N50" s="63" t="e">
        <f>IF(AND('Mapa final'!#REF!="Muy Baja",'Mapa final'!#REF!="Leve"),CONCATENATE("R5C",'Mapa final'!#REF!),"")</f>
        <v>#REF!</v>
      </c>
      <c r="O50" s="64" t="e">
        <f>IF(AND('Mapa final'!#REF!="Muy Baja",'Mapa final'!#REF!="Leve"),CONCATENATE("R5C",'Mapa final'!#REF!),"")</f>
        <v>#REF!</v>
      </c>
      <c r="P50" s="62" t="str">
        <f ca="1">IF(AND('Mapa final'!$AG$22="Muy Baja",'Mapa final'!$AI$22="Menor"),CONCATENATE("R5C",'Mapa final'!$W$22),"")</f>
        <v/>
      </c>
      <c r="Q50" s="63" t="str">
        <f ca="1">IF(AND('Mapa final'!$AG$23="Muy Baja",'Mapa final'!$AI$23="Menor"),CONCATENATE("R5C",'Mapa final'!$W$23),"")</f>
        <v/>
      </c>
      <c r="R50" s="63" t="str">
        <f ca="1">IF(AND('Mapa final'!$AG$24="Muy Baja",'Mapa final'!$AI$24="Menor"),CONCATENATE("R5C",'Mapa final'!$W$24),"")</f>
        <v/>
      </c>
      <c r="S50" s="63" t="e">
        <f>IF(AND('Mapa final'!#REF!="Muy Baja",'Mapa final'!#REF!="Menor"),CONCATENATE("R5C",'Mapa final'!#REF!),"")</f>
        <v>#REF!</v>
      </c>
      <c r="T50" s="63" t="e">
        <f>IF(AND('Mapa final'!#REF!="Muy Baja",'Mapa final'!#REF!="Menor"),CONCATENATE("R5C",'Mapa final'!#REF!),"")</f>
        <v>#REF!</v>
      </c>
      <c r="U50" s="64" t="e">
        <f>IF(AND('Mapa final'!#REF!="Muy Baja",'Mapa final'!#REF!="Menor"),CONCATENATE("R5C",'Mapa final'!#REF!),"")</f>
        <v>#REF!</v>
      </c>
      <c r="V50" s="53" t="str">
        <f ca="1">IF(AND('Mapa final'!$AG$22="Muy Baja",'Mapa final'!$AI$22="Moderado"),CONCATENATE("R5C",'Mapa final'!$W$22),"")</f>
        <v/>
      </c>
      <c r="W50" s="54" t="str">
        <f ca="1">IF(AND('Mapa final'!$AG$23="Muy Baja",'Mapa final'!$AI$23="Moderado"),CONCATENATE("R5C",'Mapa final'!$W$23),"")</f>
        <v/>
      </c>
      <c r="X50" s="54" t="str">
        <f ca="1">IF(AND('Mapa final'!$AG$24="Muy Baja",'Mapa final'!$AI$24="Moderado"),CONCATENATE("R5C",'Mapa final'!$W$24),"")</f>
        <v/>
      </c>
      <c r="Y50" s="54" t="e">
        <f>IF(AND('Mapa final'!#REF!="Muy Baja",'Mapa final'!#REF!="Moderado"),CONCATENATE("R5C",'Mapa final'!#REF!),"")</f>
        <v>#REF!</v>
      </c>
      <c r="Z50" s="54" t="e">
        <f>IF(AND('Mapa final'!#REF!="Muy Baja",'Mapa final'!#REF!="Moderado"),CONCATENATE("R5C",'Mapa final'!#REF!),"")</f>
        <v>#REF!</v>
      </c>
      <c r="AA50" s="55" t="e">
        <f>IF(AND('Mapa final'!#REF!="Muy Baja",'Mapa final'!#REF!="Moderado"),CONCATENATE("R5C",'Mapa final'!#REF!),"")</f>
        <v>#REF!</v>
      </c>
      <c r="AB50" s="38" t="str">
        <f ca="1">IF(AND('Mapa final'!$AG$22="Muy Baja",'Mapa final'!$AI$22="Mayor"),CONCATENATE("R5C",'Mapa final'!$W$22),"")</f>
        <v>R5C1</v>
      </c>
      <c r="AC50" s="39" t="str">
        <f ca="1">IF(AND('Mapa final'!$AG$23="Muy Baja",'Mapa final'!$AI$23="Mayor"),CONCATENATE("R5C",'Mapa final'!$W$23),"")</f>
        <v>R5C2</v>
      </c>
      <c r="AD50" s="39" t="str">
        <f ca="1">IF(AND('Mapa final'!$AG$24="Muy Baja",'Mapa final'!$AI$24="Mayor"),CONCATENATE("R5C",'Mapa final'!$W$24),"")</f>
        <v>R5C3</v>
      </c>
      <c r="AE50" s="39" t="e">
        <f>IF(AND('Mapa final'!#REF!="Muy Baja",'Mapa final'!#REF!="Mayor"),CONCATENATE("R5C",'Mapa final'!#REF!),"")</f>
        <v>#REF!</v>
      </c>
      <c r="AF50" s="39" t="e">
        <f>IF(AND('Mapa final'!#REF!="Muy Baja",'Mapa final'!#REF!="Mayor"),CONCATENATE("R5C",'Mapa final'!#REF!),"")</f>
        <v>#REF!</v>
      </c>
      <c r="AG50" s="40" t="e">
        <f>IF(AND('Mapa final'!#REF!="Muy Baja",'Mapa final'!#REF!="Mayor"),CONCATENATE("R5C",'Mapa final'!#REF!),"")</f>
        <v>#REF!</v>
      </c>
      <c r="AH50" s="41" t="str">
        <f ca="1">IF(AND('Mapa final'!$AG$22="Muy Baja",'Mapa final'!$AI$22="Catastrófico"),CONCATENATE("R5C",'Mapa final'!$W$22),"")</f>
        <v/>
      </c>
      <c r="AI50" s="42" t="str">
        <f ca="1">IF(AND('Mapa final'!$AG$23="Muy Baja",'Mapa final'!$AI$23="Catastrófico"),CONCATENATE("R5C",'Mapa final'!$W$23),"")</f>
        <v/>
      </c>
      <c r="AJ50" s="42" t="str">
        <f ca="1">IF(AND('Mapa final'!$AG$24="Muy Baja",'Mapa final'!$AI$24="Catastrófico"),CONCATENATE("R5C",'Mapa final'!$W$24),"")</f>
        <v/>
      </c>
      <c r="AK50" s="42" t="e">
        <f>IF(AND('Mapa final'!#REF!="Muy Baja",'Mapa final'!#REF!="Catastrófico"),CONCATENATE("R5C",'Mapa final'!#REF!),"")</f>
        <v>#REF!</v>
      </c>
      <c r="AL50" s="42" t="e">
        <f>IF(AND('Mapa final'!#REF!="Muy Baja",'Mapa final'!#REF!="Catastrófico"),CONCATENATE("R5C",'Mapa final'!#REF!),"")</f>
        <v>#REF!</v>
      </c>
      <c r="AM50" s="43" t="e">
        <f>IF(AND('Mapa final'!#REF!="Muy Baja",'Mapa final'!#REF!="Catastrófico"),CONCATENATE("R5C",'Mapa final'!#REF!),"")</f>
        <v>#REF!</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18"/>
      <c r="C51" s="518"/>
      <c r="D51" s="519"/>
      <c r="E51" s="599"/>
      <c r="F51" s="597"/>
      <c r="G51" s="597"/>
      <c r="H51" s="597"/>
      <c r="I51" s="598"/>
      <c r="J51" s="62" t="str">
        <f ca="1">IF(AND('Mapa final'!$AG$25="Muy Baja",'Mapa final'!$AI$25="Leve"),CONCATENATE("R6C",'Mapa final'!$W$25),"")</f>
        <v/>
      </c>
      <c r="K51" s="63" t="str">
        <f ca="1">IF(AND('Mapa final'!$AG$26="Muy Baja",'Mapa final'!$AI$26="Leve"),CONCATENATE("R6C",'Mapa final'!$W$26),"")</f>
        <v/>
      </c>
      <c r="L51" s="63" t="e">
        <f>IF(AND('Mapa final'!#REF!="Muy Baja",'Mapa final'!#REF!="Leve"),CONCATENATE("R6C",'Mapa final'!#REF!),"")</f>
        <v>#REF!</v>
      </c>
      <c r="M51" s="63" t="e">
        <f>IF(AND('Mapa final'!#REF!="Muy Baja",'Mapa final'!#REF!="Leve"),CONCATENATE("R6C",'Mapa final'!#REF!),"")</f>
        <v>#REF!</v>
      </c>
      <c r="N51" s="63" t="e">
        <f>IF(AND('Mapa final'!#REF!="Muy Baja",'Mapa final'!#REF!="Leve"),CONCATENATE("R6C",'Mapa final'!#REF!),"")</f>
        <v>#REF!</v>
      </c>
      <c r="O51" s="64" t="e">
        <f>IF(AND('Mapa final'!#REF!="Muy Baja",'Mapa final'!#REF!="Leve"),CONCATENATE("R6C",'Mapa final'!#REF!),"")</f>
        <v>#REF!</v>
      </c>
      <c r="P51" s="62" t="str">
        <f ca="1">IF(AND('Mapa final'!$AG$25="Muy Baja",'Mapa final'!$AI$25="Menor"),CONCATENATE("R6C",'Mapa final'!$W$25),"")</f>
        <v/>
      </c>
      <c r="Q51" s="63" t="str">
        <f ca="1">IF(AND('Mapa final'!$AG$26="Muy Baja",'Mapa final'!$AI$26="Menor"),CONCATENATE("R6C",'Mapa final'!$W$26),"")</f>
        <v/>
      </c>
      <c r="R51" s="63" t="e">
        <f>IF(AND('Mapa final'!#REF!="Muy Baja",'Mapa final'!#REF!="Menor"),CONCATENATE("R6C",'Mapa final'!#REF!),"")</f>
        <v>#REF!</v>
      </c>
      <c r="S51" s="63" t="e">
        <f>IF(AND('Mapa final'!#REF!="Muy Baja",'Mapa final'!#REF!="Menor"),CONCATENATE("R6C",'Mapa final'!#REF!),"")</f>
        <v>#REF!</v>
      </c>
      <c r="T51" s="63" t="e">
        <f>IF(AND('Mapa final'!#REF!="Muy Baja",'Mapa final'!#REF!="Menor"),CONCATENATE("R6C",'Mapa final'!#REF!),"")</f>
        <v>#REF!</v>
      </c>
      <c r="U51" s="64" t="e">
        <f>IF(AND('Mapa final'!#REF!="Muy Baja",'Mapa final'!#REF!="Menor"),CONCATENATE("R6C",'Mapa final'!#REF!),"")</f>
        <v>#REF!</v>
      </c>
      <c r="V51" s="53" t="str">
        <f ca="1">IF(AND('Mapa final'!$AG$25="Muy Baja",'Mapa final'!$AI$25="Moderado"),CONCATENATE("R6C",'Mapa final'!$W$25),"")</f>
        <v/>
      </c>
      <c r="W51" s="54" t="str">
        <f ca="1">IF(AND('Mapa final'!$AG$26="Muy Baja",'Mapa final'!$AI$26="Moderado"),CONCATENATE("R6C",'Mapa final'!$W$26),"")</f>
        <v/>
      </c>
      <c r="X51" s="54" t="e">
        <f>IF(AND('Mapa final'!#REF!="Muy Baja",'Mapa final'!#REF!="Moderado"),CONCATENATE("R6C",'Mapa final'!#REF!),"")</f>
        <v>#REF!</v>
      </c>
      <c r="Y51" s="54" t="e">
        <f>IF(AND('Mapa final'!#REF!="Muy Baja",'Mapa final'!#REF!="Moderado"),CONCATENATE("R6C",'Mapa final'!#REF!),"")</f>
        <v>#REF!</v>
      </c>
      <c r="Z51" s="54" t="e">
        <f>IF(AND('Mapa final'!#REF!="Muy Baja",'Mapa final'!#REF!="Moderado"),CONCATENATE("R6C",'Mapa final'!#REF!),"")</f>
        <v>#REF!</v>
      </c>
      <c r="AA51" s="55" t="e">
        <f>IF(AND('Mapa final'!#REF!="Muy Baja",'Mapa final'!#REF!="Moderado"),CONCATENATE("R6C",'Mapa final'!#REF!),"")</f>
        <v>#REF!</v>
      </c>
      <c r="AB51" s="38" t="str">
        <f ca="1">IF(AND('Mapa final'!$AG$25="Muy Baja",'Mapa final'!$AI$25="Mayor"),CONCATENATE("R6C",'Mapa final'!$W$25),"")</f>
        <v/>
      </c>
      <c r="AC51" s="39" t="str">
        <f ca="1">IF(AND('Mapa final'!$AG$26="Muy Baja",'Mapa final'!$AI$26="Mayor"),CONCATENATE("R6C",'Mapa final'!$W$26),"")</f>
        <v/>
      </c>
      <c r="AD51" s="39" t="e">
        <f>IF(AND('Mapa final'!#REF!="Muy Baja",'Mapa final'!#REF!="Mayor"),CONCATENATE("R6C",'Mapa final'!#REF!),"")</f>
        <v>#REF!</v>
      </c>
      <c r="AE51" s="39" t="e">
        <f>IF(AND('Mapa final'!#REF!="Muy Baja",'Mapa final'!#REF!="Mayor"),CONCATENATE("R6C",'Mapa final'!#REF!),"")</f>
        <v>#REF!</v>
      </c>
      <c r="AF51" s="39" t="e">
        <f>IF(AND('Mapa final'!#REF!="Muy Baja",'Mapa final'!#REF!="Mayor"),CONCATENATE("R6C",'Mapa final'!#REF!),"")</f>
        <v>#REF!</v>
      </c>
      <c r="AG51" s="40" t="e">
        <f>IF(AND('Mapa final'!#REF!="Muy Baja",'Mapa final'!#REF!="Mayor"),CONCATENATE("R6C",'Mapa final'!#REF!),"")</f>
        <v>#REF!</v>
      </c>
      <c r="AH51" s="41" t="str">
        <f ca="1">IF(AND('Mapa final'!$AG$25="Muy Baja",'Mapa final'!$AI$25="Catastrófico"),CONCATENATE("R6C",'Mapa final'!$W$25),"")</f>
        <v/>
      </c>
      <c r="AI51" s="42" t="str">
        <f ca="1">IF(AND('Mapa final'!$AG$26="Muy Baja",'Mapa final'!$AI$26="Catastrófico"),CONCATENATE("R6C",'Mapa final'!$W$26),"")</f>
        <v/>
      </c>
      <c r="AJ51" s="42" t="e">
        <f>IF(AND('Mapa final'!#REF!="Muy Baja",'Mapa final'!#REF!="Catastrófico"),CONCATENATE("R6C",'Mapa final'!#REF!),"")</f>
        <v>#REF!</v>
      </c>
      <c r="AK51" s="42" t="e">
        <f>IF(AND('Mapa final'!#REF!="Muy Baja",'Mapa final'!#REF!="Catastrófico"),CONCATENATE("R6C",'Mapa final'!#REF!),"")</f>
        <v>#REF!</v>
      </c>
      <c r="AL51" s="42" t="e">
        <f>IF(AND('Mapa final'!#REF!="Muy Baja",'Mapa final'!#REF!="Catastrófico"),CONCATENATE("R6C",'Mapa final'!#REF!),"")</f>
        <v>#REF!</v>
      </c>
      <c r="AM51" s="43" t="e">
        <f>IF(AND('Mapa final'!#REF!="Muy Baja",'Mapa final'!#REF!="Catastrófico"),CONCATENATE("R6C",'Mapa final'!#REF!),"")</f>
        <v>#REF!</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18"/>
      <c r="C52" s="518"/>
      <c r="D52" s="519"/>
      <c r="E52" s="599"/>
      <c r="F52" s="597"/>
      <c r="G52" s="597"/>
      <c r="H52" s="597"/>
      <c r="I52" s="598"/>
      <c r="J52" s="62" t="str">
        <f ca="1">IF(AND('Mapa final'!$AG$27="Muy Baja",'Mapa final'!$AI$27="Leve"),CONCATENATE("R7C",'Mapa final'!$W$27),"")</f>
        <v/>
      </c>
      <c r="K52" s="63" t="str">
        <f ca="1">IF(AND('Mapa final'!$AG$28="Muy Baja",'Mapa final'!$AI$28="Leve"),CONCATENATE("R7C",'Mapa final'!$W$28),"")</f>
        <v/>
      </c>
      <c r="L52" s="63" t="e">
        <f>IF(AND('Mapa final'!#REF!="Muy Baja",'Mapa final'!#REF!="Leve"),CONCATENATE("R7C",'Mapa final'!#REF!),"")</f>
        <v>#REF!</v>
      </c>
      <c r="M52" s="63" t="e">
        <f>IF(AND('Mapa final'!#REF!="Muy Baja",'Mapa final'!#REF!="Leve"),CONCATENATE("R7C",'Mapa final'!#REF!),"")</f>
        <v>#REF!</v>
      </c>
      <c r="N52" s="63" t="e">
        <f>IF(AND('Mapa final'!#REF!="Muy Baja",'Mapa final'!#REF!="Leve"),CONCATENATE("R7C",'Mapa final'!#REF!),"")</f>
        <v>#REF!</v>
      </c>
      <c r="O52" s="64" t="e">
        <f>IF(AND('Mapa final'!#REF!="Muy Baja",'Mapa final'!#REF!="Leve"),CONCATENATE("R7C",'Mapa final'!#REF!),"")</f>
        <v>#REF!</v>
      </c>
      <c r="P52" s="62" t="str">
        <f ca="1">IF(AND('Mapa final'!$AG$27="Muy Baja",'Mapa final'!$AI$27="Menor"),CONCATENATE("R7C",'Mapa final'!$W$27),"")</f>
        <v/>
      </c>
      <c r="Q52" s="63" t="str">
        <f ca="1">IF(AND('Mapa final'!$AG$28="Muy Baja",'Mapa final'!$AI$28="Menor"),CONCATENATE("R7C",'Mapa final'!$W$28),"")</f>
        <v/>
      </c>
      <c r="R52" s="63" t="e">
        <f>IF(AND('Mapa final'!#REF!="Muy Baja",'Mapa final'!#REF!="Menor"),CONCATENATE("R7C",'Mapa final'!#REF!),"")</f>
        <v>#REF!</v>
      </c>
      <c r="S52" s="63" t="e">
        <f>IF(AND('Mapa final'!#REF!="Muy Baja",'Mapa final'!#REF!="Menor"),CONCATENATE("R7C",'Mapa final'!#REF!),"")</f>
        <v>#REF!</v>
      </c>
      <c r="T52" s="63" t="e">
        <f>IF(AND('Mapa final'!#REF!="Muy Baja",'Mapa final'!#REF!="Menor"),CONCATENATE("R7C",'Mapa final'!#REF!),"")</f>
        <v>#REF!</v>
      </c>
      <c r="U52" s="64" t="e">
        <f>IF(AND('Mapa final'!#REF!="Muy Baja",'Mapa final'!#REF!="Menor"),CONCATENATE("R7C",'Mapa final'!#REF!),"")</f>
        <v>#REF!</v>
      </c>
      <c r="V52" s="53" t="str">
        <f ca="1">IF(AND('Mapa final'!$AG$27="Muy Baja",'Mapa final'!$AI$27="Moderado"),CONCATENATE("R7C",'Mapa final'!$W$27),"")</f>
        <v/>
      </c>
      <c r="W52" s="54" t="str">
        <f ca="1">IF(AND('Mapa final'!$AG$28="Muy Baja",'Mapa final'!$AI$28="Moderado"),CONCATENATE("R7C",'Mapa final'!$W$28),"")</f>
        <v/>
      </c>
      <c r="X52" s="54" t="e">
        <f>IF(AND('Mapa final'!#REF!="Muy Baja",'Mapa final'!#REF!="Moderado"),CONCATENATE("R7C",'Mapa final'!#REF!),"")</f>
        <v>#REF!</v>
      </c>
      <c r="Y52" s="54" t="e">
        <f>IF(AND('Mapa final'!#REF!="Muy Baja",'Mapa final'!#REF!="Moderado"),CONCATENATE("R7C",'Mapa final'!#REF!),"")</f>
        <v>#REF!</v>
      </c>
      <c r="Z52" s="54" t="e">
        <f>IF(AND('Mapa final'!#REF!="Muy Baja",'Mapa final'!#REF!="Moderado"),CONCATENATE("R7C",'Mapa final'!#REF!),"")</f>
        <v>#REF!</v>
      </c>
      <c r="AA52" s="55" t="e">
        <f>IF(AND('Mapa final'!#REF!="Muy Baja",'Mapa final'!#REF!="Moderado"),CONCATENATE("R7C",'Mapa final'!#REF!),"")</f>
        <v>#REF!</v>
      </c>
      <c r="AB52" s="38" t="str">
        <f ca="1">IF(AND('Mapa final'!$AG$27="Muy Baja",'Mapa final'!$AI$27="Mayor"),CONCATENATE("R7C",'Mapa final'!$W$27),"")</f>
        <v/>
      </c>
      <c r="AC52" s="39" t="str">
        <f ca="1">IF(AND('Mapa final'!$AG$28="Muy Baja",'Mapa final'!$AI$28="Mayor"),CONCATENATE("R7C",'Mapa final'!$W$28),"")</f>
        <v/>
      </c>
      <c r="AD52" s="39" t="e">
        <f>IF(AND('Mapa final'!#REF!="Muy Baja",'Mapa final'!#REF!="Mayor"),CONCATENATE("R7C",'Mapa final'!#REF!),"")</f>
        <v>#REF!</v>
      </c>
      <c r="AE52" s="39" t="e">
        <f>IF(AND('Mapa final'!#REF!="Muy Baja",'Mapa final'!#REF!="Mayor"),CONCATENATE("R7C",'Mapa final'!#REF!),"")</f>
        <v>#REF!</v>
      </c>
      <c r="AF52" s="39" t="e">
        <f>IF(AND('Mapa final'!#REF!="Muy Baja",'Mapa final'!#REF!="Mayor"),CONCATENATE("R7C",'Mapa final'!#REF!),"")</f>
        <v>#REF!</v>
      </c>
      <c r="AG52" s="40" t="e">
        <f>IF(AND('Mapa final'!#REF!="Muy Baja",'Mapa final'!#REF!="Mayor"),CONCATENATE("R7C",'Mapa final'!#REF!),"")</f>
        <v>#REF!</v>
      </c>
      <c r="AH52" s="41" t="str">
        <f ca="1">IF(AND('Mapa final'!$AG$27="Muy Baja",'Mapa final'!$AI$27="Catastrófico"),CONCATENATE("R7C",'Mapa final'!$W$27),"")</f>
        <v/>
      </c>
      <c r="AI52" s="42" t="str">
        <f ca="1">IF(AND('Mapa final'!$AG$28="Muy Baja",'Mapa final'!$AI$28="Catastrófico"),CONCATENATE("R7C",'Mapa final'!$W$28),"")</f>
        <v/>
      </c>
      <c r="AJ52" s="42" t="e">
        <f>IF(AND('Mapa final'!#REF!="Muy Baja",'Mapa final'!#REF!="Catastrófico"),CONCATENATE("R7C",'Mapa final'!#REF!),"")</f>
        <v>#REF!</v>
      </c>
      <c r="AK52" s="42" t="e">
        <f>IF(AND('Mapa final'!#REF!="Muy Baja",'Mapa final'!#REF!="Catastrófico"),CONCATENATE("R7C",'Mapa final'!#REF!),"")</f>
        <v>#REF!</v>
      </c>
      <c r="AL52" s="42" t="e">
        <f>IF(AND('Mapa final'!#REF!="Muy Baja",'Mapa final'!#REF!="Catastrófico"),CONCATENATE("R7C",'Mapa final'!#REF!),"")</f>
        <v>#REF!</v>
      </c>
      <c r="AM52" s="43" t="e">
        <f>IF(AND('Mapa final'!#REF!="Muy Baja",'Mapa final'!#REF!="Catastrófico"),CONCATENATE("R7C",'Mapa final'!#REF!),"")</f>
        <v>#REF!</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18"/>
      <c r="C53" s="518"/>
      <c r="D53" s="519"/>
      <c r="E53" s="599"/>
      <c r="F53" s="597"/>
      <c r="G53" s="597"/>
      <c r="H53" s="597"/>
      <c r="I53" s="598"/>
      <c r="J53" s="62" t="str">
        <f ca="1">IF(AND('Mapa final'!$AG$29="Muy Baja",'Mapa final'!$AI$29="Leve"),CONCATENATE("R8C",'Mapa final'!$W$29),"")</f>
        <v/>
      </c>
      <c r="K53" s="63" t="str">
        <f ca="1">IF(AND('Mapa final'!$AG$30="Muy Baja",'Mapa final'!$AI$30="Leve"),CONCATENATE("R8C",'Mapa final'!$W$30),"")</f>
        <v/>
      </c>
      <c r="L53" s="63" t="str">
        <f ca="1">IF(AND('Mapa final'!$AG$31="Muy Baja",'Mapa final'!$AI$31="Leve"),CONCATENATE("R8C",'Mapa final'!$W$31),"")</f>
        <v/>
      </c>
      <c r="M53" s="63" t="str">
        <f ca="1">IF(AND('Mapa final'!$AG$32="Muy Baja",'Mapa final'!$AI$32="Leve"),CONCATENATE("R8C",'Mapa final'!$W$32),"")</f>
        <v/>
      </c>
      <c r="N53" s="63" t="e">
        <f>IF(AND('Mapa final'!#REF!="Muy Baja",'Mapa final'!#REF!="Leve"),CONCATENATE("R8C",'Mapa final'!#REF!),"")</f>
        <v>#REF!</v>
      </c>
      <c r="O53" s="64" t="e">
        <f>IF(AND('Mapa final'!#REF!="Muy Baja",'Mapa final'!#REF!="Leve"),CONCATENATE("R8C",'Mapa final'!#REF!),"")</f>
        <v>#REF!</v>
      </c>
      <c r="P53" s="62" t="str">
        <f ca="1">IF(AND('Mapa final'!$AG$29="Muy Baja",'Mapa final'!$AI$29="Menor"),CONCATENATE("R8C",'Mapa final'!$W$29),"")</f>
        <v/>
      </c>
      <c r="Q53" s="63" t="str">
        <f ca="1">IF(AND('Mapa final'!$AG$30="Muy Baja",'Mapa final'!$AI$30="Menor"),CONCATENATE("R8C",'Mapa final'!$W$30),"")</f>
        <v/>
      </c>
      <c r="R53" s="63" t="str">
        <f ca="1">IF(AND('Mapa final'!$AG$31="Muy Baja",'Mapa final'!$AI$31="Menor"),CONCATENATE("R8C",'Mapa final'!$W$31),"")</f>
        <v/>
      </c>
      <c r="S53" s="63" t="str">
        <f ca="1">IF(AND('Mapa final'!$AG$32="Muy Baja",'Mapa final'!$AI$32="Menor"),CONCATENATE("R8C",'Mapa final'!$W$32),"")</f>
        <v/>
      </c>
      <c r="T53" s="63" t="e">
        <f>IF(AND('Mapa final'!#REF!="Muy Baja",'Mapa final'!#REF!="Menor"),CONCATENATE("R8C",'Mapa final'!#REF!),"")</f>
        <v>#REF!</v>
      </c>
      <c r="U53" s="64" t="e">
        <f>IF(AND('Mapa final'!#REF!="Muy Baja",'Mapa final'!#REF!="Menor"),CONCATENATE("R8C",'Mapa final'!#REF!),"")</f>
        <v>#REF!</v>
      </c>
      <c r="V53" s="53" t="str">
        <f ca="1">IF(AND('Mapa final'!$AG$29="Muy Baja",'Mapa final'!$AI$29="Moderado"),CONCATENATE("R8C",'Mapa final'!$W$29),"")</f>
        <v/>
      </c>
      <c r="W53" s="54" t="str">
        <f ca="1">IF(AND('Mapa final'!$AG$30="Muy Baja",'Mapa final'!$AI$30="Moderado"),CONCATENATE("R8C",'Mapa final'!$W$30),"")</f>
        <v/>
      </c>
      <c r="X53" s="54" t="str">
        <f ca="1">IF(AND('Mapa final'!$AG$31="Muy Baja",'Mapa final'!$AI$31="Moderado"),CONCATENATE("R8C",'Mapa final'!$W$31),"")</f>
        <v>R8C3</v>
      </c>
      <c r="Y53" s="54" t="str">
        <f ca="1">IF(AND('Mapa final'!$AG$32="Muy Baja",'Mapa final'!$AI$32="Moderado"),CONCATENATE("R8C",'Mapa final'!$W$32),"")</f>
        <v>R8C4</v>
      </c>
      <c r="Z53" s="54" t="e">
        <f>IF(AND('Mapa final'!#REF!="Muy Baja",'Mapa final'!#REF!="Moderado"),CONCATENATE("R8C",'Mapa final'!#REF!),"")</f>
        <v>#REF!</v>
      </c>
      <c r="AA53" s="55" t="e">
        <f>IF(AND('Mapa final'!#REF!="Muy Baja",'Mapa final'!#REF!="Moderado"),CONCATENATE("R8C",'Mapa final'!#REF!),"")</f>
        <v>#REF!</v>
      </c>
      <c r="AB53" s="38" t="str">
        <f ca="1">IF(AND('Mapa final'!$AG$29="Muy Baja",'Mapa final'!$AI$29="Mayor"),CONCATENATE("R8C",'Mapa final'!$W$29),"")</f>
        <v/>
      </c>
      <c r="AC53" s="39" t="str">
        <f ca="1">IF(AND('Mapa final'!$AG$30="Muy Baja",'Mapa final'!$AI$30="Mayor"),CONCATENATE("R8C",'Mapa final'!$W$30),"")</f>
        <v/>
      </c>
      <c r="AD53" s="39" t="str">
        <f ca="1">IF(AND('Mapa final'!$AG$31="Muy Baja",'Mapa final'!$AI$31="Mayor"),CONCATENATE("R8C",'Mapa final'!$W$31),"")</f>
        <v/>
      </c>
      <c r="AE53" s="39" t="str">
        <f ca="1">IF(AND('Mapa final'!$AG$32="Muy Baja",'Mapa final'!$AI$32="Mayor"),CONCATENATE("R8C",'Mapa final'!$W$32),"")</f>
        <v/>
      </c>
      <c r="AF53" s="39" t="e">
        <f>IF(AND('Mapa final'!#REF!="Muy Baja",'Mapa final'!#REF!="Mayor"),CONCATENATE("R8C",'Mapa final'!#REF!),"")</f>
        <v>#REF!</v>
      </c>
      <c r="AG53" s="40" t="e">
        <f>IF(AND('Mapa final'!#REF!="Muy Baja",'Mapa final'!#REF!="Mayor"),CONCATENATE("R8C",'Mapa final'!#REF!),"")</f>
        <v>#REF!</v>
      </c>
      <c r="AH53" s="41" t="str">
        <f ca="1">IF(AND('Mapa final'!$AG$29="Muy Baja",'Mapa final'!$AI$29="Catastrófico"),CONCATENATE("R8C",'Mapa final'!$W$29),"")</f>
        <v/>
      </c>
      <c r="AI53" s="42" t="str">
        <f ca="1">IF(AND('Mapa final'!$AG$30="Muy Baja",'Mapa final'!$AI$30="Catastrófico"),CONCATENATE("R8C",'Mapa final'!$W$30),"")</f>
        <v/>
      </c>
      <c r="AJ53" s="42" t="str">
        <f ca="1">IF(AND('Mapa final'!$AG$31="Muy Baja",'Mapa final'!$AI$31="Catastrófico"),CONCATENATE("R8C",'Mapa final'!$W$31),"")</f>
        <v/>
      </c>
      <c r="AK53" s="42" t="str">
        <f ca="1">IF(AND('Mapa final'!$AG$32="Muy Baja",'Mapa final'!$AI$32="Catastrófico"),CONCATENATE("R8C",'Mapa final'!$W$32),"")</f>
        <v/>
      </c>
      <c r="AL53" s="42" t="e">
        <f>IF(AND('Mapa final'!#REF!="Muy Baja",'Mapa final'!#REF!="Catastrófico"),CONCATENATE("R8C",'Mapa final'!#REF!),"")</f>
        <v>#REF!</v>
      </c>
      <c r="AM53" s="43" t="e">
        <f>IF(AND('Mapa final'!#REF!="Muy Baja",'Mapa final'!#REF!="Catastrófico"),CONCATENATE("R8C",'Mapa final'!#REF!),"")</f>
        <v>#REF!</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18"/>
      <c r="C54" s="518"/>
      <c r="D54" s="519"/>
      <c r="E54" s="599"/>
      <c r="F54" s="597"/>
      <c r="G54" s="597"/>
      <c r="H54" s="597"/>
      <c r="I54" s="598"/>
      <c r="J54" s="62" t="str">
        <f ca="1">IF(AND('Mapa final'!$AG$33="Muy Baja",'Mapa final'!$AI$33="Leve"),CONCATENATE("R9C",'Mapa final'!$W$33),"")</f>
        <v/>
      </c>
      <c r="K54" s="63" t="str">
        <f ca="1">IF(AND('Mapa final'!$AG$34="Muy Baja",'Mapa final'!$AI$34="Leve"),CONCATENATE("R9C",'Mapa final'!$W$34),"")</f>
        <v/>
      </c>
      <c r="L54" s="63" t="str">
        <f ca="1">IF(AND('Mapa final'!$AG$35="Muy Baja",'Mapa final'!$AI$35="Leve"),CONCATENATE("R9C",'Mapa final'!$W$35),"")</f>
        <v/>
      </c>
      <c r="M54" s="63" t="str">
        <f ca="1">IF(AND('Mapa final'!$AG$36="Muy Baja",'Mapa final'!$AI$36="Leve"),CONCATENATE("R9C",'Mapa final'!$W$36),"")</f>
        <v/>
      </c>
      <c r="N54" s="63" t="str">
        <f ca="1">IF(AND('Mapa final'!$AG$37="Muy Baja",'Mapa final'!$AI$37="Leve"),CONCATENATE("R9C",'Mapa final'!$W$37),"")</f>
        <v/>
      </c>
      <c r="O54" s="64" t="e">
        <f>IF(AND('Mapa final'!#REF!="Muy Baja",'Mapa final'!#REF!="Leve"),CONCATENATE("R9C",'Mapa final'!#REF!),"")</f>
        <v>#REF!</v>
      </c>
      <c r="P54" s="62" t="str">
        <f ca="1">IF(AND('Mapa final'!$AG$33="Muy Baja",'Mapa final'!$AI$33="Menor"),CONCATENATE("R9C",'Mapa final'!$W$33),"")</f>
        <v/>
      </c>
      <c r="Q54" s="63" t="str">
        <f ca="1">IF(AND('Mapa final'!$AG$34="Muy Baja",'Mapa final'!$AI$34="Menor"),CONCATENATE("R9C",'Mapa final'!$W$34),"")</f>
        <v/>
      </c>
      <c r="R54" s="63" t="str">
        <f ca="1">IF(AND('Mapa final'!$AG$35="Muy Baja",'Mapa final'!$AI$35="Menor"),CONCATENATE("R9C",'Mapa final'!$W$35),"")</f>
        <v/>
      </c>
      <c r="S54" s="63" t="str">
        <f ca="1">IF(AND('Mapa final'!$AG$36="Muy Baja",'Mapa final'!$AI$36="Menor"),CONCATENATE("R9C",'Mapa final'!$W$36),"")</f>
        <v/>
      </c>
      <c r="T54" s="63" t="str">
        <f ca="1">IF(AND('Mapa final'!$AG$37="Muy Baja",'Mapa final'!$AI$37="Menor"),CONCATENATE("R9C",'Mapa final'!$W$37),"")</f>
        <v/>
      </c>
      <c r="U54" s="64" t="e">
        <f>IF(AND('Mapa final'!#REF!="Muy Baja",'Mapa final'!#REF!="Menor"),CONCATENATE("R9C",'Mapa final'!#REF!),"")</f>
        <v>#REF!</v>
      </c>
      <c r="V54" s="53" t="str">
        <f ca="1">IF(AND('Mapa final'!$AG$33="Muy Baja",'Mapa final'!$AI$33="Moderado"),CONCATENATE("R9C",'Mapa final'!$W$33),"")</f>
        <v/>
      </c>
      <c r="W54" s="54" t="str">
        <f ca="1">IF(AND('Mapa final'!$AG$34="Muy Baja",'Mapa final'!$AI$34="Moderado"),CONCATENATE("R9C",'Mapa final'!$W$34),"")</f>
        <v/>
      </c>
      <c r="X54" s="54" t="str">
        <f ca="1">IF(AND('Mapa final'!$AG$35="Muy Baja",'Mapa final'!$AI$35="Moderado"),CONCATENATE("R9C",'Mapa final'!$W$35),"")</f>
        <v/>
      </c>
      <c r="Y54" s="54" t="str">
        <f ca="1">IF(AND('Mapa final'!$AG$36="Muy Baja",'Mapa final'!$AI$36="Moderado"),CONCATENATE("R9C",'Mapa final'!$W$36),"")</f>
        <v/>
      </c>
      <c r="Z54" s="54" t="str">
        <f ca="1">IF(AND('Mapa final'!$AG$37="Muy Baja",'Mapa final'!$AI$37="Moderado"),CONCATENATE("R9C",'Mapa final'!$W$37),"")</f>
        <v/>
      </c>
      <c r="AA54" s="55" t="e">
        <f>IF(AND('Mapa final'!#REF!="Muy Baja",'Mapa final'!#REF!="Moderado"),CONCATENATE("R9C",'Mapa final'!#REF!),"")</f>
        <v>#REF!</v>
      </c>
      <c r="AB54" s="38" t="str">
        <f ca="1">IF(AND('Mapa final'!$AG$33="Muy Baja",'Mapa final'!$AI$33="Mayor"),CONCATENATE("R9C",'Mapa final'!$W$33),"")</f>
        <v/>
      </c>
      <c r="AC54" s="39" t="str">
        <f ca="1">IF(AND('Mapa final'!$AG$34="Muy Baja",'Mapa final'!$AI$34="Mayor"),CONCATENATE("R9C",'Mapa final'!$W$34),"")</f>
        <v/>
      </c>
      <c r="AD54" s="39" t="str">
        <f ca="1">IF(AND('Mapa final'!$AG$35="Muy Baja",'Mapa final'!$AI$35="Mayor"),CONCATENATE("R9C",'Mapa final'!$W$35),"")</f>
        <v/>
      </c>
      <c r="AE54" s="39" t="str">
        <f ca="1">IF(AND('Mapa final'!$AG$36="Muy Baja",'Mapa final'!$AI$36="Mayor"),CONCATENATE("R9C",'Mapa final'!$W$36),"")</f>
        <v/>
      </c>
      <c r="AF54" s="39" t="str">
        <f ca="1">IF(AND('Mapa final'!$AG$37="Muy Baja",'Mapa final'!$AI$37="Mayor"),CONCATENATE("R9C",'Mapa final'!$W$37),"")</f>
        <v/>
      </c>
      <c r="AG54" s="40" t="e">
        <f>IF(AND('Mapa final'!#REF!="Muy Baja",'Mapa final'!#REF!="Mayor"),CONCATENATE("R9C",'Mapa final'!#REF!),"")</f>
        <v>#REF!</v>
      </c>
      <c r="AH54" s="41" t="str">
        <f ca="1">IF(AND('Mapa final'!$AG$33="Muy Baja",'Mapa final'!$AI$33="Catastrófico"),CONCATENATE("R9C",'Mapa final'!$W$33),"")</f>
        <v/>
      </c>
      <c r="AI54" s="42" t="str">
        <f ca="1">IF(AND('Mapa final'!$AG$34="Muy Baja",'Mapa final'!$AI$34="Catastrófico"),CONCATENATE("R9C",'Mapa final'!$W$34),"")</f>
        <v/>
      </c>
      <c r="AJ54" s="42" t="str">
        <f ca="1">IF(AND('Mapa final'!$AG$35="Muy Baja",'Mapa final'!$AI$35="Catastrófico"),CONCATENATE("R9C",'Mapa final'!$W$35),"")</f>
        <v>R9C3</v>
      </c>
      <c r="AK54" s="42" t="str">
        <f ca="1">IF(AND('Mapa final'!$AG$36="Muy Baja",'Mapa final'!$AI$36="Catastrófico"),CONCATENATE("R9C",'Mapa final'!$W$36),"")</f>
        <v>R9C4</v>
      </c>
      <c r="AL54" s="42" t="str">
        <f ca="1">IF(AND('Mapa final'!$AG$37="Muy Baja",'Mapa final'!$AI$37="Catastrófico"),CONCATENATE("R9C",'Mapa final'!$W$37),"")</f>
        <v>R9C5</v>
      </c>
      <c r="AM54" s="43" t="e">
        <f>IF(AND('Mapa final'!#REF!="Muy Baja",'Mapa final'!#REF!="Catastrófico"),CONCATENATE("R9C",'Mapa final'!#REF!),"")</f>
        <v>#REF!</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18"/>
      <c r="C55" s="518"/>
      <c r="D55" s="519"/>
      <c r="E55" s="600"/>
      <c r="F55" s="601"/>
      <c r="G55" s="601"/>
      <c r="H55" s="601"/>
      <c r="I55" s="602"/>
      <c r="J55" s="65" t="str">
        <f ca="1">IF(AND('Mapa final'!$AG$38="Muy Baja",'Mapa final'!$AI$38="Leve"),CONCATENATE("R10C",'Mapa final'!$W$38),"")</f>
        <v/>
      </c>
      <c r="K55" s="66" t="str">
        <f ca="1">IF(AND('Mapa final'!$AG$39="Muy Baja",'Mapa final'!$AI$39="Leve"),CONCATENATE("R10C",'Mapa final'!$W$39),"")</f>
        <v/>
      </c>
      <c r="L55" s="66" t="e">
        <f>IF(AND('Mapa final'!#REF!="Muy Baja",'Mapa final'!#REF!="Leve"),CONCATENATE("R10C",'Mapa final'!#REF!),"")</f>
        <v>#REF!</v>
      </c>
      <c r="M55" s="66" t="e">
        <f>IF(AND('Mapa final'!#REF!="Muy Baja",'Mapa final'!#REF!="Leve"),CONCATENATE("R10C",'Mapa final'!#REF!),"")</f>
        <v>#REF!</v>
      </c>
      <c r="N55" s="66" t="e">
        <f>IF(AND('Mapa final'!#REF!="Muy Baja",'Mapa final'!#REF!="Leve"),CONCATENATE("R10C",'Mapa final'!#REF!),"")</f>
        <v>#REF!</v>
      </c>
      <c r="O55" s="67" t="e">
        <f>IF(AND('Mapa final'!#REF!="Muy Baja",'Mapa final'!#REF!="Leve"),CONCATENATE("R10C",'Mapa final'!#REF!),"")</f>
        <v>#REF!</v>
      </c>
      <c r="P55" s="65" t="str">
        <f ca="1">IF(AND('Mapa final'!$AG$38="Muy Baja",'Mapa final'!$AI$38="Menor"),CONCATENATE("R10C",'Mapa final'!$W$38),"")</f>
        <v/>
      </c>
      <c r="Q55" s="66" t="str">
        <f ca="1">IF(AND('Mapa final'!$AG$39="Muy Baja",'Mapa final'!$AI$39="Menor"),CONCATENATE("R10C",'Mapa final'!$W$39),"")</f>
        <v/>
      </c>
      <c r="R55" s="66" t="e">
        <f>IF(AND('Mapa final'!#REF!="Muy Baja",'Mapa final'!#REF!="Menor"),CONCATENATE("R10C",'Mapa final'!#REF!),"")</f>
        <v>#REF!</v>
      </c>
      <c r="S55" s="66" t="e">
        <f>IF(AND('Mapa final'!#REF!="Muy Baja",'Mapa final'!#REF!="Menor"),CONCATENATE("R10C",'Mapa final'!#REF!),"")</f>
        <v>#REF!</v>
      </c>
      <c r="T55" s="66" t="e">
        <f>IF(AND('Mapa final'!#REF!="Muy Baja",'Mapa final'!#REF!="Menor"),CONCATENATE("R10C",'Mapa final'!#REF!),"")</f>
        <v>#REF!</v>
      </c>
      <c r="U55" s="67" t="e">
        <f>IF(AND('Mapa final'!#REF!="Muy Baja",'Mapa final'!#REF!="Menor"),CONCATENATE("R10C",'Mapa final'!#REF!),"")</f>
        <v>#REF!</v>
      </c>
      <c r="V55" s="56" t="str">
        <f ca="1">IF(AND('Mapa final'!$AG$38="Muy Baja",'Mapa final'!$AI$38="Moderado"),CONCATENATE("R10C",'Mapa final'!$W$38),"")</f>
        <v/>
      </c>
      <c r="W55" s="57" t="str">
        <f ca="1">IF(AND('Mapa final'!$AG$39="Muy Baja",'Mapa final'!$AI$39="Moderado"),CONCATENATE("R10C",'Mapa final'!$W$39),"")</f>
        <v/>
      </c>
      <c r="X55" s="57" t="e">
        <f>IF(AND('Mapa final'!#REF!="Muy Baja",'Mapa final'!#REF!="Moderado"),CONCATENATE("R10C",'Mapa final'!#REF!),"")</f>
        <v>#REF!</v>
      </c>
      <c r="Y55" s="57" t="e">
        <f>IF(AND('Mapa final'!#REF!="Muy Baja",'Mapa final'!#REF!="Moderado"),CONCATENATE("R10C",'Mapa final'!#REF!),"")</f>
        <v>#REF!</v>
      </c>
      <c r="Z55" s="57" t="e">
        <f>IF(AND('Mapa final'!#REF!="Muy Baja",'Mapa final'!#REF!="Moderado"),CONCATENATE("R10C",'Mapa final'!#REF!),"")</f>
        <v>#REF!</v>
      </c>
      <c r="AA55" s="58" t="e">
        <f>IF(AND('Mapa final'!#REF!="Muy Baja",'Mapa final'!#REF!="Moderado"),CONCATENATE("R10C",'Mapa final'!#REF!),"")</f>
        <v>#REF!</v>
      </c>
      <c r="AB55" s="44" t="str">
        <f ca="1">IF(AND('Mapa final'!$AG$38="Muy Baja",'Mapa final'!$AI$38="Mayor"),CONCATENATE("R10C",'Mapa final'!$W$38),"")</f>
        <v/>
      </c>
      <c r="AC55" s="45" t="str">
        <f ca="1">IF(AND('Mapa final'!$AG$39="Muy Baja",'Mapa final'!$AI$39="Mayor"),CONCATENATE("R10C",'Mapa final'!$W$39),"")</f>
        <v/>
      </c>
      <c r="AD55" s="45" t="e">
        <f>IF(AND('Mapa final'!#REF!="Muy Baja",'Mapa final'!#REF!="Mayor"),CONCATENATE("R10C",'Mapa final'!#REF!),"")</f>
        <v>#REF!</v>
      </c>
      <c r="AE55" s="45" t="e">
        <f>IF(AND('Mapa final'!#REF!="Muy Baja",'Mapa final'!#REF!="Mayor"),CONCATENATE("R10C",'Mapa final'!#REF!),"")</f>
        <v>#REF!</v>
      </c>
      <c r="AF55" s="45" t="e">
        <f>IF(AND('Mapa final'!#REF!="Muy Baja",'Mapa final'!#REF!="Mayor"),CONCATENATE("R10C",'Mapa final'!#REF!),"")</f>
        <v>#REF!</v>
      </c>
      <c r="AG55" s="46" t="e">
        <f>IF(AND('Mapa final'!#REF!="Muy Baja",'Mapa final'!#REF!="Mayor"),CONCATENATE("R10C",'Mapa final'!#REF!),"")</f>
        <v>#REF!</v>
      </c>
      <c r="AH55" s="47" t="str">
        <f ca="1">IF(AND('Mapa final'!$AG$38="Muy Baja",'Mapa final'!$AI$38="Catastrófico"),CONCATENATE("R10C",'Mapa final'!$W$38),"")</f>
        <v/>
      </c>
      <c r="AI55" s="48" t="str">
        <f ca="1">IF(AND('Mapa final'!$AG$39="Muy Baja",'Mapa final'!$AI$39="Catastrófico"),CONCATENATE("R10C",'Mapa final'!$W$39),"")</f>
        <v/>
      </c>
      <c r="AJ55" s="48" t="e">
        <f>IF(AND('Mapa final'!#REF!="Muy Baja",'Mapa final'!#REF!="Catastrófico"),CONCATENATE("R10C",'Mapa final'!#REF!),"")</f>
        <v>#REF!</v>
      </c>
      <c r="AK55" s="48" t="e">
        <f>IF(AND('Mapa final'!#REF!="Muy Baja",'Mapa final'!#REF!="Catastrófico"),CONCATENATE("R10C",'Mapa final'!#REF!),"")</f>
        <v>#REF!</v>
      </c>
      <c r="AL55" s="48" t="e">
        <f>IF(AND('Mapa final'!#REF!="Muy Baja",'Mapa final'!#REF!="Catastrófico"),CONCATENATE("R10C",'Mapa final'!#REF!),"")</f>
        <v>#REF!</v>
      </c>
      <c r="AM55" s="49" t="e">
        <f>IF(AND('Mapa final'!#REF!="Muy Baja",'Mapa final'!#REF!="Catastrófico"),CONCATENATE("R10C",'Mapa final'!#REF!),"")</f>
        <v>#REF!</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593" t="s">
        <v>138</v>
      </c>
      <c r="K56" s="594"/>
      <c r="L56" s="594"/>
      <c r="M56" s="594"/>
      <c r="N56" s="594"/>
      <c r="O56" s="595"/>
      <c r="P56" s="593" t="s">
        <v>139</v>
      </c>
      <c r="Q56" s="594"/>
      <c r="R56" s="594"/>
      <c r="S56" s="594"/>
      <c r="T56" s="594"/>
      <c r="U56" s="595"/>
      <c r="V56" s="593" t="s">
        <v>140</v>
      </c>
      <c r="W56" s="594"/>
      <c r="X56" s="594"/>
      <c r="Y56" s="594"/>
      <c r="Z56" s="594"/>
      <c r="AA56" s="595"/>
      <c r="AB56" s="593" t="s">
        <v>141</v>
      </c>
      <c r="AC56" s="641"/>
      <c r="AD56" s="594"/>
      <c r="AE56" s="594"/>
      <c r="AF56" s="594"/>
      <c r="AG56" s="595"/>
      <c r="AH56" s="593" t="s">
        <v>142</v>
      </c>
      <c r="AI56" s="594"/>
      <c r="AJ56" s="594"/>
      <c r="AK56" s="594"/>
      <c r="AL56" s="594"/>
      <c r="AM56" s="595"/>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599"/>
      <c r="K57" s="597"/>
      <c r="L57" s="597"/>
      <c r="M57" s="597"/>
      <c r="N57" s="597"/>
      <c r="O57" s="598"/>
      <c r="P57" s="599"/>
      <c r="Q57" s="597"/>
      <c r="R57" s="597"/>
      <c r="S57" s="597"/>
      <c r="T57" s="597"/>
      <c r="U57" s="598"/>
      <c r="V57" s="599"/>
      <c r="W57" s="597"/>
      <c r="X57" s="597"/>
      <c r="Y57" s="597"/>
      <c r="Z57" s="597"/>
      <c r="AA57" s="598"/>
      <c r="AB57" s="599"/>
      <c r="AC57" s="597"/>
      <c r="AD57" s="597"/>
      <c r="AE57" s="597"/>
      <c r="AF57" s="597"/>
      <c r="AG57" s="598"/>
      <c r="AH57" s="599"/>
      <c r="AI57" s="597"/>
      <c r="AJ57" s="597"/>
      <c r="AK57" s="597"/>
      <c r="AL57" s="597"/>
      <c r="AM57" s="598"/>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599"/>
      <c r="K58" s="597"/>
      <c r="L58" s="597"/>
      <c r="M58" s="597"/>
      <c r="N58" s="597"/>
      <c r="O58" s="598"/>
      <c r="P58" s="599"/>
      <c r="Q58" s="597"/>
      <c r="R58" s="597"/>
      <c r="S58" s="597"/>
      <c r="T58" s="597"/>
      <c r="U58" s="598"/>
      <c r="V58" s="599"/>
      <c r="W58" s="597"/>
      <c r="X58" s="597"/>
      <c r="Y58" s="597"/>
      <c r="Z58" s="597"/>
      <c r="AA58" s="598"/>
      <c r="AB58" s="599"/>
      <c r="AC58" s="597"/>
      <c r="AD58" s="597"/>
      <c r="AE58" s="597"/>
      <c r="AF58" s="597"/>
      <c r="AG58" s="598"/>
      <c r="AH58" s="599"/>
      <c r="AI58" s="597"/>
      <c r="AJ58" s="597"/>
      <c r="AK58" s="597"/>
      <c r="AL58" s="597"/>
      <c r="AM58" s="598"/>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599"/>
      <c r="K59" s="597"/>
      <c r="L59" s="597"/>
      <c r="M59" s="597"/>
      <c r="N59" s="597"/>
      <c r="O59" s="598"/>
      <c r="P59" s="599"/>
      <c r="Q59" s="597"/>
      <c r="R59" s="597"/>
      <c r="S59" s="597"/>
      <c r="T59" s="597"/>
      <c r="U59" s="598"/>
      <c r="V59" s="599"/>
      <c r="W59" s="597"/>
      <c r="X59" s="597"/>
      <c r="Y59" s="597"/>
      <c r="Z59" s="597"/>
      <c r="AA59" s="598"/>
      <c r="AB59" s="599"/>
      <c r="AC59" s="597"/>
      <c r="AD59" s="597"/>
      <c r="AE59" s="597"/>
      <c r="AF59" s="597"/>
      <c r="AG59" s="598"/>
      <c r="AH59" s="599"/>
      <c r="AI59" s="597"/>
      <c r="AJ59" s="597"/>
      <c r="AK59" s="597"/>
      <c r="AL59" s="597"/>
      <c r="AM59" s="598"/>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599"/>
      <c r="K60" s="597"/>
      <c r="L60" s="597"/>
      <c r="M60" s="597"/>
      <c r="N60" s="597"/>
      <c r="O60" s="598"/>
      <c r="P60" s="599"/>
      <c r="Q60" s="597"/>
      <c r="R60" s="597"/>
      <c r="S60" s="597"/>
      <c r="T60" s="597"/>
      <c r="U60" s="598"/>
      <c r="V60" s="599"/>
      <c r="W60" s="597"/>
      <c r="X60" s="597"/>
      <c r="Y60" s="597"/>
      <c r="Z60" s="597"/>
      <c r="AA60" s="598"/>
      <c r="AB60" s="599"/>
      <c r="AC60" s="597"/>
      <c r="AD60" s="597"/>
      <c r="AE60" s="597"/>
      <c r="AF60" s="597"/>
      <c r="AG60" s="598"/>
      <c r="AH60" s="599"/>
      <c r="AI60" s="597"/>
      <c r="AJ60" s="597"/>
      <c r="AK60" s="597"/>
      <c r="AL60" s="597"/>
      <c r="AM60" s="598"/>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600"/>
      <c r="K61" s="601"/>
      <c r="L61" s="601"/>
      <c r="M61" s="601"/>
      <c r="N61" s="601"/>
      <c r="O61" s="602"/>
      <c r="P61" s="600"/>
      <c r="Q61" s="601"/>
      <c r="R61" s="601"/>
      <c r="S61" s="601"/>
      <c r="T61" s="601"/>
      <c r="U61" s="602"/>
      <c r="V61" s="600"/>
      <c r="W61" s="601"/>
      <c r="X61" s="601"/>
      <c r="Y61" s="601"/>
      <c r="Z61" s="601"/>
      <c r="AA61" s="602"/>
      <c r="AB61" s="600"/>
      <c r="AC61" s="601"/>
      <c r="AD61" s="601"/>
      <c r="AE61" s="601"/>
      <c r="AF61" s="601"/>
      <c r="AG61" s="602"/>
      <c r="AH61" s="600"/>
      <c r="AI61" s="601"/>
      <c r="AJ61" s="601"/>
      <c r="AK61" s="601"/>
      <c r="AL61" s="601"/>
      <c r="AM61" s="602"/>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J56:O61"/>
    <mergeCell ref="P56:U61"/>
    <mergeCell ref="V56:AA61"/>
    <mergeCell ref="AB56:AG61"/>
    <mergeCell ref="AH56:AM61"/>
    <mergeCell ref="E26:I35"/>
    <mergeCell ref="E16:I25"/>
    <mergeCell ref="AO6:AT15"/>
    <mergeCell ref="B2:I4"/>
    <mergeCell ref="J2:AM4"/>
    <mergeCell ref="B6:D55"/>
    <mergeCell ref="E6:I15"/>
    <mergeCell ref="E46:I55"/>
    <mergeCell ref="AO36:AT45"/>
    <mergeCell ref="E36:I45"/>
    <mergeCell ref="AO16:AT25"/>
    <mergeCell ref="AO26:AT3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642" t="s">
        <v>144</v>
      </c>
      <c r="C1" s="642"/>
      <c r="D1" s="642"/>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145</v>
      </c>
      <c r="D3" s="4" t="s">
        <v>128</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146</v>
      </c>
      <c r="C4" s="6" t="s">
        <v>147</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148</v>
      </c>
      <c r="C5" s="9" t="s">
        <v>149</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150</v>
      </c>
      <c r="C6" s="9" t="s">
        <v>151</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152</v>
      </c>
      <c r="C7" s="9" t="s">
        <v>153</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154</v>
      </c>
      <c r="C8" s="9" t="s">
        <v>155</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A1:BR71"/>
  <sheetViews>
    <sheetView view="pageBreakPreview" zoomScale="40" zoomScaleNormal="10" zoomScaleSheetLayoutView="40" workbookViewId="0">
      <selection activeCell="C30" sqref="C30:C32"/>
    </sheetView>
  </sheetViews>
  <sheetFormatPr baseColWidth="10" defaultColWidth="11.42578125" defaultRowHeight="16.5" x14ac:dyDescent="0.3"/>
  <cols>
    <col min="1" max="1" width="80.7109375" style="149" customWidth="1"/>
    <col min="2" max="2" width="20.5703125" style="149" bestFit="1" customWidth="1"/>
    <col min="3" max="4" width="90.85546875" style="149" customWidth="1"/>
    <col min="5" max="5" width="42.5703125" style="149" customWidth="1"/>
    <col min="6" max="6" width="90.85546875" style="149" customWidth="1"/>
    <col min="7" max="8" width="48" style="149" customWidth="1"/>
    <col min="9" max="10" width="90.85546875" style="149" customWidth="1"/>
    <col min="11" max="11" width="39.28515625" style="149" customWidth="1"/>
    <col min="12" max="12" width="40.14062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95" t="s">
        <v>60</v>
      </c>
      <c r="B2" s="496"/>
      <c r="C2" s="496"/>
      <c r="D2" s="480" t="s">
        <v>106</v>
      </c>
      <c r="E2" s="481"/>
      <c r="F2" s="481"/>
      <c r="G2" s="481"/>
      <c r="H2" s="481"/>
      <c r="I2" s="481"/>
      <c r="J2" s="481"/>
      <c r="K2" s="481"/>
      <c r="L2" s="482"/>
      <c r="M2" s="497"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99"/>
      <c r="B3" s="500"/>
      <c r="C3" s="500"/>
      <c r="D3" s="483" t="s">
        <v>63</v>
      </c>
      <c r="E3" s="484"/>
      <c r="F3" s="484"/>
      <c r="G3" s="484"/>
      <c r="H3" s="484"/>
      <c r="I3" s="484"/>
      <c r="J3" s="484"/>
      <c r="K3" s="484"/>
      <c r="L3" s="485"/>
      <c r="M3" s="498"/>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99"/>
      <c r="B4" s="500"/>
      <c r="C4" s="500"/>
      <c r="D4" s="486"/>
      <c r="E4" s="487"/>
      <c r="F4" s="487"/>
      <c r="G4" s="487"/>
      <c r="H4" s="487"/>
      <c r="I4" s="487"/>
      <c r="J4" s="487"/>
      <c r="K4" s="487"/>
      <c r="L4" s="488"/>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99"/>
      <c r="B5" s="500"/>
      <c r="C5" s="500"/>
      <c r="D5" s="489" t="s">
        <v>65</v>
      </c>
      <c r="E5" s="490"/>
      <c r="F5" s="490"/>
      <c r="G5" s="490"/>
      <c r="H5" s="490"/>
      <c r="I5" s="490"/>
      <c r="J5" s="490"/>
      <c r="K5" s="490"/>
      <c r="L5" s="491"/>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99"/>
      <c r="B6" s="500"/>
      <c r="C6" s="500"/>
      <c r="D6" s="492" t="s">
        <v>67</v>
      </c>
      <c r="E6" s="493"/>
      <c r="F6" s="493"/>
      <c r="G6" s="493"/>
      <c r="H6" s="493"/>
      <c r="I6" s="493"/>
      <c r="J6" s="493"/>
      <c r="K6" s="493"/>
      <c r="L6" s="494"/>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01"/>
      <c r="B7" s="502"/>
      <c r="C7" s="502"/>
      <c r="D7" s="502"/>
      <c r="E7" s="502"/>
      <c r="F7" s="502"/>
      <c r="G7" s="502"/>
      <c r="H7" s="502"/>
      <c r="I7" s="502"/>
      <c r="J7" s="502"/>
      <c r="K7" s="502"/>
      <c r="L7" s="502"/>
      <c r="M7" s="503"/>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44" t="s">
        <v>925</v>
      </c>
      <c r="B9" s="645"/>
      <c r="C9" s="645"/>
      <c r="D9" s="645"/>
      <c r="E9" s="645"/>
      <c r="F9" s="645"/>
      <c r="G9" s="645"/>
      <c r="H9" s="645"/>
      <c r="I9" s="645"/>
      <c r="J9" s="645"/>
      <c r="K9" s="645"/>
      <c r="L9" s="645"/>
      <c r="M9" s="645"/>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9.25" customHeight="1" x14ac:dyDescent="0.35">
      <c r="A10" s="646" t="s">
        <v>109</v>
      </c>
      <c r="B10" s="646" t="s">
        <v>110</v>
      </c>
      <c r="C10" s="646"/>
      <c r="D10" s="646" t="s">
        <v>111</v>
      </c>
      <c r="E10" s="646" t="s">
        <v>112</v>
      </c>
      <c r="F10" s="646" t="s">
        <v>113</v>
      </c>
      <c r="G10" s="646"/>
      <c r="H10" s="646"/>
      <c r="I10" s="646"/>
      <c r="J10" s="646"/>
      <c r="K10" s="646"/>
      <c r="L10" s="646"/>
      <c r="M10" s="646"/>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189" customHeight="1" x14ac:dyDescent="0.35">
      <c r="A11" s="646"/>
      <c r="B11" s="155" t="s">
        <v>114</v>
      </c>
      <c r="C11" s="155" t="s">
        <v>21</v>
      </c>
      <c r="D11" s="646"/>
      <c r="E11" s="646"/>
      <c r="F11" s="155" t="s">
        <v>115</v>
      </c>
      <c r="G11" s="155" t="s">
        <v>116</v>
      </c>
      <c r="H11" s="155" t="s">
        <v>126</v>
      </c>
      <c r="I11" s="155" t="s">
        <v>156</v>
      </c>
      <c r="J11" s="155" t="s">
        <v>124</v>
      </c>
      <c r="K11" s="155" t="s">
        <v>93</v>
      </c>
      <c r="L11" s="155" t="s">
        <v>120</v>
      </c>
      <c r="M11" s="155"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111" customHeight="1" x14ac:dyDescent="0.3">
      <c r="A12" s="643" t="str">
        <f>A9</f>
        <v>MATRIZ DE MONITOREO DE RIESGOS IV TRIMESTRE
 (OCTUBRE - DICIEMBRE)</v>
      </c>
      <c r="B12" s="414" t="str">
        <f>'Mapa final'!$B$13</f>
        <v>GBG_02</v>
      </c>
      <c r="C12" s="415"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47"/>
      <c r="E12" s="448"/>
      <c r="F12" s="444" t="str">
        <f t="shared" ref="F12:M12" si="0">IFERROR(IF($E12="","No",IF($E12="No","No"," "))," ")</f>
        <v>No</v>
      </c>
      <c r="G12" s="444" t="str">
        <f t="shared" si="0"/>
        <v>No</v>
      </c>
      <c r="H12" s="444" t="str">
        <f t="shared" si="0"/>
        <v>No</v>
      </c>
      <c r="I12" s="444" t="str">
        <f t="shared" si="0"/>
        <v>No</v>
      </c>
      <c r="J12" s="444" t="str">
        <f t="shared" si="0"/>
        <v>No</v>
      </c>
      <c r="K12" s="444" t="str">
        <f t="shared" si="0"/>
        <v>No</v>
      </c>
      <c r="L12" s="444" t="str">
        <f t="shared" si="0"/>
        <v>No</v>
      </c>
      <c r="M12" s="444"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111" customHeight="1" x14ac:dyDescent="0.3">
      <c r="A13" s="643"/>
      <c r="B13" s="414"/>
      <c r="C13" s="415"/>
      <c r="D13" s="447"/>
      <c r="E13" s="448"/>
      <c r="F13" s="444"/>
      <c r="G13" s="444"/>
      <c r="H13" s="444"/>
      <c r="I13" s="444"/>
      <c r="J13" s="444"/>
      <c r="K13" s="444"/>
      <c r="L13" s="444"/>
      <c r="M13" s="444"/>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111" customHeight="1" x14ac:dyDescent="0.3">
      <c r="A14" s="643"/>
      <c r="B14" s="414"/>
      <c r="C14" s="415"/>
      <c r="D14" s="447"/>
      <c r="E14" s="448"/>
      <c r="F14" s="444"/>
      <c r="G14" s="444"/>
      <c r="H14" s="444"/>
      <c r="I14" s="444"/>
      <c r="J14" s="444"/>
      <c r="K14" s="444"/>
      <c r="L14" s="444"/>
      <c r="M14" s="444"/>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111" customHeight="1" x14ac:dyDescent="0.3">
      <c r="A15" s="643"/>
      <c r="B15" s="414" t="str">
        <f>'Mapa final'!$B$15</f>
        <v>GBG_03</v>
      </c>
      <c r="C15" s="415" t="str">
        <f>'Mapa final'!$H$15</f>
        <v>Posibilidad de afectación económica y reputacional por demandas legales y sanciones, debido a la omisión de la declaración de impedimento o recusación ante la posibilidad real o aparente de un conflicto de interés.</v>
      </c>
      <c r="D15" s="447"/>
      <c r="E15" s="448"/>
      <c r="F15" s="444" t="str">
        <f t="shared" ref="F15:M39" si="1">IFERROR(IF($E15="","No",IF($E15="No","No"," "))," ")</f>
        <v>No</v>
      </c>
      <c r="G15" s="444" t="str">
        <f t="shared" si="1"/>
        <v>No</v>
      </c>
      <c r="H15" s="444" t="str">
        <f t="shared" si="1"/>
        <v>No</v>
      </c>
      <c r="I15" s="444" t="str">
        <f t="shared" si="1"/>
        <v>No</v>
      </c>
      <c r="J15" s="444" t="str">
        <f t="shared" si="1"/>
        <v>No</v>
      </c>
      <c r="K15" s="444" t="str">
        <f t="shared" si="1"/>
        <v>No</v>
      </c>
      <c r="L15" s="444" t="str">
        <f t="shared" si="1"/>
        <v>No</v>
      </c>
      <c r="M15" s="444"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111" customHeight="1" x14ac:dyDescent="0.3">
      <c r="A16" s="643"/>
      <c r="B16" s="414"/>
      <c r="C16" s="415"/>
      <c r="D16" s="447"/>
      <c r="E16" s="448"/>
      <c r="F16" s="444"/>
      <c r="G16" s="444"/>
      <c r="H16" s="444"/>
      <c r="I16" s="444"/>
      <c r="J16" s="444"/>
      <c r="K16" s="444"/>
      <c r="L16" s="444"/>
      <c r="M16" s="444"/>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111" customHeight="1" x14ac:dyDescent="0.3">
      <c r="A17" s="643"/>
      <c r="B17" s="414"/>
      <c r="C17" s="415"/>
      <c r="D17" s="447"/>
      <c r="E17" s="448"/>
      <c r="F17" s="444"/>
      <c r="G17" s="444"/>
      <c r="H17" s="444"/>
      <c r="I17" s="444"/>
      <c r="J17" s="444"/>
      <c r="K17" s="444"/>
      <c r="L17" s="444"/>
      <c r="M17" s="444"/>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111" customHeight="1" x14ac:dyDescent="0.3">
      <c r="A18" s="643"/>
      <c r="B18" s="414" t="str">
        <f>'Mapa final'!$B$17</f>
        <v>OAP_01</v>
      </c>
      <c r="C18" s="415" t="str">
        <f>'Mapa final'!$H$17</f>
        <v>Posibilidad de afectación económica por la no prestación integral de los servicios de salud a los usuarios del  HOMIL,  debido a la inadecuada identificación de necesidades para la adquisición de bienes y/o servicios.</v>
      </c>
      <c r="D18" s="447"/>
      <c r="E18" s="448"/>
      <c r="F18" s="444" t="str">
        <f t="shared" si="1"/>
        <v>No</v>
      </c>
      <c r="G18" s="444" t="str">
        <f t="shared" si="1"/>
        <v>No</v>
      </c>
      <c r="H18" s="444" t="str">
        <f t="shared" si="1"/>
        <v>No</v>
      </c>
      <c r="I18" s="444" t="str">
        <f t="shared" si="1"/>
        <v>No</v>
      </c>
      <c r="J18" s="444" t="str">
        <f t="shared" si="1"/>
        <v>No</v>
      </c>
      <c r="K18" s="444" t="str">
        <f t="shared" si="1"/>
        <v>No</v>
      </c>
      <c r="L18" s="444" t="str">
        <f t="shared" si="1"/>
        <v>No</v>
      </c>
      <c r="M18" s="444"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111" customHeight="1" x14ac:dyDescent="0.3">
      <c r="A19" s="643"/>
      <c r="B19" s="414"/>
      <c r="C19" s="415"/>
      <c r="D19" s="447"/>
      <c r="E19" s="448"/>
      <c r="F19" s="444"/>
      <c r="G19" s="444"/>
      <c r="H19" s="444"/>
      <c r="I19" s="444"/>
      <c r="J19" s="444"/>
      <c r="K19" s="444"/>
      <c r="L19" s="444"/>
      <c r="M19" s="444"/>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111" customHeight="1" x14ac:dyDescent="0.3">
      <c r="A20" s="643"/>
      <c r="B20" s="414"/>
      <c r="C20" s="415"/>
      <c r="D20" s="447"/>
      <c r="E20" s="448"/>
      <c r="F20" s="444"/>
      <c r="G20" s="444"/>
      <c r="H20" s="444"/>
      <c r="I20" s="444"/>
      <c r="J20" s="444"/>
      <c r="K20" s="444"/>
      <c r="L20" s="444"/>
      <c r="M20" s="444"/>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111" customHeight="1" x14ac:dyDescent="0.3">
      <c r="A21" s="643"/>
      <c r="B21" s="414" t="str">
        <f>'Mapa final'!$B$20</f>
        <v>OAP_02</v>
      </c>
      <c r="C21" s="415"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47"/>
      <c r="E21" s="448"/>
      <c r="F21" s="444" t="str">
        <f t="shared" si="1"/>
        <v>No</v>
      </c>
      <c r="G21" s="444" t="str">
        <f t="shared" si="1"/>
        <v>No</v>
      </c>
      <c r="H21" s="444" t="str">
        <f t="shared" si="1"/>
        <v>No</v>
      </c>
      <c r="I21" s="444" t="str">
        <f t="shared" si="1"/>
        <v>No</v>
      </c>
      <c r="J21" s="444" t="str">
        <f t="shared" si="1"/>
        <v>No</v>
      </c>
      <c r="K21" s="444" t="str">
        <f t="shared" si="1"/>
        <v>No</v>
      </c>
      <c r="L21" s="444" t="str">
        <f t="shared" si="1"/>
        <v>No</v>
      </c>
      <c r="M21" s="444"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111" customHeight="1" x14ac:dyDescent="0.3">
      <c r="A22" s="643"/>
      <c r="B22" s="414"/>
      <c r="C22" s="415"/>
      <c r="D22" s="447"/>
      <c r="E22" s="448"/>
      <c r="F22" s="444"/>
      <c r="G22" s="444"/>
      <c r="H22" s="444"/>
      <c r="I22" s="444"/>
      <c r="J22" s="444"/>
      <c r="K22" s="444"/>
      <c r="L22" s="444"/>
      <c r="M22" s="444"/>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111" customHeight="1" x14ac:dyDescent="0.3">
      <c r="A23" s="643"/>
      <c r="B23" s="414"/>
      <c r="C23" s="415"/>
      <c r="D23" s="447"/>
      <c r="E23" s="448"/>
      <c r="F23" s="444"/>
      <c r="G23" s="444"/>
      <c r="H23" s="444"/>
      <c r="I23" s="444"/>
      <c r="J23" s="444"/>
      <c r="K23" s="444"/>
      <c r="L23" s="444"/>
      <c r="M23" s="444"/>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111" customHeight="1" x14ac:dyDescent="0.3">
      <c r="A24" s="643"/>
      <c r="B24" s="414" t="str">
        <f>'Mapa final'!$B$22</f>
        <v>OAP_03</v>
      </c>
      <c r="C24" s="415"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47"/>
      <c r="E24" s="448"/>
      <c r="F24" s="444" t="str">
        <f t="shared" si="1"/>
        <v>No</v>
      </c>
      <c r="G24" s="444" t="str">
        <f t="shared" si="1"/>
        <v>No</v>
      </c>
      <c r="H24" s="444" t="str">
        <f t="shared" si="1"/>
        <v>No</v>
      </c>
      <c r="I24" s="444" t="str">
        <f t="shared" si="1"/>
        <v>No</v>
      </c>
      <c r="J24" s="444" t="str">
        <f t="shared" si="1"/>
        <v>No</v>
      </c>
      <c r="K24" s="444" t="str">
        <f t="shared" si="1"/>
        <v>No</v>
      </c>
      <c r="L24" s="444" t="str">
        <f t="shared" si="1"/>
        <v>No</v>
      </c>
      <c r="M24" s="444"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111" customHeight="1" x14ac:dyDescent="0.3">
      <c r="A25" s="643"/>
      <c r="B25" s="414"/>
      <c r="C25" s="415"/>
      <c r="D25" s="447"/>
      <c r="E25" s="448"/>
      <c r="F25" s="444"/>
      <c r="G25" s="444"/>
      <c r="H25" s="444"/>
      <c r="I25" s="444"/>
      <c r="J25" s="444"/>
      <c r="K25" s="444"/>
      <c r="L25" s="444"/>
      <c r="M25" s="444"/>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111" customHeight="1" x14ac:dyDescent="0.3">
      <c r="A26" s="643"/>
      <c r="B26" s="414"/>
      <c r="C26" s="415"/>
      <c r="D26" s="447"/>
      <c r="E26" s="448"/>
      <c r="F26" s="444"/>
      <c r="G26" s="444"/>
      <c r="H26" s="444"/>
      <c r="I26" s="444"/>
      <c r="J26" s="444"/>
      <c r="K26" s="444"/>
      <c r="L26" s="444"/>
      <c r="M26" s="444"/>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111" customHeight="1" x14ac:dyDescent="0.3">
      <c r="A27" s="643"/>
      <c r="B27" s="414" t="str">
        <f>'Mapa final'!$B$25</f>
        <v>OAP_04</v>
      </c>
      <c r="C27" s="415"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47"/>
      <c r="E27" s="448"/>
      <c r="F27" s="444" t="str">
        <f t="shared" si="1"/>
        <v>No</v>
      </c>
      <c r="G27" s="444" t="str">
        <f t="shared" si="1"/>
        <v>No</v>
      </c>
      <c r="H27" s="444" t="str">
        <f t="shared" si="1"/>
        <v>No</v>
      </c>
      <c r="I27" s="444" t="str">
        <f t="shared" si="1"/>
        <v>No</v>
      </c>
      <c r="J27" s="444" t="str">
        <f t="shared" si="1"/>
        <v>No</v>
      </c>
      <c r="K27" s="444" t="str">
        <f t="shared" si="1"/>
        <v>No</v>
      </c>
      <c r="L27" s="444" t="str">
        <f t="shared" si="1"/>
        <v>No</v>
      </c>
      <c r="M27" s="444"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111" customHeight="1" x14ac:dyDescent="0.3">
      <c r="A28" s="643"/>
      <c r="B28" s="414"/>
      <c r="C28" s="415"/>
      <c r="D28" s="447"/>
      <c r="E28" s="448"/>
      <c r="F28" s="444"/>
      <c r="G28" s="444"/>
      <c r="H28" s="444"/>
      <c r="I28" s="444"/>
      <c r="J28" s="444"/>
      <c r="K28" s="444"/>
      <c r="L28" s="444"/>
      <c r="M28" s="444"/>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111" customHeight="1" x14ac:dyDescent="0.3">
      <c r="A29" s="643"/>
      <c r="B29" s="414"/>
      <c r="C29" s="415"/>
      <c r="D29" s="447"/>
      <c r="E29" s="448"/>
      <c r="F29" s="444"/>
      <c r="G29" s="444"/>
      <c r="H29" s="444"/>
      <c r="I29" s="444"/>
      <c r="J29" s="444"/>
      <c r="K29" s="444"/>
      <c r="L29" s="444"/>
      <c r="M29" s="444"/>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111" customHeight="1" x14ac:dyDescent="0.3">
      <c r="A30" s="643"/>
      <c r="B30" s="414" t="str">
        <f>'Mapa final'!$B$27</f>
        <v>OAP_05</v>
      </c>
      <c r="C30" s="415"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47"/>
      <c r="E30" s="448"/>
      <c r="F30" s="444" t="str">
        <f t="shared" si="1"/>
        <v>No</v>
      </c>
      <c r="G30" s="444" t="str">
        <f t="shared" si="1"/>
        <v>No</v>
      </c>
      <c r="H30" s="444" t="str">
        <f t="shared" si="1"/>
        <v>No</v>
      </c>
      <c r="I30" s="444" t="str">
        <f t="shared" si="1"/>
        <v>No</v>
      </c>
      <c r="J30" s="444" t="str">
        <f t="shared" si="1"/>
        <v>No</v>
      </c>
      <c r="K30" s="444" t="str">
        <f t="shared" si="1"/>
        <v>No</v>
      </c>
      <c r="L30" s="444" t="str">
        <f t="shared" si="1"/>
        <v>No</v>
      </c>
      <c r="M30" s="444"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111" customHeight="1" x14ac:dyDescent="0.3">
      <c r="A31" s="643"/>
      <c r="B31" s="414"/>
      <c r="C31" s="415"/>
      <c r="D31" s="447"/>
      <c r="E31" s="448"/>
      <c r="F31" s="444"/>
      <c r="G31" s="444"/>
      <c r="H31" s="444"/>
      <c r="I31" s="444"/>
      <c r="J31" s="444"/>
      <c r="K31" s="444"/>
      <c r="L31" s="444"/>
      <c r="M31" s="444"/>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111" customHeight="1" x14ac:dyDescent="0.3">
      <c r="A32" s="643"/>
      <c r="B32" s="414"/>
      <c r="C32" s="415"/>
      <c r="D32" s="447"/>
      <c r="E32" s="448"/>
      <c r="F32" s="444"/>
      <c r="G32" s="444"/>
      <c r="H32" s="444"/>
      <c r="I32" s="444"/>
      <c r="J32" s="444"/>
      <c r="K32" s="444"/>
      <c r="L32" s="444"/>
      <c r="M32" s="444"/>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111" customHeight="1" x14ac:dyDescent="0.3">
      <c r="A33" s="643"/>
      <c r="B33" s="414" t="str">
        <f>'Mapa final'!$B$29</f>
        <v>TIN_01</v>
      </c>
      <c r="C33" s="415" t="str">
        <f>'Mapa final'!$H$29</f>
        <v>Posibilidad de afectación económica y reputacional por registro inoportuno en la Historia Clínica  del estado de salud y la atención brindada, debido a la interrupción en la prestación de los servicios tecnológicos de la entidad.</v>
      </c>
      <c r="D33" s="447"/>
      <c r="E33" s="448"/>
      <c r="F33" s="444" t="str">
        <f t="shared" si="1"/>
        <v>No</v>
      </c>
      <c r="G33" s="444" t="str">
        <f t="shared" si="1"/>
        <v>No</v>
      </c>
      <c r="H33" s="444" t="str">
        <f t="shared" si="1"/>
        <v>No</v>
      </c>
      <c r="I33" s="444" t="str">
        <f t="shared" si="1"/>
        <v>No</v>
      </c>
      <c r="J33" s="444" t="str">
        <f t="shared" si="1"/>
        <v>No</v>
      </c>
      <c r="K33" s="444" t="str">
        <f t="shared" si="1"/>
        <v>No</v>
      </c>
      <c r="L33" s="444" t="str">
        <f t="shared" si="1"/>
        <v>No</v>
      </c>
      <c r="M33" s="444"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111" customHeight="1" x14ac:dyDescent="0.3">
      <c r="A34" s="643"/>
      <c r="B34" s="414"/>
      <c r="C34" s="415"/>
      <c r="D34" s="447"/>
      <c r="E34" s="448"/>
      <c r="F34" s="444"/>
      <c r="G34" s="444"/>
      <c r="H34" s="444"/>
      <c r="I34" s="444"/>
      <c r="J34" s="444"/>
      <c r="K34" s="444"/>
      <c r="L34" s="444"/>
      <c r="M34" s="444"/>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111" customHeight="1" x14ac:dyDescent="0.3">
      <c r="A35" s="643"/>
      <c r="B35" s="414"/>
      <c r="C35" s="415"/>
      <c r="D35" s="447"/>
      <c r="E35" s="448"/>
      <c r="F35" s="444"/>
      <c r="G35" s="444"/>
      <c r="H35" s="444"/>
      <c r="I35" s="444"/>
      <c r="J35" s="444"/>
      <c r="K35" s="444"/>
      <c r="L35" s="444"/>
      <c r="M35" s="444"/>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111" customHeight="1" x14ac:dyDescent="0.3">
      <c r="A36" s="643"/>
      <c r="B36" s="414" t="str">
        <f>'Mapa final'!$B$33</f>
        <v>TIN_02</v>
      </c>
      <c r="C36" s="415"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47"/>
      <c r="E36" s="448"/>
      <c r="F36" s="444" t="str">
        <f t="shared" si="1"/>
        <v>No</v>
      </c>
      <c r="G36" s="444" t="str">
        <f t="shared" si="1"/>
        <v>No</v>
      </c>
      <c r="H36" s="444" t="str">
        <f t="shared" si="1"/>
        <v>No</v>
      </c>
      <c r="I36" s="444" t="str">
        <f t="shared" si="1"/>
        <v>No</v>
      </c>
      <c r="J36" s="444" t="str">
        <f t="shared" si="1"/>
        <v>No</v>
      </c>
      <c r="K36" s="444" t="str">
        <f t="shared" si="1"/>
        <v>No</v>
      </c>
      <c r="L36" s="444" t="str">
        <f t="shared" si="1"/>
        <v>No</v>
      </c>
      <c r="M36" s="444"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111" customHeight="1" x14ac:dyDescent="0.3">
      <c r="A37" s="643"/>
      <c r="B37" s="414"/>
      <c r="C37" s="415"/>
      <c r="D37" s="447"/>
      <c r="E37" s="448"/>
      <c r="F37" s="444"/>
      <c r="G37" s="444"/>
      <c r="H37" s="444"/>
      <c r="I37" s="444"/>
      <c r="J37" s="444"/>
      <c r="K37" s="444"/>
      <c r="L37" s="444"/>
      <c r="M37" s="444"/>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111" customHeight="1" x14ac:dyDescent="0.3">
      <c r="A38" s="643"/>
      <c r="B38" s="414"/>
      <c r="C38" s="415"/>
      <c r="D38" s="447"/>
      <c r="E38" s="448"/>
      <c r="F38" s="444"/>
      <c r="G38" s="444"/>
      <c r="H38" s="444"/>
      <c r="I38" s="444"/>
      <c r="J38" s="444"/>
      <c r="K38" s="444"/>
      <c r="L38" s="444"/>
      <c r="M38" s="444"/>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111" customHeight="1" x14ac:dyDescent="0.3">
      <c r="A39" s="643"/>
      <c r="B39" s="414" t="str">
        <f>'Mapa final'!$B$38</f>
        <v>TIN_03</v>
      </c>
      <c r="C39" s="415" t="str">
        <f>'Mapa final'!$H$38</f>
        <v>Posibilidad de afectación económica por no disponibilidad de la información clínica  de los usuarios del  HOMIL, debido a falta de respaldo (copias de seguridad) de la información.</v>
      </c>
      <c r="D39" s="447"/>
      <c r="E39" s="448"/>
      <c r="F39" s="444" t="str">
        <f t="shared" si="1"/>
        <v>No</v>
      </c>
      <c r="G39" s="444" t="str">
        <f t="shared" si="1"/>
        <v>No</v>
      </c>
      <c r="H39" s="444" t="str">
        <f t="shared" si="1"/>
        <v>No</v>
      </c>
      <c r="I39" s="444" t="str">
        <f t="shared" si="1"/>
        <v>No</v>
      </c>
      <c r="J39" s="444" t="str">
        <f t="shared" si="1"/>
        <v>No</v>
      </c>
      <c r="K39" s="444" t="str">
        <f t="shared" si="1"/>
        <v>No</v>
      </c>
      <c r="L39" s="444" t="str">
        <f t="shared" si="1"/>
        <v>No</v>
      </c>
      <c r="M39" s="444"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111" customHeight="1" x14ac:dyDescent="0.3">
      <c r="A40" s="643"/>
      <c r="B40" s="414"/>
      <c r="C40" s="415"/>
      <c r="D40" s="447"/>
      <c r="E40" s="448"/>
      <c r="F40" s="444"/>
      <c r="G40" s="444"/>
      <c r="H40" s="444"/>
      <c r="I40" s="444"/>
      <c r="J40" s="444"/>
      <c r="K40" s="444"/>
      <c r="L40" s="444"/>
      <c r="M40" s="444"/>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111" customHeight="1" x14ac:dyDescent="0.3">
      <c r="A41" s="643"/>
      <c r="B41" s="414"/>
      <c r="C41" s="415"/>
      <c r="D41" s="447"/>
      <c r="E41" s="448"/>
      <c r="F41" s="444"/>
      <c r="G41" s="444"/>
      <c r="H41" s="444"/>
      <c r="I41" s="444"/>
      <c r="J41" s="444"/>
      <c r="K41" s="444"/>
      <c r="L41" s="444"/>
      <c r="M41" s="444"/>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43"/>
      <c r="B42" s="477"/>
      <c r="C42" s="478"/>
      <c r="D42" s="447"/>
      <c r="E42" s="448"/>
      <c r="F42" s="444" t="str">
        <f t="shared" ref="F42:M57" si="2">IFERROR(IF($E42="","No",IF($E42="No","No"," "))," ")</f>
        <v>No</v>
      </c>
      <c r="G42" s="444" t="str">
        <f t="shared" si="2"/>
        <v>No</v>
      </c>
      <c r="H42" s="444" t="str">
        <f t="shared" si="2"/>
        <v>No</v>
      </c>
      <c r="I42" s="444" t="str">
        <f t="shared" si="2"/>
        <v>No</v>
      </c>
      <c r="J42" s="444" t="str">
        <f t="shared" si="2"/>
        <v>No</v>
      </c>
      <c r="K42" s="444" t="str">
        <f t="shared" si="2"/>
        <v>No</v>
      </c>
      <c r="L42" s="444" t="str">
        <f t="shared" si="2"/>
        <v>No</v>
      </c>
      <c r="M42" s="444"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43"/>
      <c r="B43" s="477"/>
      <c r="C43" s="478"/>
      <c r="D43" s="447"/>
      <c r="E43" s="448"/>
      <c r="F43" s="444"/>
      <c r="G43" s="444"/>
      <c r="H43" s="444"/>
      <c r="I43" s="444"/>
      <c r="J43" s="444"/>
      <c r="K43" s="444"/>
      <c r="L43" s="444"/>
      <c r="M43" s="444"/>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43"/>
      <c r="B44" s="477"/>
      <c r="C44" s="478"/>
      <c r="D44" s="447"/>
      <c r="E44" s="448"/>
      <c r="F44" s="444"/>
      <c r="G44" s="444"/>
      <c r="H44" s="444"/>
      <c r="I44" s="444"/>
      <c r="J44" s="444"/>
      <c r="K44" s="444"/>
      <c r="L44" s="444"/>
      <c r="M44" s="444"/>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43"/>
      <c r="B45" s="477"/>
      <c r="C45" s="478"/>
      <c r="D45" s="447"/>
      <c r="E45" s="448"/>
      <c r="F45" s="444" t="str">
        <f t="shared" si="2"/>
        <v>No</v>
      </c>
      <c r="G45" s="444" t="str">
        <f t="shared" si="2"/>
        <v>No</v>
      </c>
      <c r="H45" s="444" t="str">
        <f t="shared" si="2"/>
        <v>No</v>
      </c>
      <c r="I45" s="444" t="str">
        <f t="shared" si="2"/>
        <v>No</v>
      </c>
      <c r="J45" s="444" t="str">
        <f t="shared" si="2"/>
        <v>No</v>
      </c>
      <c r="K45" s="444" t="str">
        <f t="shared" si="2"/>
        <v>No</v>
      </c>
      <c r="L45" s="444" t="str">
        <f t="shared" si="2"/>
        <v>No</v>
      </c>
      <c r="M45" s="444"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43"/>
      <c r="B46" s="477"/>
      <c r="C46" s="478"/>
      <c r="D46" s="447"/>
      <c r="E46" s="448"/>
      <c r="F46" s="444"/>
      <c r="G46" s="444"/>
      <c r="H46" s="444"/>
      <c r="I46" s="444"/>
      <c r="J46" s="444"/>
      <c r="K46" s="444"/>
      <c r="L46" s="444"/>
      <c r="M46" s="444"/>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43"/>
      <c r="B47" s="477"/>
      <c r="C47" s="478"/>
      <c r="D47" s="447"/>
      <c r="E47" s="448"/>
      <c r="F47" s="444"/>
      <c r="G47" s="444"/>
      <c r="H47" s="444"/>
      <c r="I47" s="444"/>
      <c r="J47" s="444"/>
      <c r="K47" s="444"/>
      <c r="L47" s="444"/>
      <c r="M47" s="444"/>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8.75" customHeight="1" x14ac:dyDescent="0.3">
      <c r="A48" s="643"/>
      <c r="B48" s="477"/>
      <c r="C48" s="478"/>
      <c r="D48" s="447"/>
      <c r="E48" s="448"/>
      <c r="F48" s="444" t="str">
        <f t="shared" si="2"/>
        <v>No</v>
      </c>
      <c r="G48" s="444" t="str">
        <f t="shared" si="2"/>
        <v>No</v>
      </c>
      <c r="H48" s="444" t="str">
        <f t="shared" si="2"/>
        <v>No</v>
      </c>
      <c r="I48" s="444" t="str">
        <f t="shared" si="2"/>
        <v>No</v>
      </c>
      <c r="J48" s="444" t="str">
        <f t="shared" si="2"/>
        <v>No</v>
      </c>
      <c r="K48" s="444" t="str">
        <f t="shared" si="2"/>
        <v>No</v>
      </c>
      <c r="L48" s="444" t="str">
        <f t="shared" si="2"/>
        <v>No</v>
      </c>
      <c r="M48" s="444" t="str">
        <f t="shared" si="2"/>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8.75" customHeight="1" x14ac:dyDescent="0.3">
      <c r="A49" s="643"/>
      <c r="B49" s="477"/>
      <c r="C49" s="478"/>
      <c r="D49" s="447"/>
      <c r="E49" s="448"/>
      <c r="F49" s="444"/>
      <c r="G49" s="444"/>
      <c r="H49" s="444"/>
      <c r="I49" s="444"/>
      <c r="J49" s="444"/>
      <c r="K49" s="444"/>
      <c r="L49" s="444"/>
      <c r="M49" s="444"/>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8.75" customHeight="1" x14ac:dyDescent="0.3">
      <c r="A50" s="643"/>
      <c r="B50" s="477"/>
      <c r="C50" s="478"/>
      <c r="D50" s="447"/>
      <c r="E50" s="448"/>
      <c r="F50" s="444"/>
      <c r="G50" s="444"/>
      <c r="H50" s="444"/>
      <c r="I50" s="444"/>
      <c r="J50" s="444"/>
      <c r="K50" s="444"/>
      <c r="L50" s="444"/>
      <c r="M50" s="444"/>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8.75" customHeight="1" x14ac:dyDescent="0.3">
      <c r="A51" s="643"/>
      <c r="B51" s="477"/>
      <c r="C51" s="478"/>
      <c r="D51" s="447"/>
      <c r="E51" s="448"/>
      <c r="F51" s="444" t="str">
        <f t="shared" si="2"/>
        <v>No</v>
      </c>
      <c r="G51" s="444" t="str">
        <f t="shared" si="2"/>
        <v>No</v>
      </c>
      <c r="H51" s="444" t="str">
        <f t="shared" si="2"/>
        <v>No</v>
      </c>
      <c r="I51" s="444" t="str">
        <f t="shared" si="2"/>
        <v>No</v>
      </c>
      <c r="J51" s="444" t="str">
        <f t="shared" si="2"/>
        <v>No</v>
      </c>
      <c r="K51" s="444" t="str">
        <f t="shared" si="2"/>
        <v>No</v>
      </c>
      <c r="L51" s="444" t="str">
        <f t="shared" si="2"/>
        <v>No</v>
      </c>
      <c r="M51" s="444" t="str">
        <f t="shared" si="2"/>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8.75" customHeight="1" x14ac:dyDescent="0.3">
      <c r="A52" s="643"/>
      <c r="B52" s="477"/>
      <c r="C52" s="478"/>
      <c r="D52" s="447"/>
      <c r="E52" s="448"/>
      <c r="F52" s="444"/>
      <c r="G52" s="444"/>
      <c r="H52" s="444"/>
      <c r="I52" s="444"/>
      <c r="J52" s="444"/>
      <c r="K52" s="444"/>
      <c r="L52" s="444"/>
      <c r="M52" s="444"/>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8.75" customHeight="1" x14ac:dyDescent="0.3">
      <c r="A53" s="643"/>
      <c r="B53" s="477"/>
      <c r="C53" s="478"/>
      <c r="D53" s="447"/>
      <c r="E53" s="448"/>
      <c r="F53" s="444"/>
      <c r="G53" s="444"/>
      <c r="H53" s="444"/>
      <c r="I53" s="444"/>
      <c r="J53" s="444"/>
      <c r="K53" s="444"/>
      <c r="L53" s="444"/>
      <c r="M53" s="444"/>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8.75" customHeight="1" x14ac:dyDescent="0.3">
      <c r="A54" s="643"/>
      <c r="B54" s="477"/>
      <c r="C54" s="478"/>
      <c r="D54" s="447"/>
      <c r="E54" s="448"/>
      <c r="F54" s="444" t="str">
        <f t="shared" si="2"/>
        <v>No</v>
      </c>
      <c r="G54" s="444" t="str">
        <f t="shared" si="2"/>
        <v>No</v>
      </c>
      <c r="H54" s="444" t="str">
        <f t="shared" si="2"/>
        <v>No</v>
      </c>
      <c r="I54" s="444" t="str">
        <f t="shared" si="2"/>
        <v>No</v>
      </c>
      <c r="J54" s="444" t="str">
        <f t="shared" si="2"/>
        <v>No</v>
      </c>
      <c r="K54" s="444" t="str">
        <f t="shared" si="2"/>
        <v>No</v>
      </c>
      <c r="L54" s="444" t="str">
        <f t="shared" si="2"/>
        <v>No</v>
      </c>
      <c r="M54" s="444" t="str">
        <f t="shared" si="2"/>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8.75" customHeight="1" x14ac:dyDescent="0.3">
      <c r="A55" s="643"/>
      <c r="B55" s="477"/>
      <c r="C55" s="478"/>
      <c r="D55" s="447"/>
      <c r="E55" s="448"/>
      <c r="F55" s="444"/>
      <c r="G55" s="444"/>
      <c r="H55" s="444"/>
      <c r="I55" s="444"/>
      <c r="J55" s="444"/>
      <c r="K55" s="444"/>
      <c r="L55" s="444"/>
      <c r="M55" s="444"/>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8.75" customHeight="1" x14ac:dyDescent="0.3">
      <c r="A56" s="643"/>
      <c r="B56" s="477"/>
      <c r="C56" s="478"/>
      <c r="D56" s="447"/>
      <c r="E56" s="448"/>
      <c r="F56" s="444"/>
      <c r="G56" s="444"/>
      <c r="H56" s="444"/>
      <c r="I56" s="444"/>
      <c r="J56" s="444"/>
      <c r="K56" s="444"/>
      <c r="L56" s="444"/>
      <c r="M56" s="444"/>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8.75" customHeight="1" x14ac:dyDescent="0.3">
      <c r="A57" s="643"/>
      <c r="B57" s="477"/>
      <c r="C57" s="478"/>
      <c r="D57" s="447"/>
      <c r="E57" s="448"/>
      <c r="F57" s="444" t="str">
        <f t="shared" si="2"/>
        <v>No</v>
      </c>
      <c r="G57" s="444" t="str">
        <f t="shared" si="2"/>
        <v>No</v>
      </c>
      <c r="H57" s="444" t="str">
        <f t="shared" si="2"/>
        <v>No</v>
      </c>
      <c r="I57" s="444" t="str">
        <f t="shared" si="2"/>
        <v>No</v>
      </c>
      <c r="J57" s="444" t="str">
        <f t="shared" si="2"/>
        <v>No</v>
      </c>
      <c r="K57" s="444" t="str">
        <f t="shared" si="2"/>
        <v>No</v>
      </c>
      <c r="L57" s="444" t="str">
        <f t="shared" si="2"/>
        <v>No</v>
      </c>
      <c r="M57" s="444" t="str">
        <f t="shared" si="2"/>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8.75" customHeight="1" x14ac:dyDescent="0.3">
      <c r="A58" s="643"/>
      <c r="B58" s="477"/>
      <c r="C58" s="478"/>
      <c r="D58" s="447"/>
      <c r="E58" s="448"/>
      <c r="F58" s="444"/>
      <c r="G58" s="444"/>
      <c r="H58" s="444"/>
      <c r="I58" s="444"/>
      <c r="J58" s="444"/>
      <c r="K58" s="444"/>
      <c r="L58" s="444"/>
      <c r="M58" s="444"/>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8.75" customHeight="1" x14ac:dyDescent="0.3">
      <c r="A59" s="643"/>
      <c r="B59" s="477"/>
      <c r="C59" s="478"/>
      <c r="D59" s="447"/>
      <c r="E59" s="448"/>
      <c r="F59" s="444"/>
      <c r="G59" s="444"/>
      <c r="H59" s="444"/>
      <c r="I59" s="444"/>
      <c r="J59" s="444"/>
      <c r="K59" s="444"/>
      <c r="L59" s="444"/>
      <c r="M59" s="444"/>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8.75" customHeight="1" x14ac:dyDescent="0.3">
      <c r="A60" s="643"/>
      <c r="B60" s="477"/>
      <c r="C60" s="478"/>
      <c r="D60" s="447"/>
      <c r="E60" s="448"/>
      <c r="F60" s="444" t="str">
        <f t="shared" ref="F60:F69" si="3">IFERROR(IF($E60="","No",IF($E60="No","No"," "))," ")</f>
        <v>No</v>
      </c>
      <c r="G60" s="444" t="str">
        <f t="shared" ref="G60:M60" si="4">IFERROR(IF($E60="","No",IF($E60="No","No"," "))," ")</f>
        <v>No</v>
      </c>
      <c r="H60" s="444" t="str">
        <f t="shared" si="4"/>
        <v>No</v>
      </c>
      <c r="I60" s="444" t="str">
        <f t="shared" si="4"/>
        <v>No</v>
      </c>
      <c r="J60" s="444" t="str">
        <f t="shared" si="4"/>
        <v>No</v>
      </c>
      <c r="K60" s="444" t="str">
        <f t="shared" si="4"/>
        <v>No</v>
      </c>
      <c r="L60" s="444" t="str">
        <f t="shared" si="4"/>
        <v>No</v>
      </c>
      <c r="M60" s="444" t="str">
        <f t="shared" si="4"/>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8.75" customHeight="1" x14ac:dyDescent="0.3">
      <c r="A61" s="643"/>
      <c r="B61" s="477"/>
      <c r="C61" s="478"/>
      <c r="D61" s="447"/>
      <c r="E61" s="448"/>
      <c r="F61" s="444"/>
      <c r="G61" s="444"/>
      <c r="H61" s="444"/>
      <c r="I61" s="444"/>
      <c r="J61" s="444"/>
      <c r="K61" s="444"/>
      <c r="L61" s="444"/>
      <c r="M61" s="444"/>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8.75" customHeight="1" x14ac:dyDescent="0.3">
      <c r="A62" s="643"/>
      <c r="B62" s="477"/>
      <c r="C62" s="478"/>
      <c r="D62" s="447"/>
      <c r="E62" s="448"/>
      <c r="F62" s="444"/>
      <c r="G62" s="444"/>
      <c r="H62" s="444"/>
      <c r="I62" s="444"/>
      <c r="J62" s="444"/>
      <c r="K62" s="444"/>
      <c r="L62" s="444"/>
      <c r="M62" s="444"/>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8.75" customHeight="1" x14ac:dyDescent="0.3">
      <c r="A63" s="643"/>
      <c r="B63" s="477"/>
      <c r="C63" s="478"/>
      <c r="D63" s="447"/>
      <c r="E63" s="448"/>
      <c r="F63" s="444" t="str">
        <f t="shared" si="3"/>
        <v>No</v>
      </c>
      <c r="G63" s="444" t="str">
        <f t="shared" ref="G63:M63" si="5">IFERROR(IF($E63="","No",IF($E63="No","No"," "))," ")</f>
        <v>No</v>
      </c>
      <c r="H63" s="444" t="str">
        <f t="shared" si="5"/>
        <v>No</v>
      </c>
      <c r="I63" s="444" t="str">
        <f t="shared" si="5"/>
        <v>No</v>
      </c>
      <c r="J63" s="444" t="str">
        <f t="shared" si="5"/>
        <v>No</v>
      </c>
      <c r="K63" s="444" t="str">
        <f t="shared" si="5"/>
        <v>No</v>
      </c>
      <c r="L63" s="444" t="str">
        <f t="shared" si="5"/>
        <v>No</v>
      </c>
      <c r="M63" s="444" t="str">
        <f t="shared" si="5"/>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8.75" customHeight="1" x14ac:dyDescent="0.3">
      <c r="A64" s="643"/>
      <c r="B64" s="477"/>
      <c r="C64" s="478"/>
      <c r="D64" s="447"/>
      <c r="E64" s="448"/>
      <c r="F64" s="444"/>
      <c r="G64" s="444"/>
      <c r="H64" s="444"/>
      <c r="I64" s="444"/>
      <c r="J64" s="444"/>
      <c r="K64" s="444"/>
      <c r="L64" s="444"/>
      <c r="M64" s="444"/>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8.75" customHeight="1" x14ac:dyDescent="0.3">
      <c r="A65" s="643"/>
      <c r="B65" s="477"/>
      <c r="C65" s="478"/>
      <c r="D65" s="447"/>
      <c r="E65" s="448"/>
      <c r="F65" s="444"/>
      <c r="G65" s="444"/>
      <c r="H65" s="444"/>
      <c r="I65" s="444"/>
      <c r="J65" s="444"/>
      <c r="K65" s="444"/>
      <c r="L65" s="444"/>
      <c r="M65" s="444"/>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8.75" customHeight="1" x14ac:dyDescent="0.3">
      <c r="A66" s="643"/>
      <c r="B66" s="477"/>
      <c r="C66" s="478"/>
      <c r="D66" s="447"/>
      <c r="E66" s="448"/>
      <c r="F66" s="444" t="str">
        <f t="shared" si="3"/>
        <v>No</v>
      </c>
      <c r="G66" s="444" t="str">
        <f t="shared" ref="G66:M66" si="6">IFERROR(IF($E66="","No",IF($E66="No","No"," "))," ")</f>
        <v>No</v>
      </c>
      <c r="H66" s="444" t="str">
        <f t="shared" si="6"/>
        <v>No</v>
      </c>
      <c r="I66" s="444" t="str">
        <f t="shared" si="6"/>
        <v>No</v>
      </c>
      <c r="J66" s="444" t="str">
        <f t="shared" si="6"/>
        <v>No</v>
      </c>
      <c r="K66" s="444" t="str">
        <f t="shared" si="6"/>
        <v>No</v>
      </c>
      <c r="L66" s="444" t="str">
        <f t="shared" si="6"/>
        <v>No</v>
      </c>
      <c r="M66" s="444" t="str">
        <f t="shared" si="6"/>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8.75" customHeight="1" x14ac:dyDescent="0.3">
      <c r="A67" s="643"/>
      <c r="B67" s="477"/>
      <c r="C67" s="478"/>
      <c r="D67" s="447"/>
      <c r="E67" s="448"/>
      <c r="F67" s="444"/>
      <c r="G67" s="444"/>
      <c r="H67" s="444"/>
      <c r="I67" s="444"/>
      <c r="J67" s="444"/>
      <c r="K67" s="444"/>
      <c r="L67" s="444"/>
      <c r="M67" s="444"/>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8.75" customHeight="1" x14ac:dyDescent="0.3">
      <c r="A68" s="643"/>
      <c r="B68" s="477"/>
      <c r="C68" s="478"/>
      <c r="D68" s="447"/>
      <c r="E68" s="448"/>
      <c r="F68" s="444"/>
      <c r="G68" s="444"/>
      <c r="H68" s="444"/>
      <c r="I68" s="444"/>
      <c r="J68" s="444"/>
      <c r="K68" s="444"/>
      <c r="L68" s="444"/>
      <c r="M68" s="444"/>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8.75" customHeight="1" x14ac:dyDescent="0.3">
      <c r="A69" s="643"/>
      <c r="B69" s="477"/>
      <c r="C69" s="478"/>
      <c r="D69" s="447"/>
      <c r="E69" s="448"/>
      <c r="F69" s="444" t="str">
        <f t="shared" si="3"/>
        <v>No</v>
      </c>
      <c r="G69" s="444" t="str">
        <f t="shared" ref="G69:M69" si="7">IFERROR(IF($E69="","No",IF($E69="No","No"," "))," ")</f>
        <v>No</v>
      </c>
      <c r="H69" s="444" t="str">
        <f t="shared" si="7"/>
        <v>No</v>
      </c>
      <c r="I69" s="444" t="str">
        <f t="shared" si="7"/>
        <v>No</v>
      </c>
      <c r="J69" s="444" t="str">
        <f t="shared" si="7"/>
        <v>No</v>
      </c>
      <c r="K69" s="444" t="str">
        <f t="shared" si="7"/>
        <v>No</v>
      </c>
      <c r="L69" s="444" t="str">
        <f t="shared" si="7"/>
        <v>No</v>
      </c>
      <c r="M69" s="444" t="str">
        <f t="shared" si="7"/>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8.75" customHeight="1" x14ac:dyDescent="0.3">
      <c r="A70" s="643"/>
      <c r="B70" s="477"/>
      <c r="C70" s="478"/>
      <c r="D70" s="447"/>
      <c r="E70" s="448"/>
      <c r="F70" s="444"/>
      <c r="G70" s="444"/>
      <c r="H70" s="444"/>
      <c r="I70" s="444"/>
      <c r="J70" s="444"/>
      <c r="K70" s="444"/>
      <c r="L70" s="444"/>
      <c r="M70" s="444"/>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8.75" customHeight="1" x14ac:dyDescent="0.3">
      <c r="A71" s="643"/>
      <c r="B71" s="477"/>
      <c r="C71" s="478"/>
      <c r="D71" s="447"/>
      <c r="E71" s="448"/>
      <c r="F71" s="444"/>
      <c r="G71" s="444"/>
      <c r="H71" s="444"/>
      <c r="I71" s="444"/>
      <c r="J71" s="444"/>
      <c r="K71" s="444"/>
      <c r="L71" s="444"/>
      <c r="M71" s="444"/>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sheetData>
  <sheetProtection algorithmName="SHA-512" hashValue="x3AgsN/3XeEhtrNom6pqIohpp09jRM3LHYd/5z8nBQZ/bRiPZYMiyDRyQmCjbwRhPnnRCb6cVlQEz0olK2QUvA==" saltValue="hI53Q80kapdIPkRtVvAWtg==" spinCount="100000" sheet="1" objects="1" scenarios="1"/>
  <mergeCells count="255">
    <mergeCell ref="E10:E11"/>
    <mergeCell ref="F10:M10"/>
    <mergeCell ref="M12:M14"/>
    <mergeCell ref="K12:K14"/>
    <mergeCell ref="L12:L14"/>
    <mergeCell ref="K15:K17"/>
    <mergeCell ref="E15:E17"/>
    <mergeCell ref="F15:F17"/>
    <mergeCell ref="G15:G17"/>
    <mergeCell ref="H15:H17"/>
    <mergeCell ref="I15:I17"/>
    <mergeCell ref="J15:J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B18:B20"/>
    <mergeCell ref="C18:C20"/>
    <mergeCell ref="D18:D20"/>
    <mergeCell ref="B24:B26"/>
    <mergeCell ref="C24:C26"/>
    <mergeCell ref="D24:D26"/>
    <mergeCell ref="E24:E26"/>
    <mergeCell ref="F24:F26"/>
    <mergeCell ref="G24:G26"/>
    <mergeCell ref="H24:H26"/>
    <mergeCell ref="I24:I26"/>
    <mergeCell ref="J24:J26"/>
    <mergeCell ref="K24:K26"/>
    <mergeCell ref="L24:L26"/>
    <mergeCell ref="M24:M26"/>
    <mergeCell ref="K27:K29"/>
    <mergeCell ref="L27:L29"/>
    <mergeCell ref="M27:M29"/>
    <mergeCell ref="B30:B32"/>
    <mergeCell ref="C30:C32"/>
    <mergeCell ref="D30:D32"/>
    <mergeCell ref="E30:E32"/>
    <mergeCell ref="F30:F32"/>
    <mergeCell ref="M30:M32"/>
    <mergeCell ref="G30:G32"/>
    <mergeCell ref="H30:H32"/>
    <mergeCell ref="I30:I32"/>
    <mergeCell ref="J30:J32"/>
    <mergeCell ref="K30:K32"/>
    <mergeCell ref="L30:L32"/>
    <mergeCell ref="B27:B29"/>
    <mergeCell ref="C27:C29"/>
    <mergeCell ref="D27:D29"/>
    <mergeCell ref="E27:E29"/>
    <mergeCell ref="F27:F29"/>
    <mergeCell ref="G27:G29"/>
    <mergeCell ref="H27:H29"/>
    <mergeCell ref="I27:I29"/>
    <mergeCell ref="J27:J29"/>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39:B41"/>
    <mergeCell ref="C39:C41"/>
    <mergeCell ref="D39:D41"/>
    <mergeCell ref="E39:E41"/>
    <mergeCell ref="F39:F41"/>
    <mergeCell ref="M39:M41"/>
    <mergeCell ref="G39:G41"/>
    <mergeCell ref="H39:H41"/>
    <mergeCell ref="I39:I41"/>
    <mergeCell ref="J39:J41"/>
    <mergeCell ref="K39:K41"/>
    <mergeCell ref="L39:L41"/>
    <mergeCell ref="B42:B44"/>
    <mergeCell ref="C42:C44"/>
    <mergeCell ref="D42:D44"/>
    <mergeCell ref="E42:E44"/>
    <mergeCell ref="F42:F44"/>
    <mergeCell ref="G42:G44"/>
    <mergeCell ref="H42:H44"/>
    <mergeCell ref="I42:I44"/>
    <mergeCell ref="J42:J44"/>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B60:B62"/>
    <mergeCell ref="C60:C62"/>
    <mergeCell ref="D60:D62"/>
    <mergeCell ref="E60:E62"/>
    <mergeCell ref="F60:F62"/>
    <mergeCell ref="G60:G62"/>
    <mergeCell ref="H60:H62"/>
    <mergeCell ref="I60:I62"/>
    <mergeCell ref="J60:J62"/>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s>
  <conditionalFormatting sqref="F12:M71">
    <cfRule type="containsText" dxfId="1"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Tratamiento'!$D$32:$D$33</xm:f>
          </x14:formula1>
          <xm:sqref>H12:H71</xm:sqref>
        </x14:dataValidation>
        <x14:dataValidation type="list" allowBlank="1" showInputMessage="1" showErrorMessage="1">
          <x14:formula1>
            <xm:f>'Opciones Tratamiento'!$D$27:$D$29</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A1:BR47"/>
  <sheetViews>
    <sheetView view="pageBreakPreview" zoomScale="40" zoomScaleNormal="10" zoomScaleSheetLayoutView="40" workbookViewId="0">
      <selection activeCell="B12" sqref="B12:B14"/>
    </sheetView>
  </sheetViews>
  <sheetFormatPr baseColWidth="10" defaultColWidth="11.42578125" defaultRowHeight="16.5" x14ac:dyDescent="0.3"/>
  <cols>
    <col min="1" max="1" width="54.42578125" style="149" bestFit="1" customWidth="1"/>
    <col min="2" max="2" width="31.5703125" style="149" bestFit="1" customWidth="1"/>
    <col min="3" max="4" width="91.140625" style="149" customWidth="1"/>
    <col min="5" max="5" width="41.5703125" style="149" customWidth="1"/>
    <col min="6" max="6" width="90.85546875" style="149" customWidth="1"/>
    <col min="7" max="8" width="45.140625" style="149" customWidth="1"/>
    <col min="9" max="10" width="90.85546875" style="149" customWidth="1"/>
    <col min="11" max="11" width="54.42578125" style="149" customWidth="1"/>
    <col min="12" max="12" width="38.71093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95" t="s">
        <v>60</v>
      </c>
      <c r="B2" s="496"/>
      <c r="C2" s="496"/>
      <c r="D2" s="480" t="s">
        <v>106</v>
      </c>
      <c r="E2" s="481"/>
      <c r="F2" s="481"/>
      <c r="G2" s="481"/>
      <c r="H2" s="481"/>
      <c r="I2" s="481"/>
      <c r="J2" s="481"/>
      <c r="K2" s="481"/>
      <c r="L2" s="482"/>
      <c r="M2" s="497"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99"/>
      <c r="B3" s="500"/>
      <c r="C3" s="500"/>
      <c r="D3" s="483" t="s">
        <v>63</v>
      </c>
      <c r="E3" s="484"/>
      <c r="F3" s="484"/>
      <c r="G3" s="484"/>
      <c r="H3" s="484"/>
      <c r="I3" s="484"/>
      <c r="J3" s="484"/>
      <c r="K3" s="484"/>
      <c r="L3" s="485"/>
      <c r="M3" s="498"/>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99"/>
      <c r="B4" s="500"/>
      <c r="C4" s="500"/>
      <c r="D4" s="486"/>
      <c r="E4" s="487"/>
      <c r="F4" s="487"/>
      <c r="G4" s="487"/>
      <c r="H4" s="487"/>
      <c r="I4" s="487"/>
      <c r="J4" s="487"/>
      <c r="K4" s="487"/>
      <c r="L4" s="488"/>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99"/>
      <c r="B5" s="500"/>
      <c r="C5" s="500"/>
      <c r="D5" s="489" t="s">
        <v>65</v>
      </c>
      <c r="E5" s="490"/>
      <c r="F5" s="490"/>
      <c r="G5" s="490"/>
      <c r="H5" s="490"/>
      <c r="I5" s="490"/>
      <c r="J5" s="490"/>
      <c r="K5" s="490"/>
      <c r="L5" s="491"/>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99"/>
      <c r="B6" s="500"/>
      <c r="C6" s="500"/>
      <c r="D6" s="492" t="s">
        <v>67</v>
      </c>
      <c r="E6" s="493"/>
      <c r="F6" s="493"/>
      <c r="G6" s="493"/>
      <c r="H6" s="493"/>
      <c r="I6" s="493"/>
      <c r="J6" s="493"/>
      <c r="K6" s="493"/>
      <c r="L6" s="494"/>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01"/>
      <c r="B7" s="502"/>
      <c r="C7" s="502"/>
      <c r="D7" s="502"/>
      <c r="E7" s="502"/>
      <c r="F7" s="502"/>
      <c r="G7" s="502"/>
      <c r="H7" s="502"/>
      <c r="I7" s="502"/>
      <c r="J7" s="502"/>
      <c r="K7" s="502"/>
      <c r="L7" s="502"/>
      <c r="M7" s="503"/>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48" t="s">
        <v>157</v>
      </c>
      <c r="B9" s="649"/>
      <c r="C9" s="649"/>
      <c r="D9" s="649"/>
      <c r="E9" s="649"/>
      <c r="F9" s="649"/>
      <c r="G9" s="649"/>
      <c r="H9" s="649"/>
      <c r="I9" s="649"/>
      <c r="J9" s="649"/>
      <c r="K9" s="649"/>
      <c r="L9" s="649"/>
      <c r="M9" s="649"/>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99.75" customHeight="1" x14ac:dyDescent="0.35">
      <c r="A10" s="650" t="s">
        <v>158</v>
      </c>
      <c r="B10" s="651" t="s">
        <v>110</v>
      </c>
      <c r="C10" s="651"/>
      <c r="D10" s="651" t="s">
        <v>159</v>
      </c>
      <c r="E10" s="651" t="s">
        <v>112</v>
      </c>
      <c r="F10" s="651" t="s">
        <v>113</v>
      </c>
      <c r="G10" s="651"/>
      <c r="H10" s="651"/>
      <c r="I10" s="651"/>
      <c r="J10" s="651"/>
      <c r="K10" s="651"/>
      <c r="L10" s="651"/>
      <c r="M10" s="651"/>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11.5" customHeight="1" x14ac:dyDescent="0.35">
      <c r="A11" s="650"/>
      <c r="B11" s="156" t="s">
        <v>114</v>
      </c>
      <c r="C11" s="156" t="s">
        <v>21</v>
      </c>
      <c r="D11" s="651"/>
      <c r="E11" s="651"/>
      <c r="F11" s="156" t="s">
        <v>160</v>
      </c>
      <c r="G11" s="156" t="s">
        <v>116</v>
      </c>
      <c r="H11" s="156" t="s">
        <v>161</v>
      </c>
      <c r="I11" s="156" t="s">
        <v>162</v>
      </c>
      <c r="J11" s="156" t="s">
        <v>124</v>
      </c>
      <c r="K11" s="156" t="s">
        <v>93</v>
      </c>
      <c r="L11" s="156" t="s">
        <v>120</v>
      </c>
      <c r="M11" s="156"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47" t="s">
        <v>163</v>
      </c>
      <c r="B12" s="477"/>
      <c r="C12" s="478"/>
      <c r="D12" s="447"/>
      <c r="E12" s="448"/>
      <c r="F12" s="444" t="str">
        <f t="shared" ref="F12:M12" si="0">IFERROR(IF($E12="","No",IF($E12="No","No"," "))," ")</f>
        <v>No</v>
      </c>
      <c r="G12" s="444" t="str">
        <f t="shared" si="0"/>
        <v>No</v>
      </c>
      <c r="H12" s="444" t="str">
        <f t="shared" si="0"/>
        <v>No</v>
      </c>
      <c r="I12" s="444" t="str">
        <f t="shared" si="0"/>
        <v>No</v>
      </c>
      <c r="J12" s="444" t="str">
        <f t="shared" si="0"/>
        <v>No</v>
      </c>
      <c r="K12" s="444" t="str">
        <f t="shared" si="0"/>
        <v>No</v>
      </c>
      <c r="L12" s="444" t="str">
        <f t="shared" si="0"/>
        <v>No</v>
      </c>
      <c r="M12" s="444"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47"/>
      <c r="B13" s="477"/>
      <c r="C13" s="478"/>
      <c r="D13" s="447"/>
      <c r="E13" s="448"/>
      <c r="F13" s="444"/>
      <c r="G13" s="444"/>
      <c r="H13" s="444"/>
      <c r="I13" s="444"/>
      <c r="J13" s="444"/>
      <c r="K13" s="444"/>
      <c r="L13" s="444"/>
      <c r="M13" s="444"/>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47"/>
      <c r="B14" s="477"/>
      <c r="C14" s="478"/>
      <c r="D14" s="447"/>
      <c r="E14" s="448"/>
      <c r="F14" s="444"/>
      <c r="G14" s="444"/>
      <c r="H14" s="444"/>
      <c r="I14" s="444"/>
      <c r="J14" s="444"/>
      <c r="K14" s="444"/>
      <c r="L14" s="444"/>
      <c r="M14" s="444"/>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47" t="s">
        <v>164</v>
      </c>
      <c r="B15" s="477"/>
      <c r="C15" s="478"/>
      <c r="D15" s="447"/>
      <c r="E15" s="448"/>
      <c r="F15" s="444" t="str">
        <f t="shared" ref="F15:M39" si="1">IFERROR(IF($E15="","No",IF($E15="No","No"," "))," ")</f>
        <v>No</v>
      </c>
      <c r="G15" s="444" t="str">
        <f t="shared" si="1"/>
        <v>No</v>
      </c>
      <c r="H15" s="444" t="str">
        <f t="shared" si="1"/>
        <v>No</v>
      </c>
      <c r="I15" s="444" t="str">
        <f t="shared" si="1"/>
        <v>No</v>
      </c>
      <c r="J15" s="444" t="str">
        <f t="shared" si="1"/>
        <v>No</v>
      </c>
      <c r="K15" s="444" t="str">
        <f t="shared" si="1"/>
        <v>No</v>
      </c>
      <c r="L15" s="444" t="str">
        <f t="shared" si="1"/>
        <v>No</v>
      </c>
      <c r="M15" s="444"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47"/>
      <c r="B16" s="477"/>
      <c r="C16" s="478"/>
      <c r="D16" s="447"/>
      <c r="E16" s="448"/>
      <c r="F16" s="444"/>
      <c r="G16" s="444"/>
      <c r="H16" s="444"/>
      <c r="I16" s="444"/>
      <c r="J16" s="444"/>
      <c r="K16" s="444"/>
      <c r="L16" s="444"/>
      <c r="M16" s="444"/>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47"/>
      <c r="B17" s="477"/>
      <c r="C17" s="478"/>
      <c r="D17" s="447"/>
      <c r="E17" s="448"/>
      <c r="F17" s="444"/>
      <c r="G17" s="444"/>
      <c r="H17" s="444"/>
      <c r="I17" s="444"/>
      <c r="J17" s="444"/>
      <c r="K17" s="444"/>
      <c r="L17" s="444"/>
      <c r="M17" s="444"/>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47" t="s">
        <v>165</v>
      </c>
      <c r="B18" s="477"/>
      <c r="C18" s="478"/>
      <c r="D18" s="447"/>
      <c r="E18" s="448"/>
      <c r="F18" s="444" t="str">
        <f t="shared" si="1"/>
        <v>No</v>
      </c>
      <c r="G18" s="444" t="str">
        <f t="shared" si="1"/>
        <v>No</v>
      </c>
      <c r="H18" s="444" t="str">
        <f t="shared" si="1"/>
        <v>No</v>
      </c>
      <c r="I18" s="444" t="str">
        <f t="shared" si="1"/>
        <v>No</v>
      </c>
      <c r="J18" s="444" t="str">
        <f t="shared" si="1"/>
        <v>No</v>
      </c>
      <c r="K18" s="444" t="str">
        <f t="shared" si="1"/>
        <v>No</v>
      </c>
      <c r="L18" s="444" t="str">
        <f t="shared" si="1"/>
        <v>No</v>
      </c>
      <c r="M18" s="444"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47"/>
      <c r="B19" s="477"/>
      <c r="C19" s="478"/>
      <c r="D19" s="447"/>
      <c r="E19" s="448"/>
      <c r="F19" s="444"/>
      <c r="G19" s="444"/>
      <c r="H19" s="444"/>
      <c r="I19" s="444"/>
      <c r="J19" s="444"/>
      <c r="K19" s="444"/>
      <c r="L19" s="444"/>
      <c r="M19" s="444"/>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47"/>
      <c r="B20" s="477"/>
      <c r="C20" s="478"/>
      <c r="D20" s="447"/>
      <c r="E20" s="448"/>
      <c r="F20" s="444"/>
      <c r="G20" s="444"/>
      <c r="H20" s="444"/>
      <c r="I20" s="444"/>
      <c r="J20" s="444"/>
      <c r="K20" s="444"/>
      <c r="L20" s="444"/>
      <c r="M20" s="444"/>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47" t="s">
        <v>166</v>
      </c>
      <c r="B21" s="477"/>
      <c r="C21" s="478"/>
      <c r="D21" s="447"/>
      <c r="E21" s="448"/>
      <c r="F21" s="444" t="str">
        <f t="shared" si="1"/>
        <v>No</v>
      </c>
      <c r="G21" s="444" t="str">
        <f t="shared" si="1"/>
        <v>No</v>
      </c>
      <c r="H21" s="444" t="str">
        <f t="shared" si="1"/>
        <v>No</v>
      </c>
      <c r="I21" s="444" t="str">
        <f t="shared" si="1"/>
        <v>No</v>
      </c>
      <c r="J21" s="444" t="str">
        <f t="shared" si="1"/>
        <v>No</v>
      </c>
      <c r="K21" s="444" t="str">
        <f t="shared" si="1"/>
        <v>No</v>
      </c>
      <c r="L21" s="444" t="str">
        <f t="shared" si="1"/>
        <v>No</v>
      </c>
      <c r="M21" s="444"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47"/>
      <c r="B22" s="477"/>
      <c r="C22" s="478"/>
      <c r="D22" s="447"/>
      <c r="E22" s="448"/>
      <c r="F22" s="444"/>
      <c r="G22" s="444"/>
      <c r="H22" s="444"/>
      <c r="I22" s="444"/>
      <c r="J22" s="444"/>
      <c r="K22" s="444"/>
      <c r="L22" s="444"/>
      <c r="M22" s="444"/>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47"/>
      <c r="B23" s="477"/>
      <c r="C23" s="478"/>
      <c r="D23" s="447"/>
      <c r="E23" s="448"/>
      <c r="F23" s="444"/>
      <c r="G23" s="444"/>
      <c r="H23" s="444"/>
      <c r="I23" s="444"/>
      <c r="J23" s="444"/>
      <c r="K23" s="444"/>
      <c r="L23" s="444"/>
      <c r="M23" s="444"/>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47" t="s">
        <v>167</v>
      </c>
      <c r="B24" s="477"/>
      <c r="C24" s="478"/>
      <c r="D24" s="447"/>
      <c r="E24" s="448"/>
      <c r="F24" s="444" t="str">
        <f t="shared" si="1"/>
        <v>No</v>
      </c>
      <c r="G24" s="444" t="str">
        <f t="shared" si="1"/>
        <v>No</v>
      </c>
      <c r="H24" s="444" t="str">
        <f t="shared" si="1"/>
        <v>No</v>
      </c>
      <c r="I24" s="444" t="str">
        <f t="shared" si="1"/>
        <v>No</v>
      </c>
      <c r="J24" s="444" t="str">
        <f t="shared" si="1"/>
        <v>No</v>
      </c>
      <c r="K24" s="444" t="str">
        <f t="shared" si="1"/>
        <v>No</v>
      </c>
      <c r="L24" s="444" t="str">
        <f t="shared" si="1"/>
        <v>No</v>
      </c>
      <c r="M24" s="444"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47"/>
      <c r="B25" s="477"/>
      <c r="C25" s="478"/>
      <c r="D25" s="447"/>
      <c r="E25" s="448"/>
      <c r="F25" s="444"/>
      <c r="G25" s="444"/>
      <c r="H25" s="444"/>
      <c r="I25" s="444"/>
      <c r="J25" s="444"/>
      <c r="K25" s="444"/>
      <c r="L25" s="444"/>
      <c r="M25" s="444"/>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47"/>
      <c r="B26" s="477"/>
      <c r="C26" s="478"/>
      <c r="D26" s="447"/>
      <c r="E26" s="448"/>
      <c r="F26" s="444"/>
      <c r="G26" s="444"/>
      <c r="H26" s="444"/>
      <c r="I26" s="444"/>
      <c r="J26" s="444"/>
      <c r="K26" s="444"/>
      <c r="L26" s="444"/>
      <c r="M26" s="444"/>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47" t="s">
        <v>168</v>
      </c>
      <c r="B27" s="477"/>
      <c r="C27" s="478"/>
      <c r="D27" s="447"/>
      <c r="E27" s="448"/>
      <c r="F27" s="444" t="str">
        <f t="shared" si="1"/>
        <v>No</v>
      </c>
      <c r="G27" s="444" t="str">
        <f t="shared" si="1"/>
        <v>No</v>
      </c>
      <c r="H27" s="444" t="str">
        <f t="shared" si="1"/>
        <v>No</v>
      </c>
      <c r="I27" s="444" t="str">
        <f t="shared" si="1"/>
        <v>No</v>
      </c>
      <c r="J27" s="444" t="str">
        <f t="shared" si="1"/>
        <v>No</v>
      </c>
      <c r="K27" s="444" t="str">
        <f t="shared" si="1"/>
        <v>No</v>
      </c>
      <c r="L27" s="444" t="str">
        <f t="shared" si="1"/>
        <v>No</v>
      </c>
      <c r="M27" s="444"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47"/>
      <c r="B28" s="477"/>
      <c r="C28" s="478"/>
      <c r="D28" s="447"/>
      <c r="E28" s="448"/>
      <c r="F28" s="444"/>
      <c r="G28" s="444"/>
      <c r="H28" s="444"/>
      <c r="I28" s="444"/>
      <c r="J28" s="444"/>
      <c r="K28" s="444"/>
      <c r="L28" s="444"/>
      <c r="M28" s="444"/>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47"/>
      <c r="B29" s="477"/>
      <c r="C29" s="478"/>
      <c r="D29" s="447"/>
      <c r="E29" s="448"/>
      <c r="F29" s="444"/>
      <c r="G29" s="444"/>
      <c r="H29" s="444"/>
      <c r="I29" s="444"/>
      <c r="J29" s="444"/>
      <c r="K29" s="444"/>
      <c r="L29" s="444"/>
      <c r="M29" s="444"/>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47" t="s">
        <v>169</v>
      </c>
      <c r="B30" s="477"/>
      <c r="C30" s="478"/>
      <c r="D30" s="447"/>
      <c r="E30" s="448"/>
      <c r="F30" s="444" t="str">
        <f t="shared" si="1"/>
        <v>No</v>
      </c>
      <c r="G30" s="444" t="str">
        <f t="shared" si="1"/>
        <v>No</v>
      </c>
      <c r="H30" s="444" t="str">
        <f t="shared" si="1"/>
        <v>No</v>
      </c>
      <c r="I30" s="444" t="str">
        <f t="shared" si="1"/>
        <v>No</v>
      </c>
      <c r="J30" s="444" t="str">
        <f t="shared" si="1"/>
        <v>No</v>
      </c>
      <c r="K30" s="444" t="str">
        <f t="shared" si="1"/>
        <v>No</v>
      </c>
      <c r="L30" s="444" t="str">
        <f t="shared" si="1"/>
        <v>No</v>
      </c>
      <c r="M30" s="444"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47"/>
      <c r="B31" s="477"/>
      <c r="C31" s="478"/>
      <c r="D31" s="447"/>
      <c r="E31" s="448"/>
      <c r="F31" s="444"/>
      <c r="G31" s="444"/>
      <c r="H31" s="444"/>
      <c r="I31" s="444"/>
      <c r="J31" s="444"/>
      <c r="K31" s="444"/>
      <c r="L31" s="444"/>
      <c r="M31" s="444"/>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47"/>
      <c r="B32" s="477"/>
      <c r="C32" s="478"/>
      <c r="D32" s="447"/>
      <c r="E32" s="448"/>
      <c r="F32" s="444"/>
      <c r="G32" s="444"/>
      <c r="H32" s="444"/>
      <c r="I32" s="444"/>
      <c r="J32" s="444"/>
      <c r="K32" s="444"/>
      <c r="L32" s="444"/>
      <c r="M32" s="444"/>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47" t="s">
        <v>170</v>
      </c>
      <c r="B33" s="477"/>
      <c r="C33" s="478"/>
      <c r="D33" s="447"/>
      <c r="E33" s="448"/>
      <c r="F33" s="444" t="str">
        <f t="shared" si="1"/>
        <v>No</v>
      </c>
      <c r="G33" s="444" t="str">
        <f t="shared" si="1"/>
        <v>No</v>
      </c>
      <c r="H33" s="444" t="str">
        <f t="shared" si="1"/>
        <v>No</v>
      </c>
      <c r="I33" s="444" t="str">
        <f t="shared" si="1"/>
        <v>No</v>
      </c>
      <c r="J33" s="444" t="str">
        <f t="shared" si="1"/>
        <v>No</v>
      </c>
      <c r="K33" s="444" t="str">
        <f t="shared" si="1"/>
        <v>No</v>
      </c>
      <c r="L33" s="444" t="str">
        <f t="shared" si="1"/>
        <v>No</v>
      </c>
      <c r="M33" s="444"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47"/>
      <c r="B34" s="477"/>
      <c r="C34" s="478"/>
      <c r="D34" s="447"/>
      <c r="E34" s="448"/>
      <c r="F34" s="444"/>
      <c r="G34" s="444"/>
      <c r="H34" s="444"/>
      <c r="I34" s="444"/>
      <c r="J34" s="444"/>
      <c r="K34" s="444"/>
      <c r="L34" s="444"/>
      <c r="M34" s="444"/>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47"/>
      <c r="B35" s="477"/>
      <c r="C35" s="478"/>
      <c r="D35" s="447"/>
      <c r="E35" s="448"/>
      <c r="F35" s="444"/>
      <c r="G35" s="444"/>
      <c r="H35" s="444"/>
      <c r="I35" s="444"/>
      <c r="J35" s="444"/>
      <c r="K35" s="444"/>
      <c r="L35" s="444"/>
      <c r="M35" s="444"/>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47" t="s">
        <v>171</v>
      </c>
      <c r="B36" s="477"/>
      <c r="C36" s="478"/>
      <c r="D36" s="447"/>
      <c r="E36" s="448"/>
      <c r="F36" s="444" t="str">
        <f t="shared" si="1"/>
        <v>No</v>
      </c>
      <c r="G36" s="444" t="str">
        <f t="shared" si="1"/>
        <v>No</v>
      </c>
      <c r="H36" s="444" t="str">
        <f t="shared" si="1"/>
        <v>No</v>
      </c>
      <c r="I36" s="444" t="str">
        <f t="shared" si="1"/>
        <v>No</v>
      </c>
      <c r="J36" s="444" t="str">
        <f t="shared" si="1"/>
        <v>No</v>
      </c>
      <c r="K36" s="444" t="str">
        <f t="shared" si="1"/>
        <v>No</v>
      </c>
      <c r="L36" s="444" t="str">
        <f t="shared" si="1"/>
        <v>No</v>
      </c>
      <c r="M36" s="444"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47"/>
      <c r="B37" s="477"/>
      <c r="C37" s="478"/>
      <c r="D37" s="447"/>
      <c r="E37" s="448"/>
      <c r="F37" s="444"/>
      <c r="G37" s="444"/>
      <c r="H37" s="444"/>
      <c r="I37" s="444"/>
      <c r="J37" s="444"/>
      <c r="K37" s="444"/>
      <c r="L37" s="444"/>
      <c r="M37" s="444"/>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47"/>
      <c r="B38" s="477"/>
      <c r="C38" s="478"/>
      <c r="D38" s="447"/>
      <c r="E38" s="448"/>
      <c r="F38" s="444"/>
      <c r="G38" s="444"/>
      <c r="H38" s="444"/>
      <c r="I38" s="444"/>
      <c r="J38" s="444"/>
      <c r="K38" s="444"/>
      <c r="L38" s="444"/>
      <c r="M38" s="444"/>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47" t="s">
        <v>172</v>
      </c>
      <c r="B39" s="477"/>
      <c r="C39" s="478"/>
      <c r="D39" s="447"/>
      <c r="E39" s="448"/>
      <c r="F39" s="444" t="str">
        <f t="shared" si="1"/>
        <v>No</v>
      </c>
      <c r="G39" s="444" t="str">
        <f t="shared" si="1"/>
        <v>No</v>
      </c>
      <c r="H39" s="444" t="str">
        <f t="shared" si="1"/>
        <v>No</v>
      </c>
      <c r="I39" s="444" t="str">
        <f t="shared" si="1"/>
        <v>No</v>
      </c>
      <c r="J39" s="444" t="str">
        <f t="shared" si="1"/>
        <v>No</v>
      </c>
      <c r="K39" s="444" t="str">
        <f t="shared" si="1"/>
        <v>No</v>
      </c>
      <c r="L39" s="444" t="str">
        <f t="shared" si="1"/>
        <v>No</v>
      </c>
      <c r="M39" s="444"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47"/>
      <c r="B40" s="477"/>
      <c r="C40" s="478"/>
      <c r="D40" s="447"/>
      <c r="E40" s="448"/>
      <c r="F40" s="444"/>
      <c r="G40" s="444"/>
      <c r="H40" s="444"/>
      <c r="I40" s="444"/>
      <c r="J40" s="444"/>
      <c r="K40" s="444"/>
      <c r="L40" s="444"/>
      <c r="M40" s="444"/>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47"/>
      <c r="B41" s="477"/>
      <c r="C41" s="478"/>
      <c r="D41" s="447"/>
      <c r="E41" s="448"/>
      <c r="F41" s="444"/>
      <c r="G41" s="444"/>
      <c r="H41" s="444"/>
      <c r="I41" s="444"/>
      <c r="J41" s="444"/>
      <c r="K41" s="444"/>
      <c r="L41" s="444"/>
      <c r="M41" s="444"/>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47" t="s">
        <v>173</v>
      </c>
      <c r="B42" s="477"/>
      <c r="C42" s="478"/>
      <c r="D42" s="447"/>
      <c r="E42" s="448"/>
      <c r="F42" s="444" t="str">
        <f t="shared" ref="F42:M45" si="2">IFERROR(IF($E42="","No",IF($E42="No","No"," "))," ")</f>
        <v>No</v>
      </c>
      <c r="G42" s="444" t="str">
        <f t="shared" si="2"/>
        <v>No</v>
      </c>
      <c r="H42" s="444" t="str">
        <f t="shared" si="2"/>
        <v>No</v>
      </c>
      <c r="I42" s="444" t="str">
        <f t="shared" si="2"/>
        <v>No</v>
      </c>
      <c r="J42" s="444" t="str">
        <f t="shared" si="2"/>
        <v>No</v>
      </c>
      <c r="K42" s="444" t="str">
        <f t="shared" si="2"/>
        <v>No</v>
      </c>
      <c r="L42" s="444" t="str">
        <f t="shared" si="2"/>
        <v>No</v>
      </c>
      <c r="M42" s="444"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47"/>
      <c r="B43" s="477"/>
      <c r="C43" s="478"/>
      <c r="D43" s="447"/>
      <c r="E43" s="448"/>
      <c r="F43" s="444"/>
      <c r="G43" s="444"/>
      <c r="H43" s="444"/>
      <c r="I43" s="444"/>
      <c r="J43" s="444"/>
      <c r="K43" s="444"/>
      <c r="L43" s="444"/>
      <c r="M43" s="444"/>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47"/>
      <c r="B44" s="477"/>
      <c r="C44" s="478"/>
      <c r="D44" s="447"/>
      <c r="E44" s="448"/>
      <c r="F44" s="444"/>
      <c r="G44" s="444"/>
      <c r="H44" s="444"/>
      <c r="I44" s="444"/>
      <c r="J44" s="444"/>
      <c r="K44" s="444"/>
      <c r="L44" s="444"/>
      <c r="M44" s="444"/>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47" t="s">
        <v>174</v>
      </c>
      <c r="B45" s="477"/>
      <c r="C45" s="478"/>
      <c r="D45" s="447"/>
      <c r="E45" s="448"/>
      <c r="F45" s="444" t="str">
        <f t="shared" si="2"/>
        <v>No</v>
      </c>
      <c r="G45" s="444" t="str">
        <f t="shared" si="2"/>
        <v>No</v>
      </c>
      <c r="H45" s="444" t="str">
        <f t="shared" si="2"/>
        <v>No</v>
      </c>
      <c r="I45" s="444" t="str">
        <f t="shared" si="2"/>
        <v>No</v>
      </c>
      <c r="J45" s="444" t="str">
        <f t="shared" si="2"/>
        <v>No</v>
      </c>
      <c r="K45" s="444" t="str">
        <f t="shared" si="2"/>
        <v>No</v>
      </c>
      <c r="L45" s="444" t="str">
        <f t="shared" si="2"/>
        <v>No</v>
      </c>
      <c r="M45" s="444"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47"/>
      <c r="B46" s="477"/>
      <c r="C46" s="478"/>
      <c r="D46" s="447"/>
      <c r="E46" s="448"/>
      <c r="F46" s="444"/>
      <c r="G46" s="444"/>
      <c r="H46" s="444"/>
      <c r="I46" s="444"/>
      <c r="J46" s="444"/>
      <c r="K46" s="444"/>
      <c r="L46" s="444"/>
      <c r="M46" s="444"/>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47"/>
      <c r="B47" s="477"/>
      <c r="C47" s="478"/>
      <c r="D47" s="447"/>
      <c r="E47" s="448"/>
      <c r="F47" s="444"/>
      <c r="G47" s="444"/>
      <c r="H47" s="444"/>
      <c r="I47" s="444"/>
      <c r="J47" s="444"/>
      <c r="K47" s="444"/>
      <c r="L47" s="444"/>
      <c r="M47" s="444"/>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sheetData>
  <mergeCells count="170">
    <mergeCell ref="A2:C2"/>
    <mergeCell ref="D2:L2"/>
    <mergeCell ref="M2:M3"/>
    <mergeCell ref="A3:C6"/>
    <mergeCell ref="D3:L4"/>
    <mergeCell ref="D5:L5"/>
    <mergeCell ref="D6:L6"/>
    <mergeCell ref="C12:C14"/>
    <mergeCell ref="D12:D14"/>
    <mergeCell ref="E12:E14"/>
    <mergeCell ref="F12:F14"/>
    <mergeCell ref="K15:K17"/>
    <mergeCell ref="L15:L17"/>
    <mergeCell ref="M15:M17"/>
    <mergeCell ref="A7:M7"/>
    <mergeCell ref="A9:M9"/>
    <mergeCell ref="A10:A11"/>
    <mergeCell ref="B10:C10"/>
    <mergeCell ref="D10:D11"/>
    <mergeCell ref="E10:E11"/>
    <mergeCell ref="F10:M10"/>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s>
  <conditionalFormatting sqref="F12:M47">
    <cfRule type="containsText" dxfId="0"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E12:E47</xm:sqref>
        </x14:dataValidation>
        <x14:dataValidation type="list" allowBlank="1" showInputMessage="1" showErrorMessage="1">
          <x14:formula1>
            <xm:f>'Opciones Tratamiento'!$D$32:$D$33</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52" t="s">
        <v>175</v>
      </c>
      <c r="C1" s="652"/>
      <c r="D1" s="652"/>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176</v>
      </c>
      <c r="E4" s="69"/>
      <c r="F4" s="69"/>
      <c r="G4" s="69"/>
      <c r="H4" s="69"/>
      <c r="I4" s="69"/>
      <c r="J4" s="69"/>
      <c r="K4" s="69"/>
      <c r="L4" s="69"/>
      <c r="M4" s="69"/>
      <c r="N4" s="69"/>
      <c r="O4" s="69"/>
      <c r="P4" s="69"/>
      <c r="Q4" s="69"/>
      <c r="R4" s="69"/>
      <c r="S4" s="69"/>
      <c r="T4" s="69"/>
      <c r="U4" s="69"/>
    </row>
    <row r="5" spans="1:21" x14ac:dyDescent="0.25">
      <c r="A5" s="89" t="s">
        <v>177</v>
      </c>
      <c r="E5" s="69"/>
      <c r="F5" s="69"/>
      <c r="G5" s="69"/>
      <c r="H5" s="69"/>
      <c r="I5" s="69"/>
      <c r="J5" s="69"/>
      <c r="K5" s="69"/>
      <c r="L5" s="69"/>
      <c r="M5" s="69"/>
      <c r="N5" s="69"/>
      <c r="O5" s="69"/>
      <c r="P5" s="69"/>
      <c r="Q5" s="69"/>
      <c r="R5" s="69"/>
      <c r="S5" s="69"/>
      <c r="T5" s="69"/>
      <c r="U5" s="69"/>
    </row>
    <row r="6" spans="1:21" x14ac:dyDescent="0.25">
      <c r="A6" s="89" t="s">
        <v>134</v>
      </c>
      <c r="E6" s="69"/>
      <c r="F6" s="69"/>
      <c r="G6" s="69"/>
      <c r="H6" s="69"/>
      <c r="I6" s="69"/>
      <c r="J6" s="69"/>
      <c r="K6" s="69"/>
      <c r="L6" s="69"/>
      <c r="M6" s="69"/>
      <c r="N6" s="69"/>
      <c r="O6" s="69"/>
      <c r="P6" s="69"/>
      <c r="Q6" s="69"/>
      <c r="R6" s="69"/>
      <c r="S6" s="69"/>
      <c r="T6" s="69"/>
      <c r="U6" s="69"/>
    </row>
    <row r="7" spans="1:21" x14ac:dyDescent="0.25">
      <c r="A7" s="89" t="s">
        <v>178</v>
      </c>
      <c r="E7" s="69"/>
      <c r="F7" s="69"/>
      <c r="G7" s="69"/>
      <c r="H7" s="69"/>
      <c r="I7" s="69"/>
      <c r="J7" s="69"/>
      <c r="K7" s="69"/>
      <c r="L7" s="69"/>
      <c r="M7" s="69"/>
      <c r="N7" s="69"/>
      <c r="O7" s="69"/>
      <c r="P7" s="69"/>
      <c r="Q7" s="69"/>
      <c r="R7" s="69"/>
      <c r="S7" s="69"/>
      <c r="T7" s="69"/>
      <c r="U7" s="69"/>
    </row>
    <row r="8" spans="1:21" x14ac:dyDescent="0.25">
      <c r="A8" s="89" t="s">
        <v>179</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180</v>
      </c>
      <c r="D10" s="22" t="s">
        <v>181</v>
      </c>
      <c r="E10" s="69"/>
      <c r="F10" s="69"/>
      <c r="G10" s="69"/>
      <c r="H10" s="69"/>
      <c r="I10" s="69"/>
      <c r="J10" s="69"/>
      <c r="K10" s="69"/>
      <c r="L10" s="69"/>
      <c r="M10" s="69"/>
      <c r="N10" s="69"/>
      <c r="O10" s="69"/>
      <c r="P10" s="69"/>
      <c r="Q10" s="69"/>
      <c r="R10" s="69"/>
      <c r="S10" s="69"/>
      <c r="T10" s="69"/>
      <c r="U10" s="69"/>
    </row>
    <row r="11" spans="1:21" ht="33.75" x14ac:dyDescent="0.25">
      <c r="A11" s="89"/>
      <c r="B11" s="25" t="s">
        <v>182</v>
      </c>
      <c r="C11" s="30" t="s">
        <v>183</v>
      </c>
      <c r="D11" s="23" t="s">
        <v>184</v>
      </c>
      <c r="E11" s="69"/>
      <c r="F11" s="69"/>
      <c r="G11" s="69"/>
      <c r="H11" s="69"/>
      <c r="I11" s="69"/>
      <c r="J11" s="69"/>
      <c r="K11" s="69"/>
      <c r="L11" s="69"/>
      <c r="M11" s="69"/>
      <c r="N11" s="69"/>
      <c r="O11" s="69"/>
      <c r="P11" s="69"/>
      <c r="Q11" s="69"/>
      <c r="R11" s="69"/>
      <c r="S11" s="69"/>
      <c r="T11" s="69"/>
      <c r="U11" s="69"/>
    </row>
    <row r="12" spans="1:21" ht="114" customHeight="1" x14ac:dyDescent="0.25">
      <c r="A12" s="89"/>
      <c r="B12" s="26" t="s">
        <v>185</v>
      </c>
      <c r="C12" s="31" t="s">
        <v>186</v>
      </c>
      <c r="D12" s="24" t="s">
        <v>187</v>
      </c>
      <c r="E12" s="69"/>
      <c r="F12" s="69"/>
      <c r="G12" s="69"/>
      <c r="H12" s="69"/>
      <c r="I12" s="69"/>
      <c r="J12" s="69"/>
      <c r="K12" s="69"/>
      <c r="L12" s="69"/>
      <c r="M12" s="69"/>
      <c r="N12" s="69"/>
      <c r="O12" s="69"/>
      <c r="P12" s="69"/>
      <c r="Q12" s="69"/>
      <c r="R12" s="69"/>
      <c r="S12" s="69"/>
      <c r="T12" s="69"/>
      <c r="U12" s="69"/>
    </row>
    <row r="13" spans="1:21" ht="67.5" x14ac:dyDescent="0.25">
      <c r="A13" s="89"/>
      <c r="B13" s="27" t="s">
        <v>188</v>
      </c>
      <c r="C13" s="31" t="s">
        <v>189</v>
      </c>
      <c r="D13" s="24" t="s">
        <v>190</v>
      </c>
      <c r="E13" s="69"/>
      <c r="F13" s="69"/>
      <c r="G13" s="69"/>
      <c r="H13" s="69"/>
      <c r="I13" s="69"/>
      <c r="J13" s="69"/>
      <c r="K13" s="69"/>
      <c r="L13" s="69"/>
      <c r="M13" s="69"/>
      <c r="N13" s="69"/>
      <c r="O13" s="69"/>
      <c r="P13" s="69"/>
      <c r="Q13" s="69"/>
      <c r="R13" s="69"/>
      <c r="S13" s="69"/>
      <c r="T13" s="69"/>
      <c r="U13" s="69"/>
    </row>
    <row r="14" spans="1:21" ht="101.25" x14ac:dyDescent="0.25">
      <c r="A14" s="89"/>
      <c r="B14" s="28" t="s">
        <v>191</v>
      </c>
      <c r="C14" s="31" t="s">
        <v>192</v>
      </c>
      <c r="D14" s="24" t="s">
        <v>193</v>
      </c>
      <c r="E14" s="69"/>
      <c r="F14" s="69"/>
      <c r="G14" s="69"/>
      <c r="H14" s="69"/>
      <c r="I14" s="69"/>
      <c r="J14" s="69"/>
      <c r="K14" s="69"/>
      <c r="L14" s="69"/>
      <c r="M14" s="69"/>
      <c r="N14" s="69"/>
      <c r="O14" s="69"/>
      <c r="P14" s="69"/>
      <c r="Q14" s="69"/>
      <c r="R14" s="69"/>
      <c r="S14" s="69"/>
      <c r="T14" s="69"/>
      <c r="U14" s="69"/>
    </row>
    <row r="15" spans="1:21" ht="67.5" x14ac:dyDescent="0.25">
      <c r="A15" s="89"/>
      <c r="B15" s="29" t="s">
        <v>194</v>
      </c>
      <c r="C15" s="31" t="s">
        <v>195</v>
      </c>
      <c r="D15" s="24" t="s">
        <v>196</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197</v>
      </c>
      <c r="C209" s="16" t="s">
        <v>198</v>
      </c>
      <c r="D209" s="19" t="s">
        <v>197</v>
      </c>
      <c r="E209" s="19" t="s">
        <v>198</v>
      </c>
    </row>
    <row r="210" spans="1:8" ht="21" x14ac:dyDescent="0.35">
      <c r="A210" s="69"/>
      <c r="B210" s="17" t="s">
        <v>199</v>
      </c>
      <c r="C210" s="17" t="s">
        <v>200</v>
      </c>
      <c r="D210" t="s">
        <v>199</v>
      </c>
      <c r="F210" t="str">
        <f>IF(NOT(ISBLANK(D210)),D210,IF(NOT(ISBLANK(E210)),"     "&amp;E210,FALSE))</f>
        <v>Afectación Económica o presupuestal</v>
      </c>
      <c r="G210" t="s">
        <v>199</v>
      </c>
      <c r="H210" t="str">
        <f ca="1">IF(NOT(ISERROR(MATCH(G210,_xlfn.ANCHORARRAY(B221),0))),F223&amp;"Por favor no seleccionar los criterios de impacto",G210)</f>
        <v>Afectación Económica o presupuestal</v>
      </c>
    </row>
    <row r="211" spans="1:8" ht="21" x14ac:dyDescent="0.35">
      <c r="A211" s="69"/>
      <c r="B211" s="17" t="s">
        <v>199</v>
      </c>
      <c r="C211" s="17" t="s">
        <v>186</v>
      </c>
      <c r="E211" t="s">
        <v>200</v>
      </c>
      <c r="F211" t="str">
        <f t="shared" ref="F211:F221" si="0">IF(NOT(ISBLANK(D211)),D211,IF(NOT(ISBLANK(E211)),"     "&amp;E211,FALSE))</f>
        <v xml:space="preserve">     Afectación menor a 10 SMLMV .</v>
      </c>
    </row>
    <row r="212" spans="1:8" ht="21" x14ac:dyDescent="0.35">
      <c r="A212" s="69"/>
      <c r="B212" s="17" t="s">
        <v>199</v>
      </c>
      <c r="C212" s="17" t="s">
        <v>189</v>
      </c>
      <c r="E212" t="s">
        <v>186</v>
      </c>
      <c r="F212" t="str">
        <f t="shared" si="0"/>
        <v xml:space="preserve">     Entre 10 y 50 SMLMV </v>
      </c>
    </row>
    <row r="213" spans="1:8" ht="21" x14ac:dyDescent="0.35">
      <c r="A213" s="69"/>
      <c r="B213" s="17" t="s">
        <v>199</v>
      </c>
      <c r="C213" s="17" t="s">
        <v>192</v>
      </c>
      <c r="E213" t="s">
        <v>189</v>
      </c>
      <c r="F213" t="str">
        <f t="shared" si="0"/>
        <v xml:space="preserve">     Entre 50 y 100 SMLMV </v>
      </c>
    </row>
    <row r="214" spans="1:8" ht="21" x14ac:dyDescent="0.35">
      <c r="A214" s="69"/>
      <c r="B214" s="17" t="s">
        <v>199</v>
      </c>
      <c r="C214" s="17" t="s">
        <v>195</v>
      </c>
      <c r="E214" t="s">
        <v>192</v>
      </c>
      <c r="F214" t="str">
        <f t="shared" si="0"/>
        <v xml:space="preserve">     Entre 100 y 500 SMLMV </v>
      </c>
    </row>
    <row r="215" spans="1:8" ht="21" x14ac:dyDescent="0.35">
      <c r="A215" s="69"/>
      <c r="B215" s="17" t="s">
        <v>181</v>
      </c>
      <c r="C215" s="17" t="s">
        <v>184</v>
      </c>
      <c r="E215" t="s">
        <v>195</v>
      </c>
      <c r="F215" t="str">
        <f t="shared" si="0"/>
        <v xml:space="preserve">     Mayor a 500 SMLMV </v>
      </c>
    </row>
    <row r="216" spans="1:8" ht="21" x14ac:dyDescent="0.35">
      <c r="A216" s="69"/>
      <c r="B216" s="17" t="s">
        <v>181</v>
      </c>
      <c r="C216" s="17" t="s">
        <v>187</v>
      </c>
      <c r="D216" t="s">
        <v>181</v>
      </c>
      <c r="F216" t="str">
        <f t="shared" si="0"/>
        <v>Pérdida Reputacional</v>
      </c>
    </row>
    <row r="217" spans="1:8" ht="21" x14ac:dyDescent="0.35">
      <c r="A217" s="69"/>
      <c r="B217" s="17" t="s">
        <v>181</v>
      </c>
      <c r="C217" s="17" t="s">
        <v>190</v>
      </c>
      <c r="E217" t="s">
        <v>184</v>
      </c>
      <c r="F217" t="str">
        <f t="shared" si="0"/>
        <v xml:space="preserve">     El riesgo afecta la imagen de alguna área de la organización</v>
      </c>
    </row>
    <row r="218" spans="1:8" ht="21" x14ac:dyDescent="0.35">
      <c r="A218" s="69"/>
      <c r="B218" s="17" t="s">
        <v>181</v>
      </c>
      <c r="C218" s="17" t="s">
        <v>193</v>
      </c>
      <c r="E218" t="s">
        <v>187</v>
      </c>
      <c r="F218" t="str">
        <f t="shared" si="0"/>
        <v xml:space="preserve">     El riesgo afecta la imagen de la entidad internamente, de conocimiento general, nivel interno, de junta dircetiva y accionistas y/o de provedores</v>
      </c>
    </row>
    <row r="219" spans="1:8" ht="21" x14ac:dyDescent="0.35">
      <c r="A219" s="69"/>
      <c r="B219" s="17" t="s">
        <v>181</v>
      </c>
      <c r="C219" s="17" t="s">
        <v>196</v>
      </c>
      <c r="E219" t="s">
        <v>190</v>
      </c>
      <c r="F219" t="str">
        <f t="shared" si="0"/>
        <v xml:space="preserve">     El riesgo afecta la imagen de la entidad con algunos usuarios de relevancia frente al logro de los objetivos</v>
      </c>
    </row>
    <row r="220" spans="1:8" x14ac:dyDescent="0.25">
      <c r="A220" s="69"/>
      <c r="B220" s="18"/>
      <c r="C220" s="18"/>
      <c r="E220" t="s">
        <v>193</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196</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201</v>
      </c>
    </row>
    <row r="224" spans="1:8" x14ac:dyDescent="0.25">
      <c r="B224" s="14"/>
      <c r="C224" s="14"/>
      <c r="F224" s="21" t="s">
        <v>202</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53" t="s">
        <v>203</v>
      </c>
      <c r="C1" s="654"/>
      <c r="D1" s="654"/>
      <c r="E1" s="654"/>
      <c r="F1" s="655"/>
    </row>
    <row r="2" spans="2:6" ht="16.5" thickBot="1" x14ac:dyDescent="0.3">
      <c r="B2" s="75"/>
      <c r="C2" s="75"/>
      <c r="D2" s="75"/>
      <c r="E2" s="75"/>
      <c r="F2" s="75"/>
    </row>
    <row r="3" spans="2:6" ht="16.5" thickBot="1" x14ac:dyDescent="0.25">
      <c r="B3" s="657" t="s">
        <v>204</v>
      </c>
      <c r="C3" s="658"/>
      <c r="D3" s="658"/>
      <c r="E3" s="87" t="s">
        <v>205</v>
      </c>
      <c r="F3" s="88" t="s">
        <v>206</v>
      </c>
    </row>
    <row r="4" spans="2:6" ht="31.5" x14ac:dyDescent="0.2">
      <c r="B4" s="659" t="s">
        <v>207</v>
      </c>
      <c r="C4" s="661" t="s">
        <v>100</v>
      </c>
      <c r="D4" s="76" t="s">
        <v>208</v>
      </c>
      <c r="E4" s="77" t="s">
        <v>209</v>
      </c>
      <c r="F4" s="78">
        <v>0.25</v>
      </c>
    </row>
    <row r="5" spans="2:6" ht="47.25" x14ac:dyDescent="0.2">
      <c r="B5" s="660"/>
      <c r="C5" s="662"/>
      <c r="D5" s="79" t="s">
        <v>210</v>
      </c>
      <c r="E5" s="80" t="s">
        <v>211</v>
      </c>
      <c r="F5" s="81">
        <v>0.15</v>
      </c>
    </row>
    <row r="6" spans="2:6" ht="47.25" x14ac:dyDescent="0.2">
      <c r="B6" s="660"/>
      <c r="C6" s="662"/>
      <c r="D6" s="79" t="s">
        <v>212</v>
      </c>
      <c r="E6" s="80" t="s">
        <v>213</v>
      </c>
      <c r="F6" s="81">
        <v>0.1</v>
      </c>
    </row>
    <row r="7" spans="2:6" ht="63" x14ac:dyDescent="0.2">
      <c r="B7" s="660"/>
      <c r="C7" s="662" t="s">
        <v>101</v>
      </c>
      <c r="D7" s="79" t="s">
        <v>214</v>
      </c>
      <c r="E7" s="80" t="s">
        <v>215</v>
      </c>
      <c r="F7" s="81">
        <v>0.25</v>
      </c>
    </row>
    <row r="8" spans="2:6" ht="31.5" x14ac:dyDescent="0.2">
      <c r="B8" s="660"/>
      <c r="C8" s="662"/>
      <c r="D8" s="79" t="s">
        <v>216</v>
      </c>
      <c r="E8" s="80" t="s">
        <v>217</v>
      </c>
      <c r="F8" s="81">
        <v>0.15</v>
      </c>
    </row>
    <row r="9" spans="2:6" ht="47.25" x14ac:dyDescent="0.2">
      <c r="B9" s="660" t="s">
        <v>218</v>
      </c>
      <c r="C9" s="662" t="s">
        <v>103</v>
      </c>
      <c r="D9" s="79" t="s">
        <v>219</v>
      </c>
      <c r="E9" s="80" t="s">
        <v>220</v>
      </c>
      <c r="F9" s="82" t="s">
        <v>221</v>
      </c>
    </row>
    <row r="10" spans="2:6" ht="63" x14ac:dyDescent="0.2">
      <c r="B10" s="660"/>
      <c r="C10" s="662"/>
      <c r="D10" s="79" t="s">
        <v>222</v>
      </c>
      <c r="E10" s="80" t="s">
        <v>223</v>
      </c>
      <c r="F10" s="82" t="s">
        <v>221</v>
      </c>
    </row>
    <row r="11" spans="2:6" ht="47.25" x14ac:dyDescent="0.2">
      <c r="B11" s="660"/>
      <c r="C11" s="662" t="s">
        <v>104</v>
      </c>
      <c r="D11" s="79" t="s">
        <v>224</v>
      </c>
      <c r="E11" s="80" t="s">
        <v>225</v>
      </c>
      <c r="F11" s="82" t="s">
        <v>221</v>
      </c>
    </row>
    <row r="12" spans="2:6" ht="47.25" x14ac:dyDescent="0.2">
      <c r="B12" s="660"/>
      <c r="C12" s="662"/>
      <c r="D12" s="79" t="s">
        <v>226</v>
      </c>
      <c r="E12" s="80" t="s">
        <v>227</v>
      </c>
      <c r="F12" s="82" t="s">
        <v>221</v>
      </c>
    </row>
    <row r="13" spans="2:6" ht="31.5" x14ac:dyDescent="0.2">
      <c r="B13" s="660"/>
      <c r="C13" s="662" t="s">
        <v>105</v>
      </c>
      <c r="D13" s="79" t="s">
        <v>228</v>
      </c>
      <c r="E13" s="80" t="s">
        <v>229</v>
      </c>
      <c r="F13" s="82" t="s">
        <v>221</v>
      </c>
    </row>
    <row r="14" spans="2:6" ht="32.25" thickBot="1" x14ac:dyDescent="0.25">
      <c r="B14" s="663"/>
      <c r="C14" s="664"/>
      <c r="D14" s="83" t="s">
        <v>230</v>
      </c>
      <c r="E14" s="84" t="s">
        <v>231</v>
      </c>
      <c r="F14" s="85" t="s">
        <v>221</v>
      </c>
    </row>
    <row r="15" spans="2:6" ht="49.5" customHeight="1" x14ac:dyDescent="0.2">
      <c r="B15" s="656" t="s">
        <v>232</v>
      </c>
      <c r="C15" s="656"/>
      <c r="D15" s="656"/>
      <c r="E15" s="656"/>
      <c r="F15" s="656"/>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9"/>
  <sheetViews>
    <sheetView zoomScale="70" zoomScaleNormal="70" workbookViewId="0">
      <selection activeCell="B49" sqref="B49"/>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73" t="s">
        <v>233</v>
      </c>
      <c r="C3" s="173" t="s">
        <v>234</v>
      </c>
      <c r="D3" s="173" t="s">
        <v>235</v>
      </c>
    </row>
    <row r="4" spans="2:4" x14ac:dyDescent="0.25">
      <c r="B4" s="110"/>
      <c r="C4" s="151"/>
      <c r="D4" s="152"/>
    </row>
    <row r="5" spans="2:4" x14ac:dyDescent="0.25">
      <c r="B5" s="110" t="s">
        <v>236</v>
      </c>
      <c r="C5" s="108" t="s">
        <v>239</v>
      </c>
      <c r="D5" s="152" t="s">
        <v>180</v>
      </c>
    </row>
    <row r="6" spans="2:4" x14ac:dyDescent="0.25">
      <c r="B6" s="110" t="s">
        <v>238</v>
      </c>
      <c r="C6" s="108" t="s">
        <v>243</v>
      </c>
      <c r="D6" s="152" t="s">
        <v>183</v>
      </c>
    </row>
    <row r="7" spans="2:4" ht="15.75" thickBot="1" x14ac:dyDescent="0.3">
      <c r="B7" s="111" t="s">
        <v>240</v>
      </c>
      <c r="C7" s="108" t="s">
        <v>244</v>
      </c>
      <c r="D7" s="152" t="s">
        <v>186</v>
      </c>
    </row>
    <row r="8" spans="2:4" ht="30" x14ac:dyDescent="0.25">
      <c r="C8" s="112" t="s">
        <v>241</v>
      </c>
      <c r="D8" s="152" t="s">
        <v>189</v>
      </c>
    </row>
    <row r="9" spans="2:4" x14ac:dyDescent="0.25">
      <c r="C9" s="108" t="s">
        <v>242</v>
      </c>
      <c r="D9" s="152" t="s">
        <v>192</v>
      </c>
    </row>
    <row r="10" spans="2:4" x14ac:dyDescent="0.25">
      <c r="C10" s="108" t="s">
        <v>245</v>
      </c>
      <c r="D10" s="152" t="s">
        <v>195</v>
      </c>
    </row>
    <row r="11" spans="2:4" x14ac:dyDescent="0.25">
      <c r="C11" s="108" t="s">
        <v>246</v>
      </c>
      <c r="D11" s="152"/>
    </row>
    <row r="12" spans="2:4" x14ac:dyDescent="0.25">
      <c r="C12" s="108" t="s">
        <v>237</v>
      </c>
      <c r="D12" s="152" t="s">
        <v>247</v>
      </c>
    </row>
    <row r="13" spans="2:4" x14ac:dyDescent="0.25">
      <c r="C13" s="172" t="s">
        <v>465</v>
      </c>
      <c r="D13" s="152" t="s">
        <v>184</v>
      </c>
    </row>
    <row r="14" spans="2:4" x14ac:dyDescent="0.25">
      <c r="C14" s="172" t="s">
        <v>466</v>
      </c>
      <c r="D14" s="152" t="s">
        <v>187</v>
      </c>
    </row>
    <row r="15" spans="2:4" x14ac:dyDescent="0.25">
      <c r="C15" s="172" t="s">
        <v>467</v>
      </c>
      <c r="D15" s="152" t="s">
        <v>190</v>
      </c>
    </row>
    <row r="16" spans="2:4" x14ac:dyDescent="0.25">
      <c r="C16" s="172" t="s">
        <v>468</v>
      </c>
      <c r="D16" s="152" t="s">
        <v>193</v>
      </c>
    </row>
    <row r="17" spans="2:21" ht="15.75" thickBot="1" x14ac:dyDescent="0.3">
      <c r="C17" s="172" t="s">
        <v>469</v>
      </c>
      <c r="D17" s="153" t="s">
        <v>196</v>
      </c>
    </row>
    <row r="18" spans="2:21" x14ac:dyDescent="0.25">
      <c r="C18" s="172" t="s">
        <v>470</v>
      </c>
    </row>
    <row r="19" spans="2:21" ht="15.75" thickBot="1" x14ac:dyDescent="0.3">
      <c r="C19" s="108"/>
    </row>
    <row r="20" spans="2:21" ht="15.75" thickBot="1" x14ac:dyDescent="0.3">
      <c r="C20" s="173" t="s">
        <v>248</v>
      </c>
    </row>
    <row r="21" spans="2:21" x14ac:dyDescent="0.25">
      <c r="C21" s="108" t="s">
        <v>249</v>
      </c>
    </row>
    <row r="22" spans="2:21" x14ac:dyDescent="0.25">
      <c r="C22" s="108" t="s">
        <v>250</v>
      </c>
    </row>
    <row r="23" spans="2:21" ht="15.75" thickBot="1" x14ac:dyDescent="0.3">
      <c r="C23" s="109" t="s">
        <v>251</v>
      </c>
    </row>
    <row r="25" spans="2:21" ht="15.75" thickBot="1" x14ac:dyDescent="0.3"/>
    <row r="26" spans="2:21" ht="15.75" thickBot="1" x14ac:dyDescent="0.3">
      <c r="B26" s="173" t="s">
        <v>252</v>
      </c>
      <c r="C26" s="174" t="s">
        <v>253</v>
      </c>
      <c r="D26" s="173" t="s">
        <v>254</v>
      </c>
      <c r="R26" t="s">
        <v>255</v>
      </c>
      <c r="U26" t="s">
        <v>236</v>
      </c>
    </row>
    <row r="27" spans="2:21" x14ac:dyDescent="0.25">
      <c r="B27" s="108"/>
      <c r="C27" s="108"/>
      <c r="D27" s="108"/>
      <c r="R27" t="s">
        <v>258</v>
      </c>
      <c r="U27" t="s">
        <v>238</v>
      </c>
    </row>
    <row r="28" spans="2:21" x14ac:dyDescent="0.25">
      <c r="B28" s="108" t="s">
        <v>255</v>
      </c>
      <c r="C28" s="112" t="s">
        <v>256</v>
      </c>
      <c r="D28" s="108" t="s">
        <v>257</v>
      </c>
      <c r="R28" t="s">
        <v>261</v>
      </c>
      <c r="U28" t="s">
        <v>240</v>
      </c>
    </row>
    <row r="29" spans="2:21" ht="15.75" thickBot="1" x14ac:dyDescent="0.3">
      <c r="B29" s="108" t="s">
        <v>258</v>
      </c>
      <c r="C29" s="113" t="s">
        <v>259</v>
      </c>
      <c r="D29" s="109" t="s">
        <v>260</v>
      </c>
      <c r="R29" t="s">
        <v>262</v>
      </c>
    </row>
    <row r="30" spans="2:21" ht="15.75" thickBot="1" x14ac:dyDescent="0.3">
      <c r="B30" s="108" t="s">
        <v>261</v>
      </c>
    </row>
    <row r="31" spans="2:21" ht="15.75" thickBot="1" x14ac:dyDescent="0.3">
      <c r="B31" s="109" t="s">
        <v>262</v>
      </c>
      <c r="D31" s="173" t="s">
        <v>263</v>
      </c>
    </row>
    <row r="32" spans="2:21" ht="15.75" thickBot="1" x14ac:dyDescent="0.3">
      <c r="D32" s="108" t="s">
        <v>257</v>
      </c>
      <c r="R32" t="s">
        <v>270</v>
      </c>
    </row>
    <row r="33" spans="2:18" ht="16.5" thickBot="1" x14ac:dyDescent="0.3">
      <c r="B33" s="140" t="s">
        <v>264</v>
      </c>
      <c r="D33" s="109" t="s">
        <v>260</v>
      </c>
      <c r="R33" t="s">
        <v>256</v>
      </c>
    </row>
    <row r="34" spans="2:18" ht="15.75" x14ac:dyDescent="0.25">
      <c r="B34" s="114"/>
      <c r="R34" t="s">
        <v>259</v>
      </c>
    </row>
    <row r="35" spans="2:18" ht="15.75" x14ac:dyDescent="0.25">
      <c r="B35" s="114" t="s">
        <v>265</v>
      </c>
    </row>
    <row r="36" spans="2:18" ht="15.75" x14ac:dyDescent="0.25">
      <c r="B36" s="114" t="s">
        <v>266</v>
      </c>
    </row>
    <row r="37" spans="2:18" ht="15.75" x14ac:dyDescent="0.25">
      <c r="B37" s="114" t="s">
        <v>267</v>
      </c>
      <c r="R37" t="s">
        <v>237</v>
      </c>
    </row>
    <row r="38" spans="2:18" ht="15.75" x14ac:dyDescent="0.25">
      <c r="B38" s="114" t="s">
        <v>268</v>
      </c>
      <c r="R38" t="s">
        <v>239</v>
      </c>
    </row>
    <row r="39" spans="2:18" ht="15.75" x14ac:dyDescent="0.25">
      <c r="B39" s="114" t="s">
        <v>269</v>
      </c>
      <c r="R39" t="s">
        <v>242</v>
      </c>
    </row>
    <row r="40" spans="2:18" ht="15.75" x14ac:dyDescent="0.25">
      <c r="B40" s="114" t="s">
        <v>271</v>
      </c>
      <c r="R40" t="s">
        <v>243</v>
      </c>
    </row>
    <row r="41" spans="2:18" ht="15.75" x14ac:dyDescent="0.25">
      <c r="B41" s="114" t="s">
        <v>272</v>
      </c>
      <c r="R41" t="s">
        <v>244</v>
      </c>
    </row>
    <row r="42" spans="2:18" ht="15.75" x14ac:dyDescent="0.25">
      <c r="B42" s="114" t="s">
        <v>273</v>
      </c>
      <c r="R42" t="s">
        <v>245</v>
      </c>
    </row>
    <row r="43" spans="2:18" ht="15.75" x14ac:dyDescent="0.25">
      <c r="B43" s="114" t="s">
        <v>274</v>
      </c>
      <c r="R43" t="s">
        <v>246</v>
      </c>
    </row>
    <row r="44" spans="2:18" ht="15.75" x14ac:dyDescent="0.25">
      <c r="B44" s="114" t="s">
        <v>275</v>
      </c>
    </row>
    <row r="45" spans="2:18" ht="15.75" x14ac:dyDescent="0.25">
      <c r="B45" s="114" t="s">
        <v>276</v>
      </c>
    </row>
    <row r="46" spans="2:18" ht="15.75" x14ac:dyDescent="0.25">
      <c r="B46" s="114" t="s">
        <v>277</v>
      </c>
    </row>
    <row r="47" spans="2:18" ht="15.75" x14ac:dyDescent="0.25">
      <c r="B47" s="114" t="s">
        <v>278</v>
      </c>
    </row>
    <row r="48" spans="2:18" ht="15.75" x14ac:dyDescent="0.25">
      <c r="B48" s="114" t="s">
        <v>279</v>
      </c>
    </row>
    <row r="49" spans="2:2" ht="16.5" thickBot="1" x14ac:dyDescent="0.3">
      <c r="B49" s="115" t="s">
        <v>280</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299" id="{526052F2-078D-433C-B8C6-4A6B7F2F8B9E}">
            <xm:f>'Mapa final'!$M$13=$C$6</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208</v>
      </c>
    </row>
    <row r="4" spans="1:1" x14ac:dyDescent="0.2">
      <c r="A4" s="2" t="s">
        <v>210</v>
      </c>
    </row>
    <row r="5" spans="1:1" x14ac:dyDescent="0.2">
      <c r="A5" s="2" t="s">
        <v>212</v>
      </c>
    </row>
    <row r="6" spans="1:1" x14ac:dyDescent="0.2">
      <c r="A6" s="2" t="s">
        <v>214</v>
      </c>
    </row>
    <row r="7" spans="1:1" x14ac:dyDescent="0.2">
      <c r="A7" s="2" t="s">
        <v>216</v>
      </c>
    </row>
    <row r="8" spans="1:1" x14ac:dyDescent="0.2">
      <c r="A8" s="2" t="s">
        <v>219</v>
      </c>
    </row>
    <row r="9" spans="1:1" x14ac:dyDescent="0.2">
      <c r="A9" s="2" t="s">
        <v>222</v>
      </c>
    </row>
    <row r="10" spans="1:1" x14ac:dyDescent="0.2">
      <c r="A10" s="2" t="s">
        <v>224</v>
      </c>
    </row>
    <row r="11" spans="1:1" x14ac:dyDescent="0.2">
      <c r="A11" s="2" t="s">
        <v>226</v>
      </c>
    </row>
    <row r="12" spans="1:1" x14ac:dyDescent="0.2">
      <c r="A12" s="2" t="s">
        <v>281</v>
      </c>
    </row>
    <row r="13" spans="1:1" x14ac:dyDescent="0.2">
      <c r="A13" s="2" t="s">
        <v>282</v>
      </c>
    </row>
    <row r="14" spans="1:1" x14ac:dyDescent="0.2">
      <c r="A14" s="2" t="s">
        <v>283</v>
      </c>
    </row>
    <row r="16" spans="1:1" x14ac:dyDescent="0.2">
      <c r="A16" s="2" t="s">
        <v>284</v>
      </c>
    </row>
    <row r="17" spans="1:1" x14ac:dyDescent="0.2">
      <c r="A17" s="2" t="s">
        <v>255</v>
      </c>
    </row>
    <row r="18" spans="1:1" x14ac:dyDescent="0.2">
      <c r="A18" s="2" t="s">
        <v>258</v>
      </c>
    </row>
    <row r="20" spans="1:1" x14ac:dyDescent="0.2">
      <c r="A20" s="2" t="s">
        <v>256</v>
      </c>
    </row>
    <row r="21" spans="1:1" x14ac:dyDescent="0.2">
      <c r="A21" s="2" t="s">
        <v>259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285</v>
      </c>
      <c r="C1" s="116"/>
      <c r="D1" s="125"/>
      <c r="E1" s="125"/>
      <c r="F1" s="125"/>
    </row>
    <row r="2" spans="2:6" x14ac:dyDescent="0.25">
      <c r="B2" s="116" t="s">
        <v>286</v>
      </c>
      <c r="C2" s="116"/>
      <c r="D2" s="125"/>
      <c r="E2" s="125"/>
      <c r="F2" s="125"/>
    </row>
    <row r="3" spans="2:6" x14ac:dyDescent="0.25">
      <c r="B3" s="117"/>
      <c r="C3" s="117"/>
      <c r="D3" s="126"/>
      <c r="E3" s="126"/>
      <c r="F3" s="126"/>
    </row>
    <row r="4" spans="2:6" ht="45" x14ac:dyDescent="0.25">
      <c r="B4" s="117" t="s">
        <v>287</v>
      </c>
      <c r="C4" s="117"/>
      <c r="D4" s="126"/>
      <c r="E4" s="126"/>
      <c r="F4" s="126"/>
    </row>
    <row r="5" spans="2:6" x14ac:dyDescent="0.25">
      <c r="B5" s="117"/>
      <c r="C5" s="117"/>
      <c r="D5" s="126"/>
      <c r="E5" s="126"/>
      <c r="F5" s="126"/>
    </row>
    <row r="6" spans="2:6" ht="30" x14ac:dyDescent="0.25">
      <c r="B6" s="116" t="s">
        <v>288</v>
      </c>
      <c r="C6" s="116"/>
      <c r="D6" s="125"/>
      <c r="E6" s="125" t="s">
        <v>289</v>
      </c>
      <c r="F6" s="125" t="s">
        <v>290</v>
      </c>
    </row>
    <row r="7" spans="2:6" ht="15.75" thickBot="1" x14ac:dyDescent="0.3">
      <c r="B7" s="117"/>
      <c r="C7" s="117"/>
      <c r="D7" s="126"/>
      <c r="E7" s="126"/>
      <c r="F7" s="126"/>
    </row>
    <row r="8" spans="2:6" ht="60" x14ac:dyDescent="0.25">
      <c r="B8" s="118" t="s">
        <v>291</v>
      </c>
      <c r="C8" s="119"/>
      <c r="D8" s="127"/>
      <c r="E8" s="127">
        <v>300</v>
      </c>
      <c r="F8" s="128"/>
    </row>
    <row r="9" spans="2:6" ht="30" x14ac:dyDescent="0.25">
      <c r="B9" s="120"/>
      <c r="C9" s="117"/>
      <c r="D9" s="126"/>
      <c r="E9" s="129" t="s">
        <v>292</v>
      </c>
      <c r="F9" s="130" t="s">
        <v>293</v>
      </c>
    </row>
    <row r="10" spans="2:6" ht="30" x14ac:dyDescent="0.25">
      <c r="B10" s="120"/>
      <c r="C10" s="117"/>
      <c r="D10" s="126"/>
      <c r="E10" s="129" t="s">
        <v>294</v>
      </c>
      <c r="F10" s="130"/>
    </row>
    <row r="11" spans="2:6" ht="30" x14ac:dyDescent="0.25">
      <c r="B11" s="120"/>
      <c r="C11" s="117"/>
      <c r="D11" s="126"/>
      <c r="E11" s="129" t="s">
        <v>295</v>
      </c>
      <c r="F11" s="130"/>
    </row>
    <row r="12" spans="2:6" ht="30" x14ac:dyDescent="0.25">
      <c r="B12" s="120"/>
      <c r="C12" s="117"/>
      <c r="D12" s="126"/>
      <c r="E12" s="129" t="s">
        <v>296</v>
      </c>
      <c r="F12" s="130"/>
    </row>
    <row r="13" spans="2:6" ht="30" x14ac:dyDescent="0.25">
      <c r="B13" s="120"/>
      <c r="C13" s="117"/>
      <c r="D13" s="126"/>
      <c r="E13" s="129" t="s">
        <v>297</v>
      </c>
      <c r="F13" s="130"/>
    </row>
    <row r="14" spans="2:6" ht="30" x14ac:dyDescent="0.25">
      <c r="B14" s="120"/>
      <c r="C14" s="117"/>
      <c r="D14" s="126"/>
      <c r="E14" s="129" t="s">
        <v>298</v>
      </c>
      <c r="F14" s="130"/>
    </row>
    <row r="15" spans="2:6" ht="30" x14ac:dyDescent="0.25">
      <c r="B15" s="120"/>
      <c r="C15" s="117"/>
      <c r="D15" s="126"/>
      <c r="E15" s="129" t="s">
        <v>299</v>
      </c>
      <c r="F15" s="130"/>
    </row>
    <row r="16" spans="2:6" ht="30" x14ac:dyDescent="0.25">
      <c r="B16" s="120"/>
      <c r="C16" s="117"/>
      <c r="D16" s="126"/>
      <c r="E16" s="129" t="s">
        <v>300</v>
      </c>
      <c r="F16" s="130"/>
    </row>
    <row r="17" spans="2:6" ht="30" x14ac:dyDescent="0.25">
      <c r="B17" s="120"/>
      <c r="C17" s="117"/>
      <c r="D17" s="126"/>
      <c r="E17" s="129" t="s">
        <v>301</v>
      </c>
      <c r="F17" s="130"/>
    </row>
    <row r="18" spans="2:6" ht="30" x14ac:dyDescent="0.25">
      <c r="B18" s="120"/>
      <c r="C18" s="117"/>
      <c r="D18" s="126"/>
      <c r="E18" s="129" t="s">
        <v>302</v>
      </c>
      <c r="F18" s="130"/>
    </row>
    <row r="19" spans="2:6" ht="30" x14ac:dyDescent="0.25">
      <c r="B19" s="120"/>
      <c r="C19" s="117"/>
      <c r="D19" s="126"/>
      <c r="E19" s="129" t="s">
        <v>303</v>
      </c>
      <c r="F19" s="130"/>
    </row>
    <row r="20" spans="2:6" ht="30" x14ac:dyDescent="0.25">
      <c r="B20" s="120"/>
      <c r="C20" s="117"/>
      <c r="D20" s="126"/>
      <c r="E20" s="129" t="s">
        <v>304</v>
      </c>
      <c r="F20" s="130"/>
    </row>
    <row r="21" spans="2:6" ht="30" x14ac:dyDescent="0.25">
      <c r="B21" s="120"/>
      <c r="C21" s="117"/>
      <c r="D21" s="126"/>
      <c r="E21" s="129" t="s">
        <v>305</v>
      </c>
      <c r="F21" s="130"/>
    </row>
    <row r="22" spans="2:6" ht="30" x14ac:dyDescent="0.25">
      <c r="B22" s="120"/>
      <c r="C22" s="117"/>
      <c r="D22" s="126"/>
      <c r="E22" s="129" t="s">
        <v>306</v>
      </c>
      <c r="F22" s="130"/>
    </row>
    <row r="23" spans="2:6" ht="30" x14ac:dyDescent="0.25">
      <c r="B23" s="120"/>
      <c r="C23" s="117"/>
      <c r="D23" s="126"/>
      <c r="E23" s="129" t="s">
        <v>307</v>
      </c>
      <c r="F23" s="130"/>
    </row>
    <row r="24" spans="2:6" ht="30" x14ac:dyDescent="0.25">
      <c r="B24" s="120"/>
      <c r="C24" s="117"/>
      <c r="D24" s="126"/>
      <c r="E24" s="129" t="s">
        <v>308</v>
      </c>
      <c r="F24" s="130"/>
    </row>
    <row r="25" spans="2:6" ht="30" x14ac:dyDescent="0.25">
      <c r="B25" s="120"/>
      <c r="C25" s="117"/>
      <c r="D25" s="126"/>
      <c r="E25" s="129" t="s">
        <v>309</v>
      </c>
      <c r="F25" s="130"/>
    </row>
    <row r="26" spans="2:6" ht="30" x14ac:dyDescent="0.25">
      <c r="B26" s="120"/>
      <c r="C26" s="117"/>
      <c r="D26" s="126"/>
      <c r="E26" s="129" t="s">
        <v>310</v>
      </c>
      <c r="F26" s="130"/>
    </row>
    <row r="27" spans="2:6" ht="30" x14ac:dyDescent="0.25">
      <c r="B27" s="120"/>
      <c r="C27" s="117"/>
      <c r="D27" s="126"/>
      <c r="E27" s="129" t="s">
        <v>311</v>
      </c>
      <c r="F27" s="130"/>
    </row>
    <row r="28" spans="2:6" ht="30" x14ac:dyDescent="0.25">
      <c r="B28" s="120"/>
      <c r="C28" s="117"/>
      <c r="D28" s="126"/>
      <c r="E28" s="129" t="s">
        <v>312</v>
      </c>
      <c r="F28" s="130"/>
    </row>
    <row r="29" spans="2:6" ht="30" x14ac:dyDescent="0.25">
      <c r="B29" s="120"/>
      <c r="C29" s="117"/>
      <c r="D29" s="126"/>
      <c r="E29" s="129" t="s">
        <v>313</v>
      </c>
      <c r="F29" s="130"/>
    </row>
    <row r="30" spans="2:6" ht="30" x14ac:dyDescent="0.25">
      <c r="B30" s="120"/>
      <c r="C30" s="117"/>
      <c r="D30" s="126"/>
      <c r="E30" s="129" t="s">
        <v>314</v>
      </c>
      <c r="F30" s="130"/>
    </row>
    <row r="31" spans="2:6" ht="30" x14ac:dyDescent="0.25">
      <c r="B31" s="120"/>
      <c r="C31" s="117"/>
      <c r="D31" s="126"/>
      <c r="E31" s="129" t="s">
        <v>315</v>
      </c>
      <c r="F31" s="130"/>
    </row>
    <row r="32" spans="2:6" ht="30" x14ac:dyDescent="0.25">
      <c r="B32" s="120"/>
      <c r="C32" s="117"/>
      <c r="D32" s="126"/>
      <c r="E32" s="129" t="s">
        <v>316</v>
      </c>
      <c r="F32" s="130"/>
    </row>
    <row r="33" spans="2:6" ht="30" x14ac:dyDescent="0.25">
      <c r="B33" s="120"/>
      <c r="C33" s="117"/>
      <c r="D33" s="126"/>
      <c r="E33" s="129" t="s">
        <v>317</v>
      </c>
      <c r="F33" s="130"/>
    </row>
    <row r="34" spans="2:6" ht="30" x14ac:dyDescent="0.25">
      <c r="B34" s="120"/>
      <c r="C34" s="117"/>
      <c r="D34" s="126"/>
      <c r="E34" s="129" t="s">
        <v>318</v>
      </c>
      <c r="F34" s="130"/>
    </row>
    <row r="35" spans="2:6" ht="30" x14ac:dyDescent="0.25">
      <c r="B35" s="120"/>
      <c r="C35" s="117"/>
      <c r="D35" s="126"/>
      <c r="E35" s="129" t="s">
        <v>319</v>
      </c>
      <c r="F35" s="130"/>
    </row>
    <row r="36" spans="2:6" ht="30" x14ac:dyDescent="0.25">
      <c r="B36" s="120"/>
      <c r="C36" s="117"/>
      <c r="D36" s="126"/>
      <c r="E36" s="129" t="s">
        <v>320</v>
      </c>
      <c r="F36" s="130"/>
    </row>
    <row r="37" spans="2:6" ht="30" x14ac:dyDescent="0.25">
      <c r="B37" s="120"/>
      <c r="C37" s="117"/>
      <c r="D37" s="126"/>
      <c r="E37" s="129" t="s">
        <v>321</v>
      </c>
      <c r="F37" s="130"/>
    </row>
    <row r="38" spans="2:6" ht="30" x14ac:dyDescent="0.25">
      <c r="B38" s="120"/>
      <c r="C38" s="117"/>
      <c r="D38" s="126"/>
      <c r="E38" s="129" t="s">
        <v>322</v>
      </c>
      <c r="F38" s="130"/>
    </row>
    <row r="39" spans="2:6" ht="30" x14ac:dyDescent="0.25">
      <c r="B39" s="120"/>
      <c r="C39" s="117"/>
      <c r="D39" s="126"/>
      <c r="E39" s="129" t="s">
        <v>323</v>
      </c>
      <c r="F39" s="130"/>
    </row>
    <row r="40" spans="2:6" ht="30" x14ac:dyDescent="0.25">
      <c r="B40" s="120"/>
      <c r="C40" s="117"/>
      <c r="D40" s="126"/>
      <c r="E40" s="129" t="s">
        <v>324</v>
      </c>
      <c r="F40" s="130"/>
    </row>
    <row r="41" spans="2:6" ht="30" x14ac:dyDescent="0.25">
      <c r="B41" s="120"/>
      <c r="C41" s="117"/>
      <c r="D41" s="126"/>
      <c r="E41" s="129" t="s">
        <v>325</v>
      </c>
      <c r="F41" s="130"/>
    </row>
    <row r="42" spans="2:6" ht="30" x14ac:dyDescent="0.25">
      <c r="B42" s="120"/>
      <c r="C42" s="117"/>
      <c r="D42" s="126"/>
      <c r="E42" s="129" t="s">
        <v>326</v>
      </c>
      <c r="F42" s="130"/>
    </row>
    <row r="43" spans="2:6" ht="30" x14ac:dyDescent="0.25">
      <c r="B43" s="120"/>
      <c r="C43" s="117"/>
      <c r="D43" s="126"/>
      <c r="E43" s="129" t="s">
        <v>327</v>
      </c>
      <c r="F43" s="130"/>
    </row>
    <row r="44" spans="2:6" ht="30" x14ac:dyDescent="0.25">
      <c r="B44" s="120"/>
      <c r="C44" s="117"/>
      <c r="D44" s="126"/>
      <c r="E44" s="129" t="s">
        <v>328</v>
      </c>
      <c r="F44" s="130"/>
    </row>
    <row r="45" spans="2:6" ht="30" x14ac:dyDescent="0.25">
      <c r="B45" s="120"/>
      <c r="C45" s="117"/>
      <c r="D45" s="126"/>
      <c r="E45" s="129" t="s">
        <v>329</v>
      </c>
      <c r="F45" s="130"/>
    </row>
    <row r="46" spans="2:6" ht="30" x14ac:dyDescent="0.25">
      <c r="B46" s="120"/>
      <c r="C46" s="117"/>
      <c r="D46" s="126"/>
      <c r="E46" s="129" t="s">
        <v>330</v>
      </c>
      <c r="F46" s="130"/>
    </row>
    <row r="47" spans="2:6" ht="30" x14ac:dyDescent="0.25">
      <c r="B47" s="120"/>
      <c r="C47" s="117"/>
      <c r="D47" s="126"/>
      <c r="E47" s="129" t="s">
        <v>331</v>
      </c>
      <c r="F47" s="130"/>
    </row>
    <row r="48" spans="2:6" ht="30" x14ac:dyDescent="0.25">
      <c r="B48" s="120"/>
      <c r="C48" s="117"/>
      <c r="D48" s="126"/>
      <c r="E48" s="129" t="s">
        <v>332</v>
      </c>
      <c r="F48" s="130"/>
    </row>
    <row r="49" spans="2:6" ht="30" x14ac:dyDescent="0.25">
      <c r="B49" s="120"/>
      <c r="C49" s="117"/>
      <c r="D49" s="126"/>
      <c r="E49" s="129" t="s">
        <v>333</v>
      </c>
      <c r="F49" s="130"/>
    </row>
    <row r="50" spans="2:6" ht="30" x14ac:dyDescent="0.25">
      <c r="B50" s="120"/>
      <c r="C50" s="117"/>
      <c r="D50" s="126"/>
      <c r="E50" s="129" t="s">
        <v>334</v>
      </c>
      <c r="F50" s="130"/>
    </row>
    <row r="51" spans="2:6" ht="30" x14ac:dyDescent="0.25">
      <c r="B51" s="120"/>
      <c r="C51" s="117"/>
      <c r="D51" s="126"/>
      <c r="E51" s="129" t="s">
        <v>335</v>
      </c>
      <c r="F51" s="130"/>
    </row>
    <row r="52" spans="2:6" ht="30" x14ac:dyDescent="0.25">
      <c r="B52" s="120"/>
      <c r="C52" s="117"/>
      <c r="D52" s="126"/>
      <c r="E52" s="129" t="s">
        <v>336</v>
      </c>
      <c r="F52" s="130"/>
    </row>
    <row r="53" spans="2:6" ht="30" x14ac:dyDescent="0.25">
      <c r="B53" s="120"/>
      <c r="C53" s="117"/>
      <c r="D53" s="126"/>
      <c r="E53" s="129" t="s">
        <v>337</v>
      </c>
      <c r="F53" s="130"/>
    </row>
    <row r="54" spans="2:6" ht="30" x14ac:dyDescent="0.25">
      <c r="B54" s="120"/>
      <c r="C54" s="117"/>
      <c r="D54" s="126"/>
      <c r="E54" s="129" t="s">
        <v>338</v>
      </c>
      <c r="F54" s="130"/>
    </row>
    <row r="55" spans="2:6" ht="30" x14ac:dyDescent="0.25">
      <c r="B55" s="120"/>
      <c r="C55" s="117"/>
      <c r="D55" s="126"/>
      <c r="E55" s="129" t="s">
        <v>339</v>
      </c>
      <c r="F55" s="130"/>
    </row>
    <row r="56" spans="2:6" ht="30" x14ac:dyDescent="0.25">
      <c r="B56" s="120"/>
      <c r="C56" s="117"/>
      <c r="D56" s="126"/>
      <c r="E56" s="129" t="s">
        <v>340</v>
      </c>
      <c r="F56" s="130"/>
    </row>
    <row r="57" spans="2:6" ht="30" x14ac:dyDescent="0.25">
      <c r="B57" s="120"/>
      <c r="C57" s="117"/>
      <c r="D57" s="126"/>
      <c r="E57" s="129" t="s">
        <v>341</v>
      </c>
      <c r="F57" s="130"/>
    </row>
    <row r="58" spans="2:6" ht="30" x14ac:dyDescent="0.25">
      <c r="B58" s="120"/>
      <c r="C58" s="117"/>
      <c r="D58" s="126"/>
      <c r="E58" s="129" t="s">
        <v>342</v>
      </c>
      <c r="F58" s="130"/>
    </row>
    <row r="59" spans="2:6" ht="30" x14ac:dyDescent="0.25">
      <c r="B59" s="120"/>
      <c r="C59" s="117"/>
      <c r="D59" s="126"/>
      <c r="E59" s="129" t="s">
        <v>343</v>
      </c>
      <c r="F59" s="130"/>
    </row>
    <row r="60" spans="2:6" ht="30" x14ac:dyDescent="0.25">
      <c r="B60" s="120"/>
      <c r="C60" s="117"/>
      <c r="D60" s="126"/>
      <c r="E60" s="129" t="s">
        <v>344</v>
      </c>
      <c r="F60" s="130"/>
    </row>
    <row r="61" spans="2:6" ht="30" x14ac:dyDescent="0.25">
      <c r="B61" s="120"/>
      <c r="C61" s="117"/>
      <c r="D61" s="126"/>
      <c r="E61" s="129" t="s">
        <v>345</v>
      </c>
      <c r="F61" s="130"/>
    </row>
    <row r="62" spans="2:6" ht="30" x14ac:dyDescent="0.25">
      <c r="B62" s="120"/>
      <c r="C62" s="117"/>
      <c r="D62" s="126"/>
      <c r="E62" s="129" t="s">
        <v>346</v>
      </c>
      <c r="F62" s="130"/>
    </row>
    <row r="63" spans="2:6" ht="30" x14ac:dyDescent="0.25">
      <c r="B63" s="120"/>
      <c r="C63" s="117"/>
      <c r="D63" s="126"/>
      <c r="E63" s="129" t="s">
        <v>347</v>
      </c>
      <c r="F63" s="130"/>
    </row>
    <row r="64" spans="2:6" ht="30" x14ac:dyDescent="0.25">
      <c r="B64" s="120"/>
      <c r="C64" s="117"/>
      <c r="D64" s="126"/>
      <c r="E64" s="129" t="s">
        <v>348</v>
      </c>
      <c r="F64" s="130"/>
    </row>
    <row r="65" spans="2:6" ht="30" x14ac:dyDescent="0.25">
      <c r="B65" s="120"/>
      <c r="C65" s="117"/>
      <c r="D65" s="126"/>
      <c r="E65" s="129" t="s">
        <v>349</v>
      </c>
      <c r="F65" s="130"/>
    </row>
    <row r="66" spans="2:6" ht="30" x14ac:dyDescent="0.25">
      <c r="B66" s="120"/>
      <c r="C66" s="117"/>
      <c r="D66" s="126"/>
      <c r="E66" s="129" t="s">
        <v>350</v>
      </c>
      <c r="F66" s="130"/>
    </row>
    <row r="67" spans="2:6" ht="30" x14ac:dyDescent="0.25">
      <c r="B67" s="120"/>
      <c r="C67" s="117"/>
      <c r="D67" s="126"/>
      <c r="E67" s="129" t="s">
        <v>351</v>
      </c>
      <c r="F67" s="130"/>
    </row>
    <row r="68" spans="2:6" ht="30" x14ac:dyDescent="0.25">
      <c r="B68" s="120"/>
      <c r="C68" s="117"/>
      <c r="D68" s="126"/>
      <c r="E68" s="129" t="s">
        <v>352</v>
      </c>
      <c r="F68" s="130"/>
    </row>
    <row r="69" spans="2:6" ht="30" x14ac:dyDescent="0.25">
      <c r="B69" s="120"/>
      <c r="C69" s="117"/>
      <c r="D69" s="126"/>
      <c r="E69" s="129" t="s">
        <v>353</v>
      </c>
      <c r="F69" s="130"/>
    </row>
    <row r="70" spans="2:6" ht="30" x14ac:dyDescent="0.25">
      <c r="B70" s="120"/>
      <c r="C70" s="117"/>
      <c r="D70" s="126"/>
      <c r="E70" s="129" t="s">
        <v>354</v>
      </c>
      <c r="F70" s="130"/>
    </row>
    <row r="71" spans="2:6" ht="30" x14ac:dyDescent="0.25">
      <c r="B71" s="120"/>
      <c r="C71" s="117"/>
      <c r="D71" s="126"/>
      <c r="E71" s="129" t="s">
        <v>355</v>
      </c>
      <c r="F71" s="130"/>
    </row>
    <row r="72" spans="2:6" ht="30" x14ac:dyDescent="0.25">
      <c r="B72" s="120"/>
      <c r="C72" s="117"/>
      <c r="D72" s="126"/>
      <c r="E72" s="129" t="s">
        <v>356</v>
      </c>
      <c r="F72" s="130"/>
    </row>
    <row r="73" spans="2:6" ht="30" x14ac:dyDescent="0.25">
      <c r="B73" s="120"/>
      <c r="C73" s="117"/>
      <c r="D73" s="126"/>
      <c r="E73" s="129" t="s">
        <v>357</v>
      </c>
      <c r="F73" s="130"/>
    </row>
    <row r="74" spans="2:6" ht="30" x14ac:dyDescent="0.25">
      <c r="B74" s="120"/>
      <c r="C74" s="117"/>
      <c r="D74" s="126"/>
      <c r="E74" s="129" t="s">
        <v>358</v>
      </c>
      <c r="F74" s="130"/>
    </row>
    <row r="75" spans="2:6" ht="30" x14ac:dyDescent="0.25">
      <c r="B75" s="120"/>
      <c r="C75" s="117"/>
      <c r="D75" s="126"/>
      <c r="E75" s="129" t="s">
        <v>359</v>
      </c>
      <c r="F75" s="130"/>
    </row>
    <row r="76" spans="2:6" ht="30" x14ac:dyDescent="0.25">
      <c r="B76" s="120"/>
      <c r="C76" s="117"/>
      <c r="D76" s="126"/>
      <c r="E76" s="129" t="s">
        <v>360</v>
      </c>
      <c r="F76" s="130"/>
    </row>
    <row r="77" spans="2:6" ht="30" x14ac:dyDescent="0.25">
      <c r="B77" s="120"/>
      <c r="C77" s="117"/>
      <c r="D77" s="126"/>
      <c r="E77" s="129" t="s">
        <v>361</v>
      </c>
      <c r="F77" s="130"/>
    </row>
    <row r="78" spans="2:6" ht="30" x14ac:dyDescent="0.25">
      <c r="B78" s="120"/>
      <c r="C78" s="117"/>
      <c r="D78" s="126"/>
      <c r="E78" s="129" t="s">
        <v>362</v>
      </c>
      <c r="F78" s="130"/>
    </row>
    <row r="79" spans="2:6" ht="30" x14ac:dyDescent="0.25">
      <c r="B79" s="120"/>
      <c r="C79" s="117"/>
      <c r="D79" s="126"/>
      <c r="E79" s="129" t="s">
        <v>363</v>
      </c>
      <c r="F79" s="130"/>
    </row>
    <row r="80" spans="2:6" ht="30" x14ac:dyDescent="0.25">
      <c r="B80" s="120"/>
      <c r="C80" s="117"/>
      <c r="D80" s="126"/>
      <c r="E80" s="129" t="s">
        <v>364</v>
      </c>
      <c r="F80" s="130"/>
    </row>
    <row r="81" spans="2:6" ht="30" x14ac:dyDescent="0.25">
      <c r="B81" s="120"/>
      <c r="C81" s="117"/>
      <c r="D81" s="126"/>
      <c r="E81" s="129" t="s">
        <v>365</v>
      </c>
      <c r="F81" s="130"/>
    </row>
    <row r="82" spans="2:6" ht="30" x14ac:dyDescent="0.25">
      <c r="B82" s="120"/>
      <c r="C82" s="117"/>
      <c r="D82" s="126"/>
      <c r="E82" s="129" t="s">
        <v>366</v>
      </c>
      <c r="F82" s="130"/>
    </row>
    <row r="83" spans="2:6" ht="30" x14ac:dyDescent="0.25">
      <c r="B83" s="120"/>
      <c r="C83" s="117"/>
      <c r="D83" s="126"/>
      <c r="E83" s="129" t="s">
        <v>367</v>
      </c>
      <c r="F83" s="130"/>
    </row>
    <row r="84" spans="2:6" ht="30" x14ac:dyDescent="0.25">
      <c r="B84" s="120"/>
      <c r="C84" s="117"/>
      <c r="D84" s="126"/>
      <c r="E84" s="129" t="s">
        <v>368</v>
      </c>
      <c r="F84" s="130"/>
    </row>
    <row r="85" spans="2:6" ht="30" x14ac:dyDescent="0.25">
      <c r="B85" s="120"/>
      <c r="C85" s="117"/>
      <c r="D85" s="126"/>
      <c r="E85" s="129" t="s">
        <v>369</v>
      </c>
      <c r="F85" s="130"/>
    </row>
    <row r="86" spans="2:6" ht="30" x14ac:dyDescent="0.25">
      <c r="B86" s="120"/>
      <c r="C86" s="117"/>
      <c r="D86" s="126"/>
      <c r="E86" s="129" t="s">
        <v>370</v>
      </c>
      <c r="F86" s="130"/>
    </row>
    <row r="87" spans="2:6" ht="30" x14ac:dyDescent="0.25">
      <c r="B87" s="120"/>
      <c r="C87" s="117"/>
      <c r="D87" s="126"/>
      <c r="E87" s="129" t="s">
        <v>371</v>
      </c>
      <c r="F87" s="130"/>
    </row>
    <row r="88" spans="2:6" ht="30" x14ac:dyDescent="0.25">
      <c r="B88" s="120"/>
      <c r="C88" s="117"/>
      <c r="D88" s="126"/>
      <c r="E88" s="129" t="s">
        <v>372</v>
      </c>
      <c r="F88" s="130"/>
    </row>
    <row r="89" spans="2:6" ht="30" x14ac:dyDescent="0.25">
      <c r="B89" s="120"/>
      <c r="C89" s="117"/>
      <c r="D89" s="126"/>
      <c r="E89" s="129" t="s">
        <v>373</v>
      </c>
      <c r="F89" s="130"/>
    </row>
    <row r="90" spans="2:6" ht="30" x14ac:dyDescent="0.25">
      <c r="B90" s="120"/>
      <c r="C90" s="117"/>
      <c r="D90" s="126"/>
      <c r="E90" s="129" t="s">
        <v>374</v>
      </c>
      <c r="F90" s="130"/>
    </row>
    <row r="91" spans="2:6" ht="30" x14ac:dyDescent="0.25">
      <c r="B91" s="120"/>
      <c r="C91" s="117"/>
      <c r="D91" s="126"/>
      <c r="E91" s="129" t="s">
        <v>375</v>
      </c>
      <c r="F91" s="130"/>
    </row>
    <row r="92" spans="2:6" ht="30" x14ac:dyDescent="0.25">
      <c r="B92" s="120"/>
      <c r="C92" s="117"/>
      <c r="D92" s="126"/>
      <c r="E92" s="129" t="s">
        <v>376</v>
      </c>
      <c r="F92" s="130"/>
    </row>
    <row r="93" spans="2:6" ht="30" x14ac:dyDescent="0.25">
      <c r="B93" s="120"/>
      <c r="C93" s="117"/>
      <c r="D93" s="126"/>
      <c r="E93" s="129" t="s">
        <v>377</v>
      </c>
      <c r="F93" s="130"/>
    </row>
    <row r="94" spans="2:6" ht="30" x14ac:dyDescent="0.25">
      <c r="B94" s="120"/>
      <c r="C94" s="117"/>
      <c r="D94" s="126"/>
      <c r="E94" s="129" t="s">
        <v>378</v>
      </c>
      <c r="F94" s="130"/>
    </row>
    <row r="95" spans="2:6" ht="30" x14ac:dyDescent="0.25">
      <c r="B95" s="120"/>
      <c r="C95" s="117"/>
      <c r="D95" s="126"/>
      <c r="E95" s="129" t="s">
        <v>379</v>
      </c>
      <c r="F95" s="130"/>
    </row>
    <row r="96" spans="2:6" ht="30" x14ac:dyDescent="0.25">
      <c r="B96" s="120"/>
      <c r="C96" s="117"/>
      <c r="D96" s="126"/>
      <c r="E96" s="129" t="s">
        <v>380</v>
      </c>
      <c r="F96" s="130"/>
    </row>
    <row r="97" spans="2:6" ht="30" x14ac:dyDescent="0.25">
      <c r="B97" s="120"/>
      <c r="C97" s="117"/>
      <c r="D97" s="126"/>
      <c r="E97" s="129" t="s">
        <v>381</v>
      </c>
      <c r="F97" s="130"/>
    </row>
    <row r="98" spans="2:6" ht="30" x14ac:dyDescent="0.25">
      <c r="B98" s="120"/>
      <c r="C98" s="117"/>
      <c r="D98" s="126"/>
      <c r="E98" s="129" t="s">
        <v>382</v>
      </c>
      <c r="F98" s="130"/>
    </row>
    <row r="99" spans="2:6" ht="30" x14ac:dyDescent="0.25">
      <c r="B99" s="120"/>
      <c r="C99" s="117"/>
      <c r="D99" s="126"/>
      <c r="E99" s="129" t="s">
        <v>383</v>
      </c>
      <c r="F99" s="130"/>
    </row>
    <row r="100" spans="2:6" ht="30" x14ac:dyDescent="0.25">
      <c r="B100" s="120"/>
      <c r="C100" s="117"/>
      <c r="D100" s="126"/>
      <c r="E100" s="129" t="s">
        <v>384</v>
      </c>
      <c r="F100" s="130"/>
    </row>
    <row r="101" spans="2:6" ht="30" x14ac:dyDescent="0.25">
      <c r="B101" s="120"/>
      <c r="C101" s="117"/>
      <c r="D101" s="126"/>
      <c r="E101" s="129" t="s">
        <v>385</v>
      </c>
      <c r="F101" s="130"/>
    </row>
    <row r="102" spans="2:6" ht="30" x14ac:dyDescent="0.25">
      <c r="B102" s="120"/>
      <c r="C102" s="117"/>
      <c r="D102" s="126"/>
      <c r="E102" s="129" t="s">
        <v>386</v>
      </c>
      <c r="F102" s="130"/>
    </row>
    <row r="103" spans="2:6" ht="30" x14ac:dyDescent="0.25">
      <c r="B103" s="120"/>
      <c r="C103" s="117"/>
      <c r="D103" s="126"/>
      <c r="E103" s="129" t="s">
        <v>387</v>
      </c>
      <c r="F103" s="130"/>
    </row>
    <row r="104" spans="2:6" ht="30" x14ac:dyDescent="0.25">
      <c r="B104" s="120"/>
      <c r="C104" s="117"/>
      <c r="D104" s="126"/>
      <c r="E104" s="129" t="s">
        <v>388</v>
      </c>
      <c r="F104" s="130"/>
    </row>
    <row r="105" spans="2:6" ht="30" x14ac:dyDescent="0.25">
      <c r="B105" s="120"/>
      <c r="C105" s="117"/>
      <c r="D105" s="126"/>
      <c r="E105" s="129" t="s">
        <v>389</v>
      </c>
      <c r="F105" s="130"/>
    </row>
    <row r="106" spans="2:6" ht="30" x14ac:dyDescent="0.25">
      <c r="B106" s="120"/>
      <c r="C106" s="117"/>
      <c r="D106" s="126"/>
      <c r="E106" s="129" t="s">
        <v>390</v>
      </c>
      <c r="F106" s="130"/>
    </row>
    <row r="107" spans="2:6" ht="30" x14ac:dyDescent="0.25">
      <c r="B107" s="120"/>
      <c r="C107" s="117"/>
      <c r="D107" s="126"/>
      <c r="E107" s="129" t="s">
        <v>391</v>
      </c>
      <c r="F107" s="130"/>
    </row>
    <row r="108" spans="2:6" ht="30" x14ac:dyDescent="0.25">
      <c r="B108" s="120"/>
      <c r="C108" s="117"/>
      <c r="D108" s="126"/>
      <c r="E108" s="129" t="s">
        <v>392</v>
      </c>
      <c r="F108" s="130"/>
    </row>
    <row r="109" spans="2:6" ht="30" x14ac:dyDescent="0.25">
      <c r="B109" s="120"/>
      <c r="C109" s="117"/>
      <c r="D109" s="126"/>
      <c r="E109" s="129" t="s">
        <v>393</v>
      </c>
      <c r="F109" s="130"/>
    </row>
    <row r="110" spans="2:6" ht="30" x14ac:dyDescent="0.25">
      <c r="B110" s="120"/>
      <c r="C110" s="117"/>
      <c r="D110" s="126"/>
      <c r="E110" s="129" t="s">
        <v>394</v>
      </c>
      <c r="F110" s="130"/>
    </row>
    <row r="111" spans="2:6" ht="30" x14ac:dyDescent="0.25">
      <c r="B111" s="120"/>
      <c r="C111" s="117"/>
      <c r="D111" s="126"/>
      <c r="E111" s="129" t="s">
        <v>395</v>
      </c>
      <c r="F111" s="130"/>
    </row>
    <row r="112" spans="2:6" ht="30" x14ac:dyDescent="0.25">
      <c r="B112" s="120"/>
      <c r="C112" s="117"/>
      <c r="D112" s="126"/>
      <c r="E112" s="129" t="s">
        <v>396</v>
      </c>
      <c r="F112" s="130"/>
    </row>
    <row r="113" spans="2:6" ht="30" x14ac:dyDescent="0.25">
      <c r="B113" s="120"/>
      <c r="C113" s="117"/>
      <c r="D113" s="126"/>
      <c r="E113" s="129" t="s">
        <v>397</v>
      </c>
      <c r="F113" s="130"/>
    </row>
    <row r="114" spans="2:6" ht="30" x14ac:dyDescent="0.25">
      <c r="B114" s="120"/>
      <c r="C114" s="117"/>
      <c r="D114" s="126"/>
      <c r="E114" s="129" t="s">
        <v>398</v>
      </c>
      <c r="F114" s="130"/>
    </row>
    <row r="115" spans="2:6" ht="30" x14ac:dyDescent="0.25">
      <c r="B115" s="120"/>
      <c r="C115" s="117"/>
      <c r="D115" s="126"/>
      <c r="E115" s="129" t="s">
        <v>399</v>
      </c>
      <c r="F115" s="130"/>
    </row>
    <row r="116" spans="2:6" ht="30" x14ac:dyDescent="0.25">
      <c r="B116" s="120"/>
      <c r="C116" s="117"/>
      <c r="D116" s="126"/>
      <c r="E116" s="129" t="s">
        <v>400</v>
      </c>
      <c r="F116" s="130"/>
    </row>
    <row r="117" spans="2:6" ht="30" x14ac:dyDescent="0.25">
      <c r="B117" s="120"/>
      <c r="C117" s="117"/>
      <c r="D117" s="126"/>
      <c r="E117" s="129" t="s">
        <v>401</v>
      </c>
      <c r="F117" s="130"/>
    </row>
    <row r="118" spans="2:6" ht="30" x14ac:dyDescent="0.25">
      <c r="B118" s="120"/>
      <c r="C118" s="117"/>
      <c r="D118" s="126"/>
      <c r="E118" s="129" t="s">
        <v>402</v>
      </c>
      <c r="F118" s="130"/>
    </row>
    <row r="119" spans="2:6" ht="30" x14ac:dyDescent="0.25">
      <c r="B119" s="120"/>
      <c r="C119" s="117"/>
      <c r="D119" s="126"/>
      <c r="E119" s="129" t="s">
        <v>403</v>
      </c>
      <c r="F119" s="130"/>
    </row>
    <row r="120" spans="2:6" ht="30" x14ac:dyDescent="0.25">
      <c r="B120" s="120"/>
      <c r="C120" s="117"/>
      <c r="D120" s="126"/>
      <c r="E120" s="129" t="s">
        <v>404</v>
      </c>
      <c r="F120" s="130"/>
    </row>
    <row r="121" spans="2:6" ht="30" x14ac:dyDescent="0.25">
      <c r="B121" s="120"/>
      <c r="C121" s="117"/>
      <c r="D121" s="126"/>
      <c r="E121" s="129" t="s">
        <v>405</v>
      </c>
      <c r="F121" s="130"/>
    </row>
    <row r="122" spans="2:6" ht="30" x14ac:dyDescent="0.25">
      <c r="B122" s="120"/>
      <c r="C122" s="117"/>
      <c r="D122" s="126"/>
      <c r="E122" s="129" t="s">
        <v>406</v>
      </c>
      <c r="F122" s="130"/>
    </row>
    <row r="123" spans="2:6" ht="30" x14ac:dyDescent="0.25">
      <c r="B123" s="120"/>
      <c r="C123" s="117"/>
      <c r="D123" s="126"/>
      <c r="E123" s="129" t="s">
        <v>407</v>
      </c>
      <c r="F123" s="130"/>
    </row>
    <row r="124" spans="2:6" ht="30" x14ac:dyDescent="0.25">
      <c r="B124" s="120"/>
      <c r="C124" s="117"/>
      <c r="D124" s="126"/>
      <c r="E124" s="129" t="s">
        <v>408</v>
      </c>
      <c r="F124" s="130"/>
    </row>
    <row r="125" spans="2:6" ht="30" x14ac:dyDescent="0.25">
      <c r="B125" s="120"/>
      <c r="C125" s="117"/>
      <c r="D125" s="126"/>
      <c r="E125" s="129" t="s">
        <v>409</v>
      </c>
      <c r="F125" s="130"/>
    </row>
    <row r="126" spans="2:6" ht="30" x14ac:dyDescent="0.25">
      <c r="B126" s="120"/>
      <c r="C126" s="117"/>
      <c r="D126" s="126"/>
      <c r="E126" s="129" t="s">
        <v>410</v>
      </c>
      <c r="F126" s="130"/>
    </row>
    <row r="127" spans="2:6" ht="30" x14ac:dyDescent="0.25">
      <c r="B127" s="120"/>
      <c r="C127" s="117"/>
      <c r="D127" s="126"/>
      <c r="E127" s="129" t="s">
        <v>411</v>
      </c>
      <c r="F127" s="130"/>
    </row>
    <row r="128" spans="2:6" ht="30.75" thickBot="1" x14ac:dyDescent="0.3">
      <c r="B128" s="121"/>
      <c r="C128" s="122"/>
      <c r="D128" s="131"/>
      <c r="E128" s="132" t="s">
        <v>412</v>
      </c>
      <c r="F128" s="133"/>
    </row>
    <row r="129" spans="2:6" ht="15.75" thickBot="1" x14ac:dyDescent="0.3">
      <c r="B129" s="117"/>
      <c r="C129" s="117"/>
      <c r="D129" s="126"/>
      <c r="E129" s="126"/>
      <c r="F129" s="126"/>
    </row>
    <row r="130" spans="2:6" ht="60" x14ac:dyDescent="0.25">
      <c r="B130" s="118" t="s">
        <v>413</v>
      </c>
      <c r="C130" s="119"/>
      <c r="D130" s="127"/>
      <c r="E130" s="127">
        <v>33</v>
      </c>
      <c r="F130" s="128"/>
    </row>
    <row r="131" spans="2:6" x14ac:dyDescent="0.25">
      <c r="B131" s="120"/>
      <c r="C131" s="117"/>
      <c r="D131" s="126"/>
      <c r="E131" s="129" t="s">
        <v>414</v>
      </c>
      <c r="F131" s="130" t="s">
        <v>293</v>
      </c>
    </row>
    <row r="132" spans="2:6" x14ac:dyDescent="0.25">
      <c r="B132" s="120"/>
      <c r="C132" s="117"/>
      <c r="D132" s="126"/>
      <c r="E132" s="129" t="s">
        <v>415</v>
      </c>
      <c r="F132" s="130"/>
    </row>
    <row r="133" spans="2:6" x14ac:dyDescent="0.25">
      <c r="B133" s="120"/>
      <c r="C133" s="117"/>
      <c r="D133" s="126"/>
      <c r="E133" s="129" t="s">
        <v>416</v>
      </c>
      <c r="F133" s="130"/>
    </row>
    <row r="134" spans="2:6" x14ac:dyDescent="0.25">
      <c r="B134" s="120"/>
      <c r="C134" s="117"/>
      <c r="D134" s="126"/>
      <c r="E134" s="129" t="s">
        <v>417</v>
      </c>
      <c r="F134" s="130"/>
    </row>
    <row r="135" spans="2:6" x14ac:dyDescent="0.25">
      <c r="B135" s="120"/>
      <c r="C135" s="117"/>
      <c r="D135" s="126"/>
      <c r="E135" s="129" t="s">
        <v>418</v>
      </c>
      <c r="F135" s="130"/>
    </row>
    <row r="136" spans="2:6" x14ac:dyDescent="0.25">
      <c r="B136" s="120"/>
      <c r="C136" s="117"/>
      <c r="D136" s="126"/>
      <c r="E136" s="129" t="s">
        <v>419</v>
      </c>
      <c r="F136" s="130"/>
    </row>
    <row r="137" spans="2:6" x14ac:dyDescent="0.25">
      <c r="B137" s="120"/>
      <c r="C137" s="117"/>
      <c r="D137" s="126"/>
      <c r="E137" s="129" t="s">
        <v>420</v>
      </c>
      <c r="F137" s="130"/>
    </row>
    <row r="138" spans="2:6" x14ac:dyDescent="0.25">
      <c r="B138" s="120"/>
      <c r="C138" s="117"/>
      <c r="D138" s="126"/>
      <c r="E138" s="129" t="s">
        <v>421</v>
      </c>
      <c r="F138" s="130"/>
    </row>
    <row r="139" spans="2:6" x14ac:dyDescent="0.25">
      <c r="B139" s="120"/>
      <c r="C139" s="117"/>
      <c r="D139" s="126"/>
      <c r="E139" s="129" t="s">
        <v>422</v>
      </c>
      <c r="F139" s="130"/>
    </row>
    <row r="140" spans="2:6" x14ac:dyDescent="0.25">
      <c r="B140" s="120"/>
      <c r="C140" s="117"/>
      <c r="D140" s="126"/>
      <c r="E140" s="129" t="s">
        <v>423</v>
      </c>
      <c r="F140" s="130"/>
    </row>
    <row r="141" spans="2:6" x14ac:dyDescent="0.25">
      <c r="B141" s="120"/>
      <c r="C141" s="117"/>
      <c r="D141" s="126"/>
      <c r="E141" s="129" t="s">
        <v>424</v>
      </c>
      <c r="F141" s="130"/>
    </row>
    <row r="142" spans="2:6" x14ac:dyDescent="0.25">
      <c r="B142" s="120"/>
      <c r="C142" s="117"/>
      <c r="D142" s="126"/>
      <c r="E142" s="129" t="s">
        <v>425</v>
      </c>
      <c r="F142" s="130"/>
    </row>
    <row r="143" spans="2:6" x14ac:dyDescent="0.25">
      <c r="B143" s="120"/>
      <c r="C143" s="117"/>
      <c r="D143" s="126"/>
      <c r="E143" s="129" t="s">
        <v>426</v>
      </c>
      <c r="F143" s="130"/>
    </row>
    <row r="144" spans="2:6" x14ac:dyDescent="0.25">
      <c r="B144" s="120"/>
      <c r="C144" s="117"/>
      <c r="D144" s="126"/>
      <c r="E144" s="129" t="s">
        <v>427</v>
      </c>
      <c r="F144" s="130"/>
    </row>
    <row r="145" spans="2:6" x14ac:dyDescent="0.25">
      <c r="B145" s="120"/>
      <c r="C145" s="117"/>
      <c r="D145" s="126"/>
      <c r="E145" s="129" t="s">
        <v>428</v>
      </c>
      <c r="F145" s="130"/>
    </row>
    <row r="146" spans="2:6" x14ac:dyDescent="0.25">
      <c r="B146" s="120"/>
      <c r="C146" s="117"/>
      <c r="D146" s="126"/>
      <c r="E146" s="129" t="s">
        <v>429</v>
      </c>
      <c r="F146" s="130"/>
    </row>
    <row r="147" spans="2:6" x14ac:dyDescent="0.25">
      <c r="B147" s="120"/>
      <c r="C147" s="117"/>
      <c r="D147" s="126"/>
      <c r="E147" s="129" t="s">
        <v>430</v>
      </c>
      <c r="F147" s="130"/>
    </row>
    <row r="148" spans="2:6" x14ac:dyDescent="0.25">
      <c r="B148" s="120"/>
      <c r="C148" s="117"/>
      <c r="D148" s="126"/>
      <c r="E148" s="129" t="s">
        <v>431</v>
      </c>
      <c r="F148" s="130"/>
    </row>
    <row r="149" spans="2:6" x14ac:dyDescent="0.25">
      <c r="B149" s="120"/>
      <c r="C149" s="117"/>
      <c r="D149" s="126"/>
      <c r="E149" s="129" t="s">
        <v>432</v>
      </c>
      <c r="F149" s="130"/>
    </row>
    <row r="150" spans="2:6" x14ac:dyDescent="0.25">
      <c r="B150" s="120"/>
      <c r="C150" s="117"/>
      <c r="D150" s="126"/>
      <c r="E150" s="129" t="s">
        <v>433</v>
      </c>
      <c r="F150" s="130"/>
    </row>
    <row r="151" spans="2:6" x14ac:dyDescent="0.25">
      <c r="B151" s="120"/>
      <c r="C151" s="117"/>
      <c r="D151" s="126"/>
      <c r="E151" s="129" t="s">
        <v>434</v>
      </c>
      <c r="F151" s="130"/>
    </row>
    <row r="152" spans="2:6" x14ac:dyDescent="0.25">
      <c r="B152" s="120"/>
      <c r="C152" s="117"/>
      <c r="D152" s="126"/>
      <c r="E152" s="129" t="s">
        <v>435</v>
      </c>
      <c r="F152" s="130"/>
    </row>
    <row r="153" spans="2:6" ht="30" x14ac:dyDescent="0.25">
      <c r="B153" s="120"/>
      <c r="C153" s="117"/>
      <c r="D153" s="126"/>
      <c r="E153" s="129" t="s">
        <v>436</v>
      </c>
      <c r="F153" s="130"/>
    </row>
    <row r="154" spans="2:6" ht="30" x14ac:dyDescent="0.25">
      <c r="B154" s="120"/>
      <c r="C154" s="117"/>
      <c r="D154" s="126"/>
      <c r="E154" s="129" t="s">
        <v>437</v>
      </c>
      <c r="F154" s="130"/>
    </row>
    <row r="155" spans="2:6" ht="30" x14ac:dyDescent="0.25">
      <c r="B155" s="120"/>
      <c r="C155" s="117"/>
      <c r="D155" s="126"/>
      <c r="E155" s="129" t="s">
        <v>438</v>
      </c>
      <c r="F155" s="130"/>
    </row>
    <row r="156" spans="2:6" x14ac:dyDescent="0.25">
      <c r="B156" s="120"/>
      <c r="C156" s="117"/>
      <c r="D156" s="126"/>
      <c r="E156" s="129" t="s">
        <v>439</v>
      </c>
      <c r="F156" s="130"/>
    </row>
    <row r="157" spans="2:6" x14ac:dyDescent="0.25">
      <c r="B157" s="120"/>
      <c r="C157" s="117"/>
      <c r="D157" s="126"/>
      <c r="E157" s="129" t="s">
        <v>440</v>
      </c>
      <c r="F157" s="130"/>
    </row>
    <row r="158" spans="2:6" x14ac:dyDescent="0.25">
      <c r="B158" s="120"/>
      <c r="C158" s="117"/>
      <c r="D158" s="126"/>
      <c r="E158" s="129" t="s">
        <v>441</v>
      </c>
      <c r="F158" s="130"/>
    </row>
    <row r="159" spans="2:6" x14ac:dyDescent="0.25">
      <c r="B159" s="120"/>
      <c r="C159" s="117"/>
      <c r="D159" s="126"/>
      <c r="E159" s="129" t="s">
        <v>442</v>
      </c>
      <c r="F159" s="130"/>
    </row>
    <row r="160" spans="2:6" x14ac:dyDescent="0.25">
      <c r="B160" s="120"/>
      <c r="C160" s="117"/>
      <c r="D160" s="126"/>
      <c r="E160" s="129" t="s">
        <v>443</v>
      </c>
      <c r="F160" s="130"/>
    </row>
    <row r="161" spans="2:6" x14ac:dyDescent="0.25">
      <c r="B161" s="120"/>
      <c r="C161" s="117"/>
      <c r="D161" s="126"/>
      <c r="E161" s="129" t="s">
        <v>444</v>
      </c>
      <c r="F161" s="130"/>
    </row>
    <row r="162" spans="2:6" x14ac:dyDescent="0.25">
      <c r="B162" s="120"/>
      <c r="C162" s="117"/>
      <c r="D162" s="126"/>
      <c r="E162" s="129" t="s">
        <v>445</v>
      </c>
      <c r="F162" s="130"/>
    </row>
    <row r="163" spans="2:6" ht="15.75" thickBot="1" x14ac:dyDescent="0.3">
      <c r="B163" s="121"/>
      <c r="C163" s="122"/>
      <c r="D163" s="131"/>
      <c r="E163" s="132" t="s">
        <v>446</v>
      </c>
      <c r="F163" s="133"/>
    </row>
    <row r="164" spans="2:6" ht="15.75" thickBot="1" x14ac:dyDescent="0.3">
      <c r="B164" s="117"/>
      <c r="C164" s="117"/>
      <c r="D164" s="126"/>
      <c r="E164" s="126"/>
      <c r="F164" s="126"/>
    </row>
    <row r="165" spans="2:6" ht="60" x14ac:dyDescent="0.25">
      <c r="B165" s="118" t="s">
        <v>447</v>
      </c>
      <c r="C165" s="119"/>
      <c r="D165" s="127"/>
      <c r="E165" s="127">
        <v>69</v>
      </c>
      <c r="F165" s="128"/>
    </row>
    <row r="166" spans="2:6" ht="30" x14ac:dyDescent="0.25">
      <c r="B166" s="120"/>
      <c r="C166" s="117"/>
      <c r="D166" s="126"/>
      <c r="E166" s="129" t="s">
        <v>448</v>
      </c>
      <c r="F166" s="130" t="s">
        <v>293</v>
      </c>
    </row>
    <row r="167" spans="2:6" ht="30" x14ac:dyDescent="0.25">
      <c r="B167" s="120"/>
      <c r="C167" s="117"/>
      <c r="D167" s="126"/>
      <c r="E167" s="129" t="s">
        <v>449</v>
      </c>
      <c r="F167" s="130"/>
    </row>
    <row r="168" spans="2:6" ht="30" x14ac:dyDescent="0.25">
      <c r="B168" s="120"/>
      <c r="C168" s="117"/>
      <c r="D168" s="126"/>
      <c r="E168" s="129" t="s">
        <v>450</v>
      </c>
      <c r="F168" s="130"/>
    </row>
    <row r="169" spans="2:6" ht="30" x14ac:dyDescent="0.25">
      <c r="B169" s="120"/>
      <c r="C169" s="117"/>
      <c r="D169" s="126"/>
      <c r="E169" s="129" t="s">
        <v>436</v>
      </c>
      <c r="F169" s="130"/>
    </row>
    <row r="170" spans="2:6" ht="30" x14ac:dyDescent="0.25">
      <c r="B170" s="120"/>
      <c r="C170" s="117"/>
      <c r="D170" s="126"/>
      <c r="E170" s="129" t="s">
        <v>437</v>
      </c>
      <c r="F170" s="130"/>
    </row>
    <row r="171" spans="2:6" ht="30" x14ac:dyDescent="0.25">
      <c r="B171" s="120"/>
      <c r="C171" s="117"/>
      <c r="D171" s="126"/>
      <c r="E171" s="129" t="s">
        <v>438</v>
      </c>
      <c r="F171" s="130"/>
    </row>
    <row r="172" spans="2:6" x14ac:dyDescent="0.25">
      <c r="B172" s="120"/>
      <c r="C172" s="117"/>
      <c r="D172" s="126"/>
      <c r="E172" s="129" t="s">
        <v>439</v>
      </c>
      <c r="F172" s="130"/>
    </row>
    <row r="173" spans="2:6" x14ac:dyDescent="0.25">
      <c r="B173" s="120"/>
      <c r="C173" s="117"/>
      <c r="D173" s="126"/>
      <c r="E173" s="129" t="s">
        <v>440</v>
      </c>
      <c r="F173" s="130"/>
    </row>
    <row r="174" spans="2:6" x14ac:dyDescent="0.25">
      <c r="B174" s="120"/>
      <c r="C174" s="117"/>
      <c r="D174" s="126"/>
      <c r="E174" s="129" t="s">
        <v>441</v>
      </c>
      <c r="F174" s="130"/>
    </row>
    <row r="175" spans="2:6" x14ac:dyDescent="0.25">
      <c r="B175" s="120"/>
      <c r="C175" s="117"/>
      <c r="D175" s="126"/>
      <c r="E175" s="129" t="s">
        <v>442</v>
      </c>
      <c r="F175" s="130"/>
    </row>
    <row r="176" spans="2:6" x14ac:dyDescent="0.25">
      <c r="B176" s="120"/>
      <c r="C176" s="117"/>
      <c r="D176" s="126"/>
      <c r="E176" s="129" t="s">
        <v>443</v>
      </c>
      <c r="F176" s="130"/>
    </row>
    <row r="177" spans="2:6" x14ac:dyDescent="0.25">
      <c r="B177" s="120"/>
      <c r="C177" s="117"/>
      <c r="D177" s="126"/>
      <c r="E177" s="129" t="s">
        <v>444</v>
      </c>
      <c r="F177" s="130"/>
    </row>
    <row r="178" spans="2:6" x14ac:dyDescent="0.25">
      <c r="B178" s="120"/>
      <c r="C178" s="117"/>
      <c r="D178" s="126"/>
      <c r="E178" s="129" t="s">
        <v>445</v>
      </c>
      <c r="F178" s="130"/>
    </row>
    <row r="179" spans="2:6" x14ac:dyDescent="0.25">
      <c r="B179" s="120"/>
      <c r="C179" s="117"/>
      <c r="D179" s="126"/>
      <c r="E179" s="129" t="s">
        <v>446</v>
      </c>
      <c r="F179" s="130"/>
    </row>
    <row r="180" spans="2:6" ht="30.75" thickBot="1" x14ac:dyDescent="0.3">
      <c r="B180" s="121"/>
      <c r="C180" s="122"/>
      <c r="D180" s="131"/>
      <c r="E180" s="132" t="s">
        <v>451</v>
      </c>
      <c r="F180" s="133"/>
    </row>
    <row r="181" spans="2:6" ht="15.75" thickBot="1" x14ac:dyDescent="0.3">
      <c r="B181" s="117"/>
      <c r="C181" s="117"/>
      <c r="D181" s="126"/>
      <c r="E181" s="126"/>
      <c r="F181" s="126"/>
    </row>
    <row r="182" spans="2:6" ht="45" x14ac:dyDescent="0.25">
      <c r="B182" s="118" t="s">
        <v>452</v>
      </c>
      <c r="C182" s="119"/>
      <c r="D182" s="127"/>
      <c r="E182" s="127">
        <v>5</v>
      </c>
      <c r="F182" s="128"/>
    </row>
    <row r="183" spans="2:6" ht="30" x14ac:dyDescent="0.25">
      <c r="B183" s="120"/>
      <c r="C183" s="117"/>
      <c r="D183" s="126"/>
      <c r="E183" s="129" t="s">
        <v>453</v>
      </c>
      <c r="F183" s="130" t="s">
        <v>293</v>
      </c>
    </row>
    <row r="184" spans="2:6" ht="30" x14ac:dyDescent="0.25">
      <c r="B184" s="120"/>
      <c r="C184" s="117"/>
      <c r="D184" s="126"/>
      <c r="E184" s="129" t="s">
        <v>454</v>
      </c>
      <c r="F184" s="130"/>
    </row>
    <row r="185" spans="2:6" ht="30" x14ac:dyDescent="0.25">
      <c r="B185" s="120"/>
      <c r="C185" s="117"/>
      <c r="D185" s="126"/>
      <c r="E185" s="129" t="s">
        <v>455</v>
      </c>
      <c r="F185" s="130"/>
    </row>
    <row r="186" spans="2:6" ht="30" x14ac:dyDescent="0.25">
      <c r="B186" s="120"/>
      <c r="C186" s="117"/>
      <c r="D186" s="126"/>
      <c r="E186" s="129" t="s">
        <v>456</v>
      </c>
      <c r="F186" s="130"/>
    </row>
    <row r="187" spans="2:6" ht="30.75" thickBot="1" x14ac:dyDescent="0.3">
      <c r="B187" s="121"/>
      <c r="C187" s="122"/>
      <c r="D187" s="131"/>
      <c r="E187" s="132" t="s">
        <v>457</v>
      </c>
      <c r="F187" s="133" t="s">
        <v>293</v>
      </c>
    </row>
    <row r="188" spans="2:6" x14ac:dyDescent="0.25">
      <c r="B188" s="117"/>
      <c r="C188" s="117"/>
      <c r="D188" s="126"/>
      <c r="E188" s="126"/>
      <c r="F188" s="126"/>
    </row>
    <row r="189" spans="2:6" x14ac:dyDescent="0.25">
      <c r="B189" s="117"/>
      <c r="C189" s="117"/>
      <c r="D189" s="126"/>
      <c r="E189" s="126"/>
      <c r="F189" s="126"/>
    </row>
    <row r="190" spans="2:6" x14ac:dyDescent="0.25">
      <c r="B190" s="116" t="s">
        <v>458</v>
      </c>
      <c r="C190" s="116"/>
      <c r="D190" s="125"/>
      <c r="E190" s="125"/>
      <c r="F190" s="125"/>
    </row>
    <row r="191" spans="2:6" ht="15.75" thickBot="1" x14ac:dyDescent="0.3">
      <c r="B191" s="117"/>
      <c r="C191" s="117"/>
      <c r="D191" s="126"/>
      <c r="E191" s="126"/>
      <c r="F191" s="126"/>
    </row>
    <row r="192" spans="2:6" ht="30" x14ac:dyDescent="0.25">
      <c r="B192" s="118" t="s">
        <v>459</v>
      </c>
      <c r="C192" s="119"/>
      <c r="D192" s="127"/>
      <c r="E192" s="127">
        <v>1</v>
      </c>
      <c r="F192" s="128"/>
    </row>
    <row r="193" spans="2:6" ht="45.75" thickBot="1" x14ac:dyDescent="0.3">
      <c r="B193" s="121"/>
      <c r="C193" s="122"/>
      <c r="D193" s="131"/>
      <c r="E193" s="132" t="s">
        <v>460</v>
      </c>
      <c r="F193" s="133" t="s">
        <v>293</v>
      </c>
    </row>
    <row r="194" spans="2:6" ht="15.75" thickBot="1" x14ac:dyDescent="0.3">
      <c r="B194" s="117"/>
      <c r="C194" s="117"/>
      <c r="D194" s="126"/>
      <c r="E194" s="126"/>
      <c r="F194" s="126"/>
    </row>
    <row r="195" spans="2:6" ht="45" x14ac:dyDescent="0.25">
      <c r="B195" s="118" t="s">
        <v>461</v>
      </c>
      <c r="C195" s="119"/>
      <c r="D195" s="127"/>
      <c r="E195" s="127">
        <v>1</v>
      </c>
      <c r="F195" s="128"/>
    </row>
    <row r="196" spans="2:6" ht="45.75" thickBot="1" x14ac:dyDescent="0.3">
      <c r="B196" s="121"/>
      <c r="C196" s="122"/>
      <c r="D196" s="131"/>
      <c r="E196" s="132" t="s">
        <v>462</v>
      </c>
      <c r="F196" s="133" t="s">
        <v>293</v>
      </c>
    </row>
    <row r="197" spans="2:6" ht="15.75" thickBot="1" x14ac:dyDescent="0.3">
      <c r="B197" s="117"/>
      <c r="C197" s="117"/>
      <c r="D197" s="126"/>
      <c r="E197" s="126"/>
      <c r="F197" s="126"/>
    </row>
    <row r="198" spans="2:6" ht="60" x14ac:dyDescent="0.25">
      <c r="B198" s="118" t="s">
        <v>463</v>
      </c>
      <c r="C198" s="119"/>
      <c r="D198" s="127"/>
      <c r="E198" s="127">
        <v>1</v>
      </c>
      <c r="F198" s="128"/>
    </row>
    <row r="199" spans="2:6" ht="45.75" thickBot="1" x14ac:dyDescent="0.3">
      <c r="B199" s="121"/>
      <c r="C199" s="122"/>
      <c r="D199" s="131"/>
      <c r="E199" s="132" t="s">
        <v>462</v>
      </c>
      <c r="F199" s="133" t="s">
        <v>293</v>
      </c>
    </row>
    <row r="200" spans="2:6" ht="15.75" thickBot="1" x14ac:dyDescent="0.3">
      <c r="B200" s="117"/>
      <c r="C200" s="117"/>
      <c r="D200" s="126"/>
      <c r="E200" s="126"/>
      <c r="F200" s="126"/>
    </row>
    <row r="201" spans="2:6" ht="45.75" thickBot="1" x14ac:dyDescent="0.3">
      <c r="B201" s="123" t="s">
        <v>464</v>
      </c>
      <c r="C201" s="124"/>
      <c r="D201" s="134"/>
      <c r="E201" s="134">
        <v>163</v>
      </c>
      <c r="F201" s="135" t="s">
        <v>293</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cp:lastPrinted>2025-01-24T16:40:09Z</cp:lastPrinted>
  <dcterms:created xsi:type="dcterms:W3CDTF">2020-03-24T23:12:47Z</dcterms:created>
  <dcterms:modified xsi:type="dcterms:W3CDTF">2026-01-20T20:13:46Z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