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5\Mapa de Riesgos 2025\"/>
    </mc:Choice>
  </mc:AlternateContent>
  <workbookProtection workbookAlgorithmName="SHA-512" workbookHashValue="Yo8Up2EGaUxSaucqiZhSUgvHohduPzfgatu2DzX0rUeM7fviz+1He0zSUIUSlVbjijHi3rl4h4mc+be2OIZaQQ==" workbookSaltValue="rJFBcJZguvqNEoCIgaVOmw=="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xlnm.Print_Area" localSheetId="1">'Mapa final'!$A$1:$AR$251</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8" r:id="rId27"/>
  </pivotCaches>
</workbook>
</file>

<file path=xl/calcChain.xml><?xml version="1.0" encoding="utf-8"?>
<calcChain xmlns="http://schemas.openxmlformats.org/spreadsheetml/2006/main">
  <c r="AB105" i="1" l="1"/>
  <c r="Y105" i="1"/>
  <c r="AF105" i="1" s="1"/>
  <c r="P105" i="1"/>
  <c r="Q105" i="1" s="1"/>
  <c r="AH105" i="1" l="1"/>
  <c r="AG105" i="1"/>
  <c r="AB42" i="1"/>
  <c r="Y42" i="1"/>
  <c r="P42" i="1"/>
  <c r="Q42" i="1" s="1"/>
  <c r="AF42" i="1" l="1"/>
  <c r="AH42" i="1" s="1"/>
  <c r="AG42" i="1" l="1"/>
  <c r="P80" i="1" l="1"/>
  <c r="Q80" i="1" s="1"/>
  <c r="Y100" i="1" l="1"/>
  <c r="AB100" i="1"/>
  <c r="B12" i="22" l="1"/>
  <c r="C39" i="25" l="1"/>
  <c r="B39" i="25"/>
  <c r="C36" i="25"/>
  <c r="B36" i="25"/>
  <c r="C33" i="25"/>
  <c r="B33" i="25"/>
  <c r="C30" i="25"/>
  <c r="B30" i="25"/>
  <c r="C27" i="25"/>
  <c r="B27" i="25"/>
  <c r="C24" i="25"/>
  <c r="B24" i="25"/>
  <c r="C21" i="25"/>
  <c r="B21" i="25"/>
  <c r="C18" i="25"/>
  <c r="B18" i="25"/>
  <c r="C15" i="25"/>
  <c r="B15" i="25"/>
  <c r="C12" i="25"/>
  <c r="B12" i="25"/>
  <c r="C39" i="24"/>
  <c r="B39" i="24"/>
  <c r="C36" i="24"/>
  <c r="B36" i="24"/>
  <c r="C33" i="24"/>
  <c r="B33" i="24"/>
  <c r="C30" i="24"/>
  <c r="B30" i="24"/>
  <c r="C27" i="24"/>
  <c r="B27" i="24"/>
  <c r="C24" i="24"/>
  <c r="B24" i="24"/>
  <c r="C21" i="24"/>
  <c r="B21" i="24"/>
  <c r="C18" i="24"/>
  <c r="B18" i="24"/>
  <c r="C15" i="24"/>
  <c r="B15" i="24"/>
  <c r="C12" i="24"/>
  <c r="B12" i="24"/>
  <c r="C39" i="23"/>
  <c r="B39" i="23"/>
  <c r="C36" i="23"/>
  <c r="B36" i="23"/>
  <c r="C33" i="23"/>
  <c r="B33" i="23"/>
  <c r="C30" i="23"/>
  <c r="B30" i="23"/>
  <c r="C27" i="23"/>
  <c r="B27" i="23"/>
  <c r="C24" i="23"/>
  <c r="B24" i="23"/>
  <c r="C21" i="23"/>
  <c r="B21" i="23"/>
  <c r="C18" i="23"/>
  <c r="B18" i="23"/>
  <c r="C15" i="23"/>
  <c r="B15" i="23"/>
  <c r="C12" i="23"/>
  <c r="B12" i="23"/>
  <c r="C39" i="22"/>
  <c r="C36" i="22"/>
  <c r="C33" i="22"/>
  <c r="C30" i="22"/>
  <c r="C27" i="22"/>
  <c r="C24" i="22"/>
  <c r="C21" i="22"/>
  <c r="C18" i="22"/>
  <c r="C15" i="22"/>
  <c r="B39" i="22"/>
  <c r="B36" i="22"/>
  <c r="B33" i="22"/>
  <c r="B30" i="22"/>
  <c r="B27" i="22"/>
  <c r="B24" i="22"/>
  <c r="B15" i="22"/>
  <c r="B18" i="22"/>
  <c r="B21" i="22"/>
  <c r="C12" i="22"/>
  <c r="AB132" i="1" l="1"/>
  <c r="AB131" i="1"/>
  <c r="Y131" i="1"/>
  <c r="Y132" i="1"/>
  <c r="AB80" i="1"/>
  <c r="P131" i="1" l="1"/>
  <c r="Q131" i="1" s="1"/>
  <c r="AF131" i="1" s="1"/>
  <c r="AH131" i="1" s="1"/>
  <c r="AF132" i="1" s="1"/>
  <c r="AH132" i="1" s="1"/>
  <c r="S132" i="1"/>
  <c r="AG131" i="1" l="1"/>
  <c r="AG132" i="1"/>
  <c r="AB244" i="1"/>
  <c r="Y244" i="1"/>
  <c r="AB243" i="1"/>
  <c r="Y243" i="1"/>
  <c r="AB242" i="1"/>
  <c r="Y242" i="1"/>
  <c r="P242" i="1"/>
  <c r="Q242" i="1" s="1"/>
  <c r="AB241" i="1"/>
  <c r="Y241" i="1"/>
  <c r="AB240" i="1"/>
  <c r="Y240" i="1"/>
  <c r="AB239" i="1"/>
  <c r="Y239" i="1"/>
  <c r="P239" i="1"/>
  <c r="Q239" i="1" s="1"/>
  <c r="P238" i="1"/>
  <c r="Q238" i="1" s="1"/>
  <c r="Y238" i="1"/>
  <c r="AB238" i="1"/>
  <c r="S241" i="1"/>
  <c r="S244" i="1"/>
  <c r="S243" i="1"/>
  <c r="S240" i="1"/>
  <c r="AF242" i="1" l="1"/>
  <c r="AF239" i="1"/>
  <c r="AF238" i="1"/>
  <c r="AH242" i="1" l="1"/>
  <c r="AF243" i="1" s="1"/>
  <c r="AG242" i="1"/>
  <c r="AH239" i="1"/>
  <c r="AF240" i="1" s="1"/>
  <c r="AG239" i="1"/>
  <c r="AG238" i="1"/>
  <c r="AH238" i="1"/>
  <c r="AH243" i="1" l="1"/>
  <c r="AF244" i="1" s="1"/>
  <c r="AG243" i="1"/>
  <c r="AH240" i="1"/>
  <c r="AF241" i="1" s="1"/>
  <c r="AG240" i="1"/>
  <c r="AH244" i="1" l="1"/>
  <c r="AG244" i="1"/>
  <c r="AH241" i="1"/>
  <c r="AG241" i="1"/>
  <c r="Y193" i="1" l="1"/>
  <c r="Y194" i="1"/>
  <c r="Y195" i="1"/>
  <c r="Y196" i="1"/>
  <c r="Y197" i="1"/>
  <c r="Y198" i="1"/>
  <c r="AB140" i="1" l="1"/>
  <c r="AB34" i="1" l="1"/>
  <c r="AB35" i="1"/>
  <c r="AB36" i="1"/>
  <c r="AB37" i="1"/>
  <c r="Y34" i="1"/>
  <c r="AB14" i="1"/>
  <c r="AB15" i="1"/>
  <c r="AB16" i="1"/>
  <c r="AB17" i="1"/>
  <c r="AB18" i="1"/>
  <c r="AB19" i="1"/>
  <c r="AB20" i="1"/>
  <c r="AB21" i="1"/>
  <c r="AB22" i="1"/>
  <c r="AB23" i="1"/>
  <c r="AB24" i="1"/>
  <c r="AB25" i="1"/>
  <c r="AB26" i="1"/>
  <c r="AB27" i="1"/>
  <c r="AB28" i="1"/>
  <c r="AB29" i="1"/>
  <c r="AB30" i="1"/>
  <c r="AB31" i="1"/>
  <c r="AB32" i="1"/>
  <c r="AB33" i="1"/>
  <c r="AB38" i="1"/>
  <c r="AB39" i="1"/>
  <c r="AB40" i="1"/>
  <c r="AB41"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1" i="1"/>
  <c r="AB82" i="1"/>
  <c r="AB83" i="1"/>
  <c r="AB84" i="1"/>
  <c r="AB85" i="1"/>
  <c r="AB86" i="1"/>
  <c r="AB87" i="1"/>
  <c r="AB88" i="1"/>
  <c r="AB89" i="1"/>
  <c r="AB90" i="1"/>
  <c r="AB91" i="1"/>
  <c r="AB92" i="1"/>
  <c r="AB93" i="1"/>
  <c r="AB94" i="1"/>
  <c r="AB95" i="1"/>
  <c r="AB96" i="1"/>
  <c r="AB97" i="1"/>
  <c r="AB98" i="1"/>
  <c r="AB99" i="1"/>
  <c r="AB101" i="1"/>
  <c r="AB102" i="1"/>
  <c r="AB103" i="1"/>
  <c r="AB104"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3" i="1"/>
  <c r="AB134" i="1"/>
  <c r="AB135" i="1"/>
  <c r="AB136" i="1"/>
  <c r="AB137" i="1"/>
  <c r="AB138" i="1"/>
  <c r="AB139" i="1"/>
  <c r="AB141" i="1"/>
  <c r="AB142" i="1"/>
  <c r="AB143"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45" i="1"/>
  <c r="AB246" i="1"/>
  <c r="AB247" i="1"/>
  <c r="AB248" i="1"/>
  <c r="AB249" i="1"/>
  <c r="AB250" i="1"/>
  <c r="P196" i="1" l="1"/>
  <c r="Q196" i="1" s="1"/>
  <c r="AF196" i="1" s="1"/>
  <c r="AH196" i="1" s="1"/>
  <c r="AF197" i="1" s="1"/>
  <c r="AH197" i="1" s="1"/>
  <c r="AF198" i="1" s="1"/>
  <c r="AH198" i="1" s="1"/>
  <c r="P193" i="1"/>
  <c r="Q193" i="1" s="1"/>
  <c r="AF193" i="1" s="1"/>
  <c r="AH193" i="1" s="1"/>
  <c r="AF194" i="1" s="1"/>
  <c r="AH194" i="1" s="1"/>
  <c r="AF195" i="1" s="1"/>
  <c r="AH195" i="1" s="1"/>
  <c r="S197" i="1"/>
  <c r="S198" i="1"/>
  <c r="S195" i="1"/>
  <c r="S194" i="1"/>
  <c r="AG196" i="1" l="1"/>
  <c r="AG198" i="1"/>
  <c r="AG194" i="1"/>
  <c r="AG195" i="1"/>
  <c r="AG193" i="1"/>
  <c r="AG197" i="1"/>
  <c r="P128" i="1" l="1"/>
  <c r="Q128" i="1" s="1"/>
  <c r="P127" i="1"/>
  <c r="Y130" i="1"/>
  <c r="Y129" i="1"/>
  <c r="Y128" i="1"/>
  <c r="Y127" i="1"/>
  <c r="S130" i="1"/>
  <c r="S129" i="1"/>
  <c r="Q127" i="1" l="1"/>
  <c r="AF127" i="1" s="1"/>
  <c r="AH127" i="1" s="1"/>
  <c r="AF128" i="1"/>
  <c r="Y249" i="1"/>
  <c r="Y250" i="1"/>
  <c r="Y248" i="1"/>
  <c r="P249" i="1"/>
  <c r="Q249" i="1" s="1"/>
  <c r="P248" i="1"/>
  <c r="Q248" i="1" s="1"/>
  <c r="S250" i="1"/>
  <c r="AG127" i="1" l="1"/>
  <c r="AH128" i="1"/>
  <c r="AF129" i="1" s="1"/>
  <c r="AG128" i="1"/>
  <c r="AF249" i="1"/>
  <c r="AG249" i="1" s="1"/>
  <c r="AF248" i="1"/>
  <c r="AG248" i="1" s="1"/>
  <c r="AH129" i="1" l="1"/>
  <c r="AF130" i="1" s="1"/>
  <c r="AG129" i="1"/>
  <c r="AH249" i="1"/>
  <c r="AF250" i="1" s="1"/>
  <c r="AH248" i="1"/>
  <c r="AH130" i="1" l="1"/>
  <c r="AG130" i="1"/>
  <c r="AG250" i="1"/>
  <c r="AH250" i="1"/>
  <c r="Y171" i="1" l="1"/>
  <c r="Y172" i="1"/>
  <c r="Y173" i="1"/>
  <c r="Y156" i="1" l="1"/>
  <c r="Y157" i="1"/>
  <c r="Y84" i="1" l="1"/>
  <c r="Y52" i="1" l="1"/>
  <c r="Y53" i="1"/>
  <c r="Y54" i="1"/>
  <c r="AJ52" i="1" l="1"/>
  <c r="AI52" i="1" s="1"/>
  <c r="AJ53" i="1" l="1"/>
  <c r="AI53" i="1" l="1"/>
  <c r="AJ54" i="1"/>
  <c r="AI54" i="1" l="1"/>
  <c r="AB13" i="1" l="1"/>
  <c r="P13" i="1"/>
  <c r="Q13" i="1" s="1"/>
  <c r="Y13" i="1"/>
  <c r="S14" i="1"/>
  <c r="AF13" i="1" l="1"/>
  <c r="Y14" i="1"/>
  <c r="AG13" i="1" l="1"/>
  <c r="AH13" i="1"/>
  <c r="AF14" i="1" s="1"/>
  <c r="AG14" i="1" l="1"/>
  <c r="AH14"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116" i="1" l="1"/>
  <c r="Q116" i="1" s="1"/>
  <c r="Y116" i="1"/>
  <c r="Y117" i="1"/>
  <c r="Y118" i="1"/>
  <c r="Y119" i="1"/>
  <c r="P120" i="1"/>
  <c r="Y120" i="1"/>
  <c r="Y121" i="1"/>
  <c r="Y122" i="1"/>
  <c r="Y123" i="1"/>
  <c r="P124" i="1"/>
  <c r="Q124" i="1" s="1"/>
  <c r="Y124" i="1"/>
  <c r="Y125" i="1"/>
  <c r="Y126" i="1"/>
  <c r="P133" i="1"/>
  <c r="Q133" i="1" s="1"/>
  <c r="Y133" i="1"/>
  <c r="Y134" i="1"/>
  <c r="P135" i="1"/>
  <c r="Q135" i="1" s="1"/>
  <c r="Y135" i="1"/>
  <c r="P136" i="1"/>
  <c r="Q136" i="1" s="1"/>
  <c r="Y136" i="1"/>
  <c r="Y137" i="1"/>
  <c r="P138" i="1"/>
  <c r="Q138" i="1" s="1"/>
  <c r="Y138" i="1"/>
  <c r="Y139" i="1"/>
  <c r="P140" i="1"/>
  <c r="Y140" i="1"/>
  <c r="P141" i="1"/>
  <c r="Q141" i="1" s="1"/>
  <c r="Y141" i="1"/>
  <c r="Y142" i="1"/>
  <c r="P143" i="1"/>
  <c r="Q143" i="1" s="1"/>
  <c r="Y143" i="1"/>
  <c r="Y144" i="1"/>
  <c r="P145" i="1"/>
  <c r="Q145" i="1" s="1"/>
  <c r="Y145" i="1"/>
  <c r="Y146" i="1"/>
  <c r="P147" i="1"/>
  <c r="Q147" i="1" s="1"/>
  <c r="Y147" i="1"/>
  <c r="Y148" i="1"/>
  <c r="P149" i="1"/>
  <c r="Q149" i="1" s="1"/>
  <c r="Y149" i="1"/>
  <c r="Y150" i="1"/>
  <c r="Y151" i="1"/>
  <c r="P152" i="1"/>
  <c r="Y152" i="1"/>
  <c r="Y153" i="1"/>
  <c r="P154" i="1"/>
  <c r="Q154" i="1" s="1"/>
  <c r="Y154" i="1"/>
  <c r="Y155" i="1"/>
  <c r="P156" i="1"/>
  <c r="Q156" i="1" s="1"/>
  <c r="P158" i="1"/>
  <c r="Q158" i="1" s="1"/>
  <c r="Y158" i="1"/>
  <c r="P159" i="1"/>
  <c r="Q159" i="1" s="1"/>
  <c r="Y159" i="1"/>
  <c r="Y160" i="1"/>
  <c r="Y161" i="1"/>
  <c r="Y162" i="1"/>
  <c r="Y163" i="1"/>
  <c r="P164" i="1"/>
  <c r="Q164" i="1" s="1"/>
  <c r="Y164" i="1"/>
  <c r="Y165" i="1"/>
  <c r="Y166" i="1"/>
  <c r="Y167" i="1"/>
  <c r="P168" i="1"/>
  <c r="Q168" i="1" s="1"/>
  <c r="Y168" i="1"/>
  <c r="Y169" i="1"/>
  <c r="P170" i="1"/>
  <c r="Q170" i="1" s="1"/>
  <c r="Y170" i="1"/>
  <c r="P174" i="1"/>
  <c r="Y174" i="1"/>
  <c r="Y175" i="1"/>
  <c r="Y176" i="1"/>
  <c r="Y177" i="1"/>
  <c r="Y178" i="1"/>
  <c r="Y179" i="1"/>
  <c r="P180" i="1"/>
  <c r="Q180" i="1" s="1"/>
  <c r="Y180" i="1"/>
  <c r="Y181" i="1"/>
  <c r="Y182" i="1"/>
  <c r="P183" i="1"/>
  <c r="Q183" i="1" s="1"/>
  <c r="Y183" i="1"/>
  <c r="Y184" i="1"/>
  <c r="Y185" i="1"/>
  <c r="Y186" i="1"/>
  <c r="P187" i="1"/>
  <c r="Q187" i="1" s="1"/>
  <c r="Y187" i="1"/>
  <c r="Y188" i="1"/>
  <c r="Y189" i="1"/>
  <c r="Y190" i="1"/>
  <c r="P191" i="1"/>
  <c r="Y191" i="1"/>
  <c r="Y192" i="1"/>
  <c r="P199" i="1"/>
  <c r="Q199" i="1" s="1"/>
  <c r="Y199" i="1"/>
  <c r="Y200" i="1"/>
  <c r="Y201" i="1"/>
  <c r="P202" i="1"/>
  <c r="Q202" i="1" s="1"/>
  <c r="Y202" i="1"/>
  <c r="Y203" i="1"/>
  <c r="Y204" i="1"/>
  <c r="Y205" i="1"/>
  <c r="P206" i="1"/>
  <c r="Q206" i="1" s="1"/>
  <c r="Y206" i="1"/>
  <c r="Y207" i="1"/>
  <c r="Y208" i="1"/>
  <c r="Y209" i="1"/>
  <c r="P210" i="1"/>
  <c r="Q210" i="1" s="1"/>
  <c r="Y210" i="1"/>
  <c r="Y211" i="1"/>
  <c r="Y212" i="1"/>
  <c r="Y213" i="1"/>
  <c r="Y214" i="1"/>
  <c r="P215" i="1"/>
  <c r="Q215" i="1" s="1"/>
  <c r="Y215" i="1"/>
  <c r="Y216" i="1"/>
  <c r="P217" i="1"/>
  <c r="Q217" i="1" s="1"/>
  <c r="Y217" i="1"/>
  <c r="Y218" i="1"/>
  <c r="Y219" i="1"/>
  <c r="P220" i="1"/>
  <c r="Y220" i="1"/>
  <c r="Y221" i="1"/>
  <c r="Y222" i="1"/>
  <c r="Y223" i="1"/>
  <c r="Y224" i="1"/>
  <c r="P225" i="1"/>
  <c r="Q225" i="1" s="1"/>
  <c r="Y225" i="1"/>
  <c r="Y226" i="1"/>
  <c r="Y227" i="1"/>
  <c r="Y228" i="1"/>
  <c r="P229" i="1"/>
  <c r="Q229" i="1" s="1"/>
  <c r="Y229" i="1"/>
  <c r="P230" i="1"/>
  <c r="Q230" i="1" s="1"/>
  <c r="Y230" i="1"/>
  <c r="Y231" i="1"/>
  <c r="P232" i="1"/>
  <c r="Q232" i="1" s="1"/>
  <c r="Y232" i="1"/>
  <c r="Y233" i="1"/>
  <c r="P234" i="1"/>
  <c r="Q234" i="1" s="1"/>
  <c r="Y234" i="1"/>
  <c r="Y235" i="1"/>
  <c r="P236" i="1"/>
  <c r="Q236" i="1" s="1"/>
  <c r="Y236" i="1"/>
  <c r="Y237" i="1"/>
  <c r="P245" i="1"/>
  <c r="Q245" i="1" s="1"/>
  <c r="Y245" i="1"/>
  <c r="P246" i="1"/>
  <c r="Q246" i="1" s="1"/>
  <c r="Y246" i="1"/>
  <c r="Y247" i="1"/>
  <c r="P98" i="1"/>
  <c r="Q98" i="1" s="1"/>
  <c r="Y98" i="1"/>
  <c r="Y99" i="1"/>
  <c r="P101" i="1"/>
  <c r="Q101" i="1" s="1"/>
  <c r="Y101" i="1"/>
  <c r="Y102" i="1"/>
  <c r="P103" i="1"/>
  <c r="Q103" i="1" s="1"/>
  <c r="Y103" i="1"/>
  <c r="Y104" i="1"/>
  <c r="P106" i="1"/>
  <c r="Q106" i="1" s="1"/>
  <c r="Y106" i="1"/>
  <c r="Y107" i="1"/>
  <c r="Y108" i="1"/>
  <c r="Y109" i="1"/>
  <c r="P110" i="1"/>
  <c r="Q110" i="1" s="1"/>
  <c r="Y110" i="1"/>
  <c r="P111" i="1"/>
  <c r="Q111" i="1" s="1"/>
  <c r="Y111" i="1"/>
  <c r="P112" i="1"/>
  <c r="Q112" i="1" s="1"/>
  <c r="Y112" i="1"/>
  <c r="P113" i="1"/>
  <c r="Q113" i="1" s="1"/>
  <c r="Y113" i="1"/>
  <c r="Y114" i="1"/>
  <c r="Y115" i="1"/>
  <c r="P86" i="1"/>
  <c r="Q86" i="1" s="1"/>
  <c r="Y86" i="1"/>
  <c r="P87" i="1"/>
  <c r="Q87" i="1" s="1"/>
  <c r="Y87" i="1"/>
  <c r="Y80" i="1"/>
  <c r="P88" i="1"/>
  <c r="Q88" i="1" s="1"/>
  <c r="Y88" i="1"/>
  <c r="P89" i="1"/>
  <c r="Q89" i="1" s="1"/>
  <c r="Y89" i="1"/>
  <c r="P90" i="1"/>
  <c r="Q90" i="1" s="1"/>
  <c r="Y90" i="1"/>
  <c r="P91" i="1"/>
  <c r="Q91" i="1" s="1"/>
  <c r="Y91" i="1"/>
  <c r="Y92" i="1"/>
  <c r="P93" i="1"/>
  <c r="Q93" i="1" s="1"/>
  <c r="Y93" i="1"/>
  <c r="Y94" i="1"/>
  <c r="P95" i="1"/>
  <c r="Q95" i="1" s="1"/>
  <c r="Y95" i="1"/>
  <c r="P96" i="1"/>
  <c r="Q96" i="1" s="1"/>
  <c r="Y96" i="1"/>
  <c r="Y97" i="1"/>
  <c r="P78" i="1"/>
  <c r="Q78" i="1" s="1"/>
  <c r="Y78" i="1"/>
  <c r="Y79" i="1"/>
  <c r="P81" i="1"/>
  <c r="Q81" i="1" s="1"/>
  <c r="Y81" i="1"/>
  <c r="Y82" i="1"/>
  <c r="P83" i="1"/>
  <c r="Q83" i="1" s="1"/>
  <c r="Y83" i="1"/>
  <c r="P85" i="1"/>
  <c r="Q85" i="1" s="1"/>
  <c r="Y85" i="1"/>
  <c r="P61" i="1"/>
  <c r="Q61" i="1" s="1"/>
  <c r="Y61" i="1"/>
  <c r="Y62" i="1"/>
  <c r="P63" i="1"/>
  <c r="Q63" i="1" s="1"/>
  <c r="Y63" i="1"/>
  <c r="Y64" i="1"/>
  <c r="Y65" i="1"/>
  <c r="Y66" i="1"/>
  <c r="Y67" i="1"/>
  <c r="P68" i="1"/>
  <c r="Q68" i="1" s="1"/>
  <c r="Y68" i="1"/>
  <c r="Y69" i="1"/>
  <c r="P70" i="1"/>
  <c r="Q70" i="1" s="1"/>
  <c r="Y70" i="1"/>
  <c r="Y71" i="1"/>
  <c r="P72" i="1"/>
  <c r="Q72" i="1" s="1"/>
  <c r="Y72" i="1"/>
  <c r="Y73" i="1"/>
  <c r="Y74" i="1"/>
  <c r="P75" i="1"/>
  <c r="Q75" i="1" s="1"/>
  <c r="Y75" i="1"/>
  <c r="P76" i="1"/>
  <c r="Q76" i="1" s="1"/>
  <c r="Y76" i="1"/>
  <c r="Y77" i="1"/>
  <c r="P45" i="1"/>
  <c r="Q45" i="1" s="1"/>
  <c r="Y45" i="1"/>
  <c r="P46" i="1"/>
  <c r="Q46" i="1" s="1"/>
  <c r="Y46" i="1"/>
  <c r="Y47" i="1"/>
  <c r="Y48" i="1"/>
  <c r="Y49" i="1"/>
  <c r="Y50" i="1"/>
  <c r="Y51" i="1"/>
  <c r="P55" i="1"/>
  <c r="Q55" i="1" s="1"/>
  <c r="Y55" i="1"/>
  <c r="Y56" i="1"/>
  <c r="Y57" i="1"/>
  <c r="P58" i="1"/>
  <c r="Q58" i="1" s="1"/>
  <c r="Y58" i="1"/>
  <c r="Y59" i="1"/>
  <c r="Y60" i="1"/>
  <c r="P44" i="1"/>
  <c r="Q44" i="1" s="1"/>
  <c r="Y44" i="1"/>
  <c r="P43" i="1"/>
  <c r="Q43" i="1" s="1"/>
  <c r="Y20" i="1"/>
  <c r="Y21" i="1"/>
  <c r="Y22" i="1"/>
  <c r="Y23" i="1"/>
  <c r="Y24" i="1"/>
  <c r="Y25" i="1"/>
  <c r="Y26" i="1"/>
  <c r="Y27" i="1"/>
  <c r="Y28" i="1"/>
  <c r="Y29" i="1"/>
  <c r="Y30" i="1"/>
  <c r="Y31" i="1"/>
  <c r="Y32" i="1"/>
  <c r="Y33" i="1"/>
  <c r="Y35" i="1"/>
  <c r="Y36" i="1"/>
  <c r="Y37" i="1"/>
  <c r="Y38" i="1"/>
  <c r="Y39" i="1"/>
  <c r="Y40" i="1"/>
  <c r="Y41" i="1"/>
  <c r="Y43" i="1"/>
  <c r="Y15" i="1"/>
  <c r="Y16" i="1"/>
  <c r="Y17" i="1"/>
  <c r="Y18" i="1"/>
  <c r="Y19" i="1"/>
  <c r="P40" i="1"/>
  <c r="Q40" i="1" s="1"/>
  <c r="S162" i="1"/>
  <c r="S59" i="1"/>
  <c r="S137" i="1"/>
  <c r="S207" i="1"/>
  <c r="S178" i="1"/>
  <c r="S188" i="1"/>
  <c r="S126" i="1"/>
  <c r="S201" i="1"/>
  <c r="S204" i="1"/>
  <c r="S115" i="1"/>
  <c r="S30" i="1"/>
  <c r="S144" i="1"/>
  <c r="S171" i="1"/>
  <c r="S155" i="1"/>
  <c r="S109" i="1"/>
  <c r="S23" i="1"/>
  <c r="S37" i="1"/>
  <c r="S216" i="1"/>
  <c r="S121" i="1"/>
  <c r="S21" i="1"/>
  <c r="S24" i="1"/>
  <c r="S237" i="1"/>
  <c r="S209" i="1"/>
  <c r="S211" i="1"/>
  <c r="S173" i="1"/>
  <c r="S16" i="1"/>
  <c r="S218" i="1"/>
  <c r="S139" i="1"/>
  <c r="S205" i="1"/>
  <c r="S172" i="1"/>
  <c r="S26" i="1"/>
  <c r="S189" i="1"/>
  <c r="S60" i="1"/>
  <c r="S57" i="1"/>
  <c r="S114" i="1"/>
  <c r="S123" i="1"/>
  <c r="S223" i="1"/>
  <c r="S190" i="1"/>
  <c r="S200" i="1"/>
  <c r="S92" i="1"/>
  <c r="S125" i="1"/>
  <c r="S146" i="1"/>
  <c r="S104" i="1"/>
  <c r="S186" i="1"/>
  <c r="S74" i="1"/>
  <c r="S185" i="1"/>
  <c r="S84" i="1"/>
  <c r="S182" i="1"/>
  <c r="S231" i="1"/>
  <c r="S62" i="1"/>
  <c r="S153" i="1"/>
  <c r="S160" i="1"/>
  <c r="S31" i="1"/>
  <c r="S176" i="1"/>
  <c r="S184" i="1"/>
  <c r="S235" i="1"/>
  <c r="S28" i="1"/>
  <c r="S148" i="1"/>
  <c r="S66" i="1"/>
  <c r="S107" i="1"/>
  <c r="S64" i="1"/>
  <c r="S212" i="1"/>
  <c r="S41" i="1"/>
  <c r="S65" i="1"/>
  <c r="S166" i="1"/>
  <c r="S108" i="1"/>
  <c r="S82" i="1"/>
  <c r="S167" i="1"/>
  <c r="S69" i="1"/>
  <c r="S67" i="1"/>
  <c r="S163" i="1"/>
  <c r="S175" i="1"/>
  <c r="S97" i="1"/>
  <c r="S247" i="1"/>
  <c r="S179" i="1"/>
  <c r="S177" i="1"/>
  <c r="S36" i="1"/>
  <c r="S32" i="1"/>
  <c r="S157" i="1"/>
  <c r="S122" i="1"/>
  <c r="S117" i="1"/>
  <c r="S134" i="1"/>
  <c r="S214" i="1"/>
  <c r="S161" i="1"/>
  <c r="S222" i="1"/>
  <c r="S224" i="1"/>
  <c r="S39" i="1"/>
  <c r="S18" i="1"/>
  <c r="S73" i="1"/>
  <c r="S203" i="1"/>
  <c r="S226" i="1"/>
  <c r="S192" i="1"/>
  <c r="S151" i="1"/>
  <c r="S227" i="1"/>
  <c r="S102" i="1"/>
  <c r="S169" i="1"/>
  <c r="S233" i="1"/>
  <c r="S34" i="1"/>
  <c r="S228" i="1"/>
  <c r="S208" i="1"/>
  <c r="S221" i="1"/>
  <c r="S142" i="1"/>
  <c r="S77" i="1"/>
  <c r="S56" i="1"/>
  <c r="S119" i="1"/>
  <c r="S219" i="1"/>
  <c r="S213" i="1"/>
  <c r="S165" i="1"/>
  <c r="S35" i="1"/>
  <c r="S118" i="1"/>
  <c r="S181" i="1"/>
  <c r="S19" i="1"/>
  <c r="S79" i="1"/>
  <c r="S94" i="1"/>
  <c r="S71" i="1"/>
  <c r="S150" i="1"/>
  <c r="AF230" i="1" l="1"/>
  <c r="AG230" i="1" s="1"/>
  <c r="AF229" i="1"/>
  <c r="AG229" i="1" s="1"/>
  <c r="AF159" i="1"/>
  <c r="AG159" i="1" s="1"/>
  <c r="AF232" i="1"/>
  <c r="AG232" i="1" s="1"/>
  <c r="AF210" i="1"/>
  <c r="AH210" i="1" s="1"/>
  <c r="AF211" i="1" s="1"/>
  <c r="AF106" i="1"/>
  <c r="AG106" i="1" s="1"/>
  <c r="AF81" i="1"/>
  <c r="AH81" i="1" s="1"/>
  <c r="AF82" i="1" s="1"/>
  <c r="AF75" i="1"/>
  <c r="AH75" i="1" s="1"/>
  <c r="AF245" i="1"/>
  <c r="AG245" i="1" s="1"/>
  <c r="AF164" i="1"/>
  <c r="AG164" i="1" s="1"/>
  <c r="AF143" i="1"/>
  <c r="AG143" i="1" s="1"/>
  <c r="AF133" i="1"/>
  <c r="AG133" i="1" s="1"/>
  <c r="AF168" i="1"/>
  <c r="AG168" i="1" s="1"/>
  <c r="AF91" i="1"/>
  <c r="AG91" i="1" s="1"/>
  <c r="AF136" i="1"/>
  <c r="AG136" i="1" s="1"/>
  <c r="AF187" i="1"/>
  <c r="AH187" i="1" s="1"/>
  <c r="AF188" i="1" s="1"/>
  <c r="AF40" i="1"/>
  <c r="AG40" i="1" s="1"/>
  <c r="AF111" i="1"/>
  <c r="AG111" i="1" s="1"/>
  <c r="AF72" i="1"/>
  <c r="AG72" i="1" s="1"/>
  <c r="AF58" i="1"/>
  <c r="AH58" i="1" s="1"/>
  <c r="AF59" i="1" s="1"/>
  <c r="AF101" i="1"/>
  <c r="AG101" i="1" s="1"/>
  <c r="AF85" i="1"/>
  <c r="AH85" i="1" s="1"/>
  <c r="AF90" i="1"/>
  <c r="AH90" i="1" s="1"/>
  <c r="AF43" i="1"/>
  <c r="AG43" i="1" s="1"/>
  <c r="AF76" i="1"/>
  <c r="AG76" i="1" s="1"/>
  <c r="AF183" i="1"/>
  <c r="AG183" i="1" s="1"/>
  <c r="AF70" i="1"/>
  <c r="AG70" i="1" s="1"/>
  <c r="AF236" i="1"/>
  <c r="AG236" i="1" s="1"/>
  <c r="AF135" i="1"/>
  <c r="AG135" i="1" s="1"/>
  <c r="AF46" i="1"/>
  <c r="AH46" i="1" s="1"/>
  <c r="AF47" i="1" s="1"/>
  <c r="AF88" i="1"/>
  <c r="AH88" i="1" s="1"/>
  <c r="AF149" i="1"/>
  <c r="AG149" i="1" s="1"/>
  <c r="AF113" i="1"/>
  <c r="AG113" i="1" s="1"/>
  <c r="AF89" i="1"/>
  <c r="AH89" i="1" s="1"/>
  <c r="AF199" i="1"/>
  <c r="AG199" i="1" s="1"/>
  <c r="AF154" i="1"/>
  <c r="AH154" i="1" s="1"/>
  <c r="AF155" i="1" s="1"/>
  <c r="AF225" i="1"/>
  <c r="AF180" i="1"/>
  <c r="AF215" i="1"/>
  <c r="Q220" i="1"/>
  <c r="AF220" i="1" s="1"/>
  <c r="AF234" i="1"/>
  <c r="Q191" i="1"/>
  <c r="AF191" i="1" s="1"/>
  <c r="AF217" i="1"/>
  <c r="AF206" i="1"/>
  <c r="AF202" i="1"/>
  <c r="AF156" i="1"/>
  <c r="AF246" i="1"/>
  <c r="AF147" i="1"/>
  <c r="Q152" i="1"/>
  <c r="AF152" i="1" s="1"/>
  <c r="AF141" i="1"/>
  <c r="Q174" i="1"/>
  <c r="AF174" i="1" s="1"/>
  <c r="AF158" i="1"/>
  <c r="Q140" i="1"/>
  <c r="AF140" i="1" s="1"/>
  <c r="AF124" i="1"/>
  <c r="Q120" i="1"/>
  <c r="AF120" i="1" s="1"/>
  <c r="AF170" i="1"/>
  <c r="AF138" i="1"/>
  <c r="AF116" i="1"/>
  <c r="AF145" i="1"/>
  <c r="AF103" i="1"/>
  <c r="AF112" i="1"/>
  <c r="AF98" i="1"/>
  <c r="AF110" i="1"/>
  <c r="AF96" i="1"/>
  <c r="AF93" i="1"/>
  <c r="AF86" i="1"/>
  <c r="AF95" i="1"/>
  <c r="AF87" i="1"/>
  <c r="AF83" i="1"/>
  <c r="AF78" i="1"/>
  <c r="AF68" i="1"/>
  <c r="AF61" i="1"/>
  <c r="AF63" i="1"/>
  <c r="AF55" i="1"/>
  <c r="AF45" i="1"/>
  <c r="AF44"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230" i="1" l="1"/>
  <c r="AF231" i="1" s="1"/>
  <c r="AG231" i="1" s="1"/>
  <c r="AG210" i="1"/>
  <c r="AG75" i="1"/>
  <c r="AH106" i="1"/>
  <c r="AF107" i="1" s="1"/>
  <c r="AH107" i="1" s="1"/>
  <c r="AF108" i="1" s="1"/>
  <c r="AG81" i="1"/>
  <c r="AH159" i="1"/>
  <c r="AF160" i="1" s="1"/>
  <c r="AG160" i="1" s="1"/>
  <c r="AH229" i="1"/>
  <c r="AH232" i="1"/>
  <c r="AF233" i="1" s="1"/>
  <c r="AG233" i="1" s="1"/>
  <c r="AH199" i="1"/>
  <c r="AF200" i="1" s="1"/>
  <c r="AH200" i="1" s="1"/>
  <c r="AF201" i="1" s="1"/>
  <c r="AG154" i="1"/>
  <c r="AH70" i="1"/>
  <c r="AF71" i="1" s="1"/>
  <c r="AH71" i="1" s="1"/>
  <c r="AG187" i="1"/>
  <c r="AH168" i="1"/>
  <c r="AF169" i="1" s="1"/>
  <c r="AH169" i="1" s="1"/>
  <c r="AH133" i="1"/>
  <c r="AF134" i="1" s="1"/>
  <c r="AH134" i="1" s="1"/>
  <c r="AH113" i="1"/>
  <c r="AF114" i="1" s="1"/>
  <c r="AH114" i="1" s="1"/>
  <c r="AF115" i="1" s="1"/>
  <c r="AH91" i="1"/>
  <c r="AF92" i="1" s="1"/>
  <c r="AG92" i="1" s="1"/>
  <c r="AH76" i="1"/>
  <c r="AF77" i="1" s="1"/>
  <c r="AG77" i="1" s="1"/>
  <c r="AH72" i="1"/>
  <c r="AF73" i="1" s="1"/>
  <c r="AG73" i="1" s="1"/>
  <c r="AH136" i="1"/>
  <c r="AF137" i="1" s="1"/>
  <c r="AH137" i="1" s="1"/>
  <c r="AG90" i="1"/>
  <c r="AH143" i="1"/>
  <c r="AF144" i="1" s="1"/>
  <c r="AG144" i="1" s="1"/>
  <c r="AH245" i="1"/>
  <c r="AH164" i="1"/>
  <c r="AF165" i="1" s="1"/>
  <c r="AG165" i="1" s="1"/>
  <c r="AH236" i="1"/>
  <c r="AF237" i="1" s="1"/>
  <c r="AH237" i="1" s="1"/>
  <c r="AG85" i="1"/>
  <c r="AH135" i="1"/>
  <c r="AG89" i="1"/>
  <c r="AH40" i="1"/>
  <c r="AF41" i="1" s="1"/>
  <c r="AG41" i="1" s="1"/>
  <c r="AH111" i="1"/>
  <c r="AH43" i="1"/>
  <c r="AG46" i="1"/>
  <c r="AG88" i="1"/>
  <c r="AG58" i="1"/>
  <c r="AH101" i="1"/>
  <c r="AF102" i="1" s="1"/>
  <c r="AG102" i="1" s="1"/>
  <c r="AH149" i="1"/>
  <c r="AF150" i="1" s="1"/>
  <c r="AG150" i="1" s="1"/>
  <c r="AH183" i="1"/>
  <c r="AF184" i="1" s="1"/>
  <c r="AG184" i="1" s="1"/>
  <c r="AG234" i="1"/>
  <c r="AH234" i="1"/>
  <c r="AF235" i="1" s="1"/>
  <c r="AG211" i="1"/>
  <c r="AH211" i="1"/>
  <c r="AF212" i="1" s="1"/>
  <c r="AH170" i="1"/>
  <c r="AF171" i="1" s="1"/>
  <c r="AG170" i="1"/>
  <c r="AG206" i="1"/>
  <c r="AH206" i="1"/>
  <c r="AF207" i="1" s="1"/>
  <c r="AG180" i="1"/>
  <c r="AH180" i="1"/>
  <c r="AF181" i="1" s="1"/>
  <c r="AG141" i="1"/>
  <c r="AH141" i="1"/>
  <c r="AF142" i="1" s="1"/>
  <c r="AG217" i="1"/>
  <c r="AH217" i="1"/>
  <c r="AF218" i="1" s="1"/>
  <c r="AG116" i="1"/>
  <c r="AH116" i="1"/>
  <c r="AF117" i="1" s="1"/>
  <c r="AG147" i="1"/>
  <c r="AH147" i="1"/>
  <c r="AF148" i="1" s="1"/>
  <c r="AG246" i="1"/>
  <c r="AH246" i="1"/>
  <c r="AF247" i="1" s="1"/>
  <c r="AH215" i="1"/>
  <c r="AF216" i="1" s="1"/>
  <c r="AG215" i="1"/>
  <c r="AG140" i="1"/>
  <c r="AH140" i="1"/>
  <c r="AG188" i="1"/>
  <c r="AH188" i="1"/>
  <c r="AF189" i="1" s="1"/>
  <c r="AH158" i="1"/>
  <c r="AG158" i="1"/>
  <c r="AG155" i="1"/>
  <c r="AH155" i="1"/>
  <c r="AG156" i="1"/>
  <c r="AH156" i="1"/>
  <c r="AF157" i="1" s="1"/>
  <c r="AG152" i="1"/>
  <c r="AH152" i="1"/>
  <c r="AF153" i="1" s="1"/>
  <c r="AG191" i="1"/>
  <c r="AH191" i="1"/>
  <c r="AF192" i="1" s="1"/>
  <c r="AH225" i="1"/>
  <c r="AF226" i="1" s="1"/>
  <c r="AG225" i="1"/>
  <c r="AG120" i="1"/>
  <c r="AH120" i="1"/>
  <c r="AF121" i="1" s="1"/>
  <c r="AH174" i="1"/>
  <c r="AF175" i="1" s="1"/>
  <c r="AG174" i="1"/>
  <c r="AG220" i="1"/>
  <c r="AH220" i="1"/>
  <c r="AF221" i="1" s="1"/>
  <c r="AG138" i="1"/>
  <c r="AH138" i="1"/>
  <c r="AF139" i="1" s="1"/>
  <c r="AH124" i="1"/>
  <c r="AF125" i="1" s="1"/>
  <c r="AG124" i="1"/>
  <c r="AG145" i="1"/>
  <c r="AH145" i="1"/>
  <c r="AF146" i="1" s="1"/>
  <c r="AG202" i="1"/>
  <c r="AH202" i="1"/>
  <c r="AF203" i="1" s="1"/>
  <c r="AG98" i="1"/>
  <c r="AH98" i="1"/>
  <c r="AF99" i="1" s="1"/>
  <c r="AG112" i="1"/>
  <c r="AH112" i="1"/>
  <c r="AG110" i="1"/>
  <c r="AH110" i="1"/>
  <c r="AH103" i="1"/>
  <c r="AF104" i="1" s="1"/>
  <c r="AG103" i="1"/>
  <c r="AG87" i="1"/>
  <c r="AH87" i="1"/>
  <c r="AF80" i="1" s="1"/>
  <c r="AG93" i="1"/>
  <c r="AH93" i="1"/>
  <c r="AF94" i="1" s="1"/>
  <c r="AG95" i="1"/>
  <c r="AH95" i="1"/>
  <c r="AG96" i="1"/>
  <c r="AH96" i="1"/>
  <c r="AF97" i="1" s="1"/>
  <c r="AG86" i="1"/>
  <c r="AH86" i="1"/>
  <c r="AG78" i="1"/>
  <c r="AH78" i="1"/>
  <c r="AF79" i="1" s="1"/>
  <c r="AG82" i="1"/>
  <c r="AH82" i="1"/>
  <c r="AH83" i="1"/>
  <c r="AF84" i="1" s="1"/>
  <c r="AG83" i="1"/>
  <c r="AG61" i="1"/>
  <c r="AH61" i="1"/>
  <c r="AF62" i="1" s="1"/>
  <c r="AH68" i="1"/>
  <c r="AF69" i="1" s="1"/>
  <c r="AG68" i="1"/>
  <c r="AG63" i="1"/>
  <c r="AH63" i="1"/>
  <c r="AF64" i="1" s="1"/>
  <c r="AG47" i="1"/>
  <c r="AH47" i="1"/>
  <c r="AF48" i="1" s="1"/>
  <c r="AG45" i="1"/>
  <c r="AH45" i="1"/>
  <c r="AG59" i="1"/>
  <c r="AH59" i="1"/>
  <c r="AF60" i="1" s="1"/>
  <c r="AH55" i="1"/>
  <c r="AF56" i="1" s="1"/>
  <c r="AG55" i="1"/>
  <c r="AG44" i="1"/>
  <c r="AH44" i="1"/>
  <c r="AH231" i="1" l="1"/>
  <c r="AH160" i="1"/>
  <c r="AF161" i="1" s="1"/>
  <c r="AG161" i="1" s="1"/>
  <c r="AG107" i="1"/>
  <c r="AH233" i="1"/>
  <c r="AG200" i="1"/>
  <c r="AG137" i="1"/>
  <c r="AH73" i="1"/>
  <c r="AF74" i="1" s="1"/>
  <c r="AH74" i="1" s="1"/>
  <c r="AG71" i="1"/>
  <c r="AG237" i="1"/>
  <c r="AG169" i="1"/>
  <c r="AH165" i="1"/>
  <c r="AF166" i="1" s="1"/>
  <c r="AG166" i="1" s="1"/>
  <c r="AG134" i="1"/>
  <c r="AG114" i="1"/>
  <c r="AH92" i="1"/>
  <c r="AH77" i="1"/>
  <c r="AH41" i="1"/>
  <c r="AH144" i="1"/>
  <c r="AH102" i="1"/>
  <c r="AH184" i="1"/>
  <c r="AF185" i="1" s="1"/>
  <c r="AG185" i="1" s="1"/>
  <c r="AH150" i="1"/>
  <c r="AF151" i="1" s="1"/>
  <c r="AH151" i="1" s="1"/>
  <c r="AG157" i="1"/>
  <c r="AH157" i="1"/>
  <c r="AG207" i="1"/>
  <c r="AH207" i="1"/>
  <c r="AF208" i="1" s="1"/>
  <c r="AG121" i="1"/>
  <c r="AH121" i="1"/>
  <c r="AF122" i="1" s="1"/>
  <c r="AG153" i="1"/>
  <c r="AH153" i="1"/>
  <c r="AH189" i="1"/>
  <c r="AF190" i="1" s="1"/>
  <c r="AG189" i="1"/>
  <c r="AG218" i="1"/>
  <c r="AH218" i="1"/>
  <c r="AF219" i="1" s="1"/>
  <c r="AG212" i="1"/>
  <c r="AH212" i="1"/>
  <c r="AF213" i="1" s="1"/>
  <c r="AG235" i="1"/>
  <c r="AH235" i="1"/>
  <c r="AG125" i="1"/>
  <c r="AH125" i="1"/>
  <c r="AF126" i="1" s="1"/>
  <c r="AG247" i="1"/>
  <c r="AH247" i="1"/>
  <c r="AH203" i="1"/>
  <c r="AF204" i="1" s="1"/>
  <c r="AG203" i="1"/>
  <c r="AH175" i="1"/>
  <c r="AF176" i="1" s="1"/>
  <c r="AG175" i="1"/>
  <c r="AG226" i="1"/>
  <c r="AH226" i="1"/>
  <c r="AF227" i="1" s="1"/>
  <c r="AG221" i="1"/>
  <c r="AH221" i="1"/>
  <c r="AF222" i="1" s="1"/>
  <c r="AG148" i="1"/>
  <c r="AH148" i="1"/>
  <c r="AG146" i="1"/>
  <c r="AH146" i="1"/>
  <c r="AG139" i="1"/>
  <c r="AH139" i="1"/>
  <c r="AH192" i="1"/>
  <c r="AG192" i="1"/>
  <c r="AG216" i="1"/>
  <c r="AH216" i="1"/>
  <c r="AG142" i="1"/>
  <c r="AH142" i="1"/>
  <c r="AG181" i="1"/>
  <c r="AH181" i="1"/>
  <c r="AF182" i="1" s="1"/>
  <c r="AH201" i="1"/>
  <c r="AG201" i="1"/>
  <c r="AG117" i="1"/>
  <c r="AH117" i="1"/>
  <c r="AF118" i="1" s="1"/>
  <c r="AH171" i="1"/>
  <c r="AF172" i="1" s="1"/>
  <c r="AG171" i="1"/>
  <c r="AG104" i="1"/>
  <c r="AH104" i="1"/>
  <c r="AG99" i="1"/>
  <c r="AH99" i="1"/>
  <c r="AF100" i="1" s="1"/>
  <c r="AG115" i="1"/>
  <c r="AH115" i="1"/>
  <c r="AG108" i="1"/>
  <c r="AH108" i="1"/>
  <c r="AF109" i="1" s="1"/>
  <c r="AG94" i="1"/>
  <c r="AH94" i="1"/>
  <c r="AH80" i="1"/>
  <c r="AG80" i="1"/>
  <c r="AH97" i="1"/>
  <c r="AG97" i="1"/>
  <c r="AG84" i="1"/>
  <c r="AH84" i="1"/>
  <c r="AG79" i="1"/>
  <c r="AH79" i="1"/>
  <c r="AG69" i="1"/>
  <c r="AH69" i="1"/>
  <c r="AG64" i="1"/>
  <c r="AH64" i="1"/>
  <c r="AF65" i="1" s="1"/>
  <c r="AG62" i="1"/>
  <c r="AH62" i="1"/>
  <c r="AG60" i="1"/>
  <c r="AH60" i="1"/>
  <c r="AG48" i="1"/>
  <c r="AH48" i="1"/>
  <c r="AF49" i="1" s="1"/>
  <c r="AH56" i="1"/>
  <c r="AF57" i="1" s="1"/>
  <c r="AG56" i="1"/>
  <c r="AG100" i="1" l="1"/>
  <c r="AH100" i="1"/>
  <c r="AH161" i="1"/>
  <c r="AF162" i="1" s="1"/>
  <c r="AH162" i="1" s="1"/>
  <c r="AF163" i="1" s="1"/>
  <c r="AG74" i="1"/>
  <c r="AH166" i="1"/>
  <c r="AF167" i="1" s="1"/>
  <c r="AG167" i="1" s="1"/>
  <c r="AG151" i="1"/>
  <c r="AH185" i="1"/>
  <c r="AF186" i="1" s="1"/>
  <c r="AG186" i="1" s="1"/>
  <c r="AG190" i="1"/>
  <c r="AH190" i="1"/>
  <c r="AG227" i="1"/>
  <c r="AH227" i="1"/>
  <c r="AF228" i="1" s="1"/>
  <c r="AG122" i="1"/>
  <c r="AH122" i="1"/>
  <c r="AF123" i="1" s="1"/>
  <c r="AG126" i="1"/>
  <c r="AH126" i="1"/>
  <c r="AG222" i="1"/>
  <c r="AH222" i="1"/>
  <c r="AF223" i="1" s="1"/>
  <c r="AG176" i="1"/>
  <c r="AH176" i="1"/>
  <c r="AF177" i="1" s="1"/>
  <c r="AG172" i="1"/>
  <c r="AH172" i="1"/>
  <c r="AF173" i="1" s="1"/>
  <c r="AG118" i="1"/>
  <c r="AH118" i="1"/>
  <c r="AF119" i="1" s="1"/>
  <c r="AG208" i="1"/>
  <c r="AH208" i="1"/>
  <c r="AF209" i="1" s="1"/>
  <c r="AG204" i="1"/>
  <c r="AH204" i="1"/>
  <c r="AF205" i="1" s="1"/>
  <c r="AG182" i="1"/>
  <c r="AH182" i="1"/>
  <c r="AH213" i="1"/>
  <c r="AF214" i="1" s="1"/>
  <c r="AG213" i="1"/>
  <c r="AG219" i="1"/>
  <c r="AH219" i="1"/>
  <c r="AG109" i="1"/>
  <c r="AH109" i="1"/>
  <c r="AG65" i="1"/>
  <c r="AH65" i="1"/>
  <c r="AF66" i="1" s="1"/>
  <c r="AG57" i="1"/>
  <c r="AH57" i="1"/>
  <c r="AH49" i="1"/>
  <c r="AF50" i="1" s="1"/>
  <c r="AG49" i="1"/>
  <c r="AG162" i="1" l="1"/>
  <c r="AH186" i="1"/>
  <c r="AH167" i="1"/>
  <c r="AG228" i="1"/>
  <c r="AH228" i="1"/>
  <c r="AG214" i="1"/>
  <c r="AH214" i="1"/>
  <c r="AG163" i="1"/>
  <c r="AH163" i="1"/>
  <c r="AH173" i="1"/>
  <c r="AG173" i="1"/>
  <c r="AG119" i="1"/>
  <c r="AH119" i="1"/>
  <c r="AH205" i="1"/>
  <c r="AG205" i="1"/>
  <c r="AH123" i="1"/>
  <c r="AG123" i="1"/>
  <c r="AG209" i="1"/>
  <c r="AH209" i="1"/>
  <c r="AG177" i="1"/>
  <c r="AH177" i="1"/>
  <c r="AF178" i="1" s="1"/>
  <c r="AH223" i="1"/>
  <c r="AF224" i="1" s="1"/>
  <c r="AG223" i="1"/>
  <c r="AH66" i="1"/>
  <c r="AF67" i="1" s="1"/>
  <c r="AG66" i="1"/>
  <c r="AG50" i="1"/>
  <c r="AH50" i="1"/>
  <c r="AF51" i="1" s="1"/>
  <c r="F15" i="24"/>
  <c r="AG178" i="1" l="1"/>
  <c r="AH178" i="1"/>
  <c r="AF179" i="1" s="1"/>
  <c r="AG224" i="1"/>
  <c r="AH224" i="1"/>
  <c r="AG67" i="1"/>
  <c r="AH67" i="1"/>
  <c r="AG51" i="1"/>
  <c r="AH51" i="1"/>
  <c r="AF52" i="1" s="1"/>
  <c r="F12" i="24"/>
  <c r="AH52" i="1" l="1"/>
  <c r="AF53" i="1" s="1"/>
  <c r="AG52" i="1"/>
  <c r="AK52" i="1" s="1"/>
  <c r="AG179" i="1"/>
  <c r="AH179"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53" i="1" l="1"/>
  <c r="AF54" i="1" s="1"/>
  <c r="AG53" i="1"/>
  <c r="AK53"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54" i="1" l="1"/>
  <c r="AG54" i="1"/>
  <c r="AK54"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38" i="1"/>
  <c r="Q38" i="1" s="1"/>
  <c r="AF38" i="1" s="1"/>
  <c r="P33" i="1"/>
  <c r="Q33" i="1" s="1"/>
  <c r="AF33" i="1" s="1"/>
  <c r="P29" i="1"/>
  <c r="Q29" i="1" s="1"/>
  <c r="AF29" i="1" s="1"/>
  <c r="P27" i="1"/>
  <c r="Q27" i="1" s="1"/>
  <c r="AF27" i="1" s="1"/>
  <c r="P25" i="1"/>
  <c r="Q25" i="1" s="1"/>
  <c r="AF25" i="1" s="1"/>
  <c r="P22" i="1"/>
  <c r="Q22" i="1" s="1"/>
  <c r="AF22" i="1" s="1"/>
  <c r="P20" i="1"/>
  <c r="Q20" i="1" s="1"/>
  <c r="AF20" i="1" s="1"/>
  <c r="P17" i="1"/>
  <c r="Q17" i="1" s="1"/>
  <c r="AF17" i="1" s="1"/>
  <c r="P15" i="1"/>
  <c r="Q15" i="1" s="1"/>
  <c r="AF15" i="1" s="1"/>
  <c r="H210" i="13"/>
  <c r="B221" i="13" a="1"/>
  <c r="AG38" i="1" l="1"/>
  <c r="AH38" i="1"/>
  <c r="AF39" i="1" s="1"/>
  <c r="AG33" i="1"/>
  <c r="AH33" i="1"/>
  <c r="AF34" i="1" s="1"/>
  <c r="AG22" i="1"/>
  <c r="AH22" i="1"/>
  <c r="AF23" i="1" s="1"/>
  <c r="AG29" i="1"/>
  <c r="AH29" i="1"/>
  <c r="AF30" i="1" s="1"/>
  <c r="AG27" i="1"/>
  <c r="AH27" i="1"/>
  <c r="AF28" i="1" s="1"/>
  <c r="AG15" i="1"/>
  <c r="AH15" i="1"/>
  <c r="AF16" i="1" s="1"/>
  <c r="AG25" i="1"/>
  <c r="AH25" i="1"/>
  <c r="AF26" i="1" s="1"/>
  <c r="AG17" i="1"/>
  <c r="AH17" i="1"/>
  <c r="AF18" i="1" s="1"/>
  <c r="AH20" i="1"/>
  <c r="AF21" i="1" s="1"/>
  <c r="AG20" i="1"/>
  <c r="B221" i="13"/>
  <c r="S105" i="1" s="1"/>
  <c r="T105" i="1" s="1"/>
  <c r="B223" i="13"/>
  <c r="B222" i="13"/>
  <c r="U105" i="1" l="1"/>
  <c r="V105" i="1"/>
  <c r="S42" i="1"/>
  <c r="T42" i="1" s="1"/>
  <c r="U42" i="1" s="1"/>
  <c r="AJ42" i="1" s="1"/>
  <c r="AI42" i="1" s="1"/>
  <c r="AK42" i="1" s="1"/>
  <c r="S80" i="1"/>
  <c r="T80" i="1" s="1"/>
  <c r="V80" i="1" s="1"/>
  <c r="S131" i="1"/>
  <c r="T131" i="1" s="1"/>
  <c r="U131" i="1" s="1"/>
  <c r="AJ131" i="1" s="1"/>
  <c r="S242" i="1"/>
  <c r="T242" i="1" s="1"/>
  <c r="V242" i="1" s="1"/>
  <c r="S238" i="1"/>
  <c r="T238" i="1" s="1"/>
  <c r="U238" i="1" s="1"/>
  <c r="AJ238" i="1" s="1"/>
  <c r="AI238" i="1" s="1"/>
  <c r="AK238" i="1" s="1"/>
  <c r="S239" i="1"/>
  <c r="T239" i="1" s="1"/>
  <c r="S193" i="1"/>
  <c r="T193" i="1" s="1"/>
  <c r="U193" i="1" s="1"/>
  <c r="AJ193" i="1" s="1"/>
  <c r="S196" i="1"/>
  <c r="T196" i="1" s="1"/>
  <c r="S127" i="1"/>
  <c r="T127" i="1" s="1"/>
  <c r="U127" i="1" s="1"/>
  <c r="AJ127" i="1" s="1"/>
  <c r="S128" i="1"/>
  <c r="T128" i="1" s="1"/>
  <c r="S249" i="1"/>
  <c r="T249" i="1" s="1"/>
  <c r="S248" i="1"/>
  <c r="T248" i="1" s="1"/>
  <c r="U248" i="1" s="1"/>
  <c r="AJ248" i="1" s="1"/>
  <c r="S13" i="1"/>
  <c r="T13" i="1" s="1"/>
  <c r="U13" i="1" s="1"/>
  <c r="AJ13" i="1" s="1"/>
  <c r="S15" i="1"/>
  <c r="T15" i="1" s="1"/>
  <c r="S61" i="1"/>
  <c r="T61" i="1" s="1"/>
  <c r="S91" i="1"/>
  <c r="T91" i="1" s="1"/>
  <c r="S133" i="1"/>
  <c r="T133" i="1" s="1"/>
  <c r="S159" i="1"/>
  <c r="T159" i="1" s="1"/>
  <c r="S225" i="1"/>
  <c r="T225" i="1" s="1"/>
  <c r="S199" i="1"/>
  <c r="T199" i="1" s="1"/>
  <c r="S40" i="1"/>
  <c r="T40" i="1" s="1"/>
  <c r="S83" i="1"/>
  <c r="T83" i="1" s="1"/>
  <c r="S110" i="1"/>
  <c r="T110" i="1" s="1"/>
  <c r="S149" i="1"/>
  <c r="T149" i="1" s="1"/>
  <c r="S234" i="1"/>
  <c r="T234" i="1" s="1"/>
  <c r="S20" i="1"/>
  <c r="T20" i="1" s="1"/>
  <c r="S68" i="1"/>
  <c r="T68" i="1" s="1"/>
  <c r="S95" i="1"/>
  <c r="T95" i="1" s="1"/>
  <c r="S136" i="1"/>
  <c r="T136" i="1" s="1"/>
  <c r="S168" i="1"/>
  <c r="T168" i="1" s="1"/>
  <c r="S230" i="1"/>
  <c r="T230" i="1" s="1"/>
  <c r="S154" i="1"/>
  <c r="T154" i="1" s="1"/>
  <c r="S174" i="1"/>
  <c r="T174" i="1" s="1"/>
  <c r="S245" i="1"/>
  <c r="T245" i="1" s="1"/>
  <c r="S44" i="1"/>
  <c r="T44" i="1" s="1"/>
  <c r="S86" i="1"/>
  <c r="T86" i="1" s="1"/>
  <c r="S112" i="1"/>
  <c r="T112" i="1" s="1"/>
  <c r="S206" i="1"/>
  <c r="T206" i="1" s="1"/>
  <c r="S25" i="1"/>
  <c r="T25" i="1" s="1"/>
  <c r="S72" i="1"/>
  <c r="T72" i="1" s="1"/>
  <c r="S96" i="1"/>
  <c r="T96" i="1" s="1"/>
  <c r="S140" i="1"/>
  <c r="T140" i="1" s="1"/>
  <c r="S46" i="1"/>
  <c r="T46" i="1" s="1"/>
  <c r="S88" i="1"/>
  <c r="T88" i="1" s="1"/>
  <c r="S116" i="1"/>
  <c r="T116" i="1" s="1"/>
  <c r="S215" i="1"/>
  <c r="T215" i="1" s="1"/>
  <c r="S29" i="1"/>
  <c r="T29" i="1" s="1"/>
  <c r="S76" i="1"/>
  <c r="T76" i="1" s="1"/>
  <c r="S101" i="1"/>
  <c r="T101" i="1" s="1"/>
  <c r="S143" i="1"/>
  <c r="T143" i="1" s="1"/>
  <c r="S183" i="1"/>
  <c r="T183" i="1" s="1"/>
  <c r="S58" i="1"/>
  <c r="T58" i="1" s="1"/>
  <c r="S90" i="1"/>
  <c r="T90" i="1" s="1"/>
  <c r="S124" i="1"/>
  <c r="T124" i="1" s="1"/>
  <c r="S158" i="1"/>
  <c r="T158" i="1" s="1"/>
  <c r="S220" i="1"/>
  <c r="T220" i="1" s="1"/>
  <c r="S229" i="1"/>
  <c r="T229" i="1" s="1"/>
  <c r="S187" i="1"/>
  <c r="T187" i="1" s="1"/>
  <c r="S38" i="1"/>
  <c r="T38" i="1" s="1"/>
  <c r="S81" i="1"/>
  <c r="T81" i="1" s="1"/>
  <c r="S106" i="1"/>
  <c r="T106" i="1" s="1"/>
  <c r="S147" i="1"/>
  <c r="T147" i="1" s="1"/>
  <c r="S191" i="1"/>
  <c r="T191" i="1" s="1"/>
  <c r="S246" i="1"/>
  <c r="T246" i="1" s="1"/>
  <c r="S17" i="1"/>
  <c r="T17" i="1" s="1"/>
  <c r="S63" i="1"/>
  <c r="T63" i="1" s="1"/>
  <c r="S93" i="1"/>
  <c r="T93" i="1" s="1"/>
  <c r="S135" i="1"/>
  <c r="T135" i="1" s="1"/>
  <c r="S164" i="1"/>
  <c r="T164" i="1" s="1"/>
  <c r="S43" i="1"/>
  <c r="T43" i="1" s="1"/>
  <c r="S85" i="1"/>
  <c r="T85" i="1" s="1"/>
  <c r="S111" i="1"/>
  <c r="T111" i="1" s="1"/>
  <c r="S152" i="1"/>
  <c r="T152" i="1" s="1"/>
  <c r="S202" i="1"/>
  <c r="T202" i="1" s="1"/>
  <c r="S103" i="1"/>
  <c r="T103" i="1" s="1"/>
  <c r="S22" i="1"/>
  <c r="T22" i="1" s="1"/>
  <c r="S70" i="1"/>
  <c r="T70" i="1" s="1"/>
  <c r="S138" i="1"/>
  <c r="T138" i="1" s="1"/>
  <c r="S170" i="1"/>
  <c r="T170" i="1" s="1"/>
  <c r="S232" i="1"/>
  <c r="T232" i="1" s="1"/>
  <c r="S145" i="1"/>
  <c r="T145" i="1" s="1"/>
  <c r="S45" i="1"/>
  <c r="T45" i="1" s="1"/>
  <c r="S87" i="1"/>
  <c r="T87" i="1" s="1"/>
  <c r="S113" i="1"/>
  <c r="T113" i="1" s="1"/>
  <c r="S156" i="1"/>
  <c r="T156" i="1" s="1"/>
  <c r="S210" i="1"/>
  <c r="T210" i="1" s="1"/>
  <c r="S27" i="1"/>
  <c r="T27" i="1" s="1"/>
  <c r="S75" i="1"/>
  <c r="T75" i="1" s="1"/>
  <c r="S98" i="1"/>
  <c r="T98" i="1" s="1"/>
  <c r="S141" i="1"/>
  <c r="T141" i="1" s="1"/>
  <c r="S180" i="1"/>
  <c r="T180" i="1" s="1"/>
  <c r="S236" i="1"/>
  <c r="T236" i="1" s="1"/>
  <c r="S217" i="1"/>
  <c r="T217" i="1" s="1"/>
  <c r="S33" i="1"/>
  <c r="T33" i="1" s="1"/>
  <c r="S55" i="1"/>
  <c r="T55" i="1" s="1"/>
  <c r="S89" i="1"/>
  <c r="T89" i="1" s="1"/>
  <c r="S120" i="1"/>
  <c r="T120" i="1" s="1"/>
  <c r="S78" i="1"/>
  <c r="T78" i="1" s="1"/>
  <c r="AG18" i="1"/>
  <c r="AH18" i="1"/>
  <c r="AF19" i="1" s="1"/>
  <c r="AG34" i="1"/>
  <c r="AH34" i="1"/>
  <c r="AF35" i="1" s="1"/>
  <c r="AG26" i="1"/>
  <c r="AH26" i="1"/>
  <c r="AH21" i="1"/>
  <c r="AG21" i="1"/>
  <c r="AG30" i="1"/>
  <c r="AH30" i="1"/>
  <c r="AF31" i="1" s="1"/>
  <c r="AH39" i="1"/>
  <c r="AG39" i="1"/>
  <c r="AG28" i="1"/>
  <c r="AH28" i="1"/>
  <c r="AG16" i="1"/>
  <c r="AH16" i="1"/>
  <c r="AG23" i="1"/>
  <c r="AH23" i="1"/>
  <c r="AF24" i="1" s="1"/>
  <c r="V42" i="1" l="1"/>
  <c r="U80" i="1"/>
  <c r="V131" i="1"/>
  <c r="AI131" i="1"/>
  <c r="AK131" i="1" s="1"/>
  <c r="AJ132" i="1"/>
  <c r="AI132" i="1" s="1"/>
  <c r="AK132" i="1" s="1"/>
  <c r="U242" i="1"/>
  <c r="AJ242" i="1" s="1"/>
  <c r="AI242" i="1" s="1"/>
  <c r="AK242" i="1" s="1"/>
  <c r="V238" i="1"/>
  <c r="V239" i="1"/>
  <c r="U239" i="1"/>
  <c r="AJ239" i="1" s="1"/>
  <c r="AI193" i="1"/>
  <c r="AK193" i="1" s="1"/>
  <c r="AJ194" i="1"/>
  <c r="AI248" i="1"/>
  <c r="AK248" i="1" s="1"/>
  <c r="AI127" i="1"/>
  <c r="AK127" i="1" s="1"/>
  <c r="V193" i="1"/>
  <c r="U196" i="1"/>
  <c r="AJ196" i="1" s="1"/>
  <c r="V196" i="1"/>
  <c r="V127" i="1"/>
  <c r="U128" i="1"/>
  <c r="AJ128" i="1" s="1"/>
  <c r="V128" i="1"/>
  <c r="U249" i="1"/>
  <c r="AJ249" i="1" s="1"/>
  <c r="V249" i="1"/>
  <c r="V248" i="1"/>
  <c r="V13" i="1"/>
  <c r="AI13" i="1"/>
  <c r="AK13" i="1" s="1"/>
  <c r="AJ14" i="1"/>
  <c r="U22" i="1"/>
  <c r="AJ22" i="1" s="1"/>
  <c r="V22" i="1"/>
  <c r="U136" i="1"/>
  <c r="AJ136" i="1" s="1"/>
  <c r="V136" i="1"/>
  <c r="V98" i="1"/>
  <c r="U98" i="1"/>
  <c r="AJ98" i="1" s="1"/>
  <c r="U202" i="1"/>
  <c r="AJ202" i="1" s="1"/>
  <c r="V202" i="1"/>
  <c r="U187" i="1"/>
  <c r="AJ187" i="1" s="1"/>
  <c r="V187" i="1"/>
  <c r="U88" i="1"/>
  <c r="AJ88" i="1" s="1"/>
  <c r="V88" i="1"/>
  <c r="U95" i="1"/>
  <c r="AJ95" i="1" s="1"/>
  <c r="V95" i="1"/>
  <c r="V75" i="1"/>
  <c r="U75" i="1"/>
  <c r="AJ75" i="1" s="1"/>
  <c r="U152" i="1"/>
  <c r="AJ152" i="1" s="1"/>
  <c r="V152" i="1"/>
  <c r="U229" i="1"/>
  <c r="AJ229" i="1" s="1"/>
  <c r="V229" i="1"/>
  <c r="U46" i="1"/>
  <c r="AJ46" i="1" s="1"/>
  <c r="V46" i="1"/>
  <c r="U68" i="1"/>
  <c r="AJ68" i="1" s="1"/>
  <c r="V68" i="1"/>
  <c r="V141" i="1"/>
  <c r="U141" i="1"/>
  <c r="AJ141" i="1" s="1"/>
  <c r="U111" i="1"/>
  <c r="AJ111" i="1" s="1"/>
  <c r="V111" i="1"/>
  <c r="U220" i="1"/>
  <c r="AJ220" i="1" s="1"/>
  <c r="V220" i="1"/>
  <c r="U140" i="1"/>
  <c r="AJ140" i="1" s="1"/>
  <c r="V140" i="1"/>
  <c r="U20" i="1"/>
  <c r="AJ20" i="1" s="1"/>
  <c r="V20" i="1"/>
  <c r="V138" i="1"/>
  <c r="U138" i="1"/>
  <c r="AJ138" i="1" s="1"/>
  <c r="U158" i="1"/>
  <c r="AJ158" i="1" s="1"/>
  <c r="V158" i="1"/>
  <c r="U96" i="1"/>
  <c r="AJ96" i="1" s="1"/>
  <c r="V96" i="1"/>
  <c r="U234" i="1"/>
  <c r="AJ234" i="1" s="1"/>
  <c r="V234" i="1"/>
  <c r="U33" i="1"/>
  <c r="AJ33" i="1" s="1"/>
  <c r="V33" i="1"/>
  <c r="U116" i="1"/>
  <c r="AJ116" i="1" s="1"/>
  <c r="V116" i="1"/>
  <c r="U43" i="1"/>
  <c r="AJ43" i="1" s="1"/>
  <c r="V43" i="1"/>
  <c r="U124" i="1"/>
  <c r="AJ124" i="1" s="1"/>
  <c r="V124" i="1"/>
  <c r="U72" i="1"/>
  <c r="AJ72" i="1" s="1"/>
  <c r="V72" i="1"/>
  <c r="V149" i="1"/>
  <c r="U149" i="1"/>
  <c r="AJ149" i="1" s="1"/>
  <c r="U38" i="1"/>
  <c r="AJ38" i="1" s="1"/>
  <c r="V38" i="1"/>
  <c r="V113" i="1"/>
  <c r="U113" i="1"/>
  <c r="AJ113" i="1" s="1"/>
  <c r="U164" i="1"/>
  <c r="AJ164" i="1" s="1"/>
  <c r="V164" i="1"/>
  <c r="U90" i="1"/>
  <c r="AJ90" i="1" s="1"/>
  <c r="V90" i="1"/>
  <c r="U25" i="1"/>
  <c r="AJ25" i="1" s="1"/>
  <c r="V25" i="1"/>
  <c r="U110" i="1"/>
  <c r="AJ110" i="1" s="1"/>
  <c r="V110" i="1"/>
  <c r="U217" i="1"/>
  <c r="AJ217" i="1" s="1"/>
  <c r="V217" i="1"/>
  <c r="U210" i="1"/>
  <c r="AJ210" i="1" s="1"/>
  <c r="V210" i="1"/>
  <c r="V87" i="1"/>
  <c r="U87" i="1"/>
  <c r="AJ87" i="1" s="1"/>
  <c r="U58" i="1"/>
  <c r="AJ58" i="1" s="1"/>
  <c r="V58" i="1"/>
  <c r="U83" i="1"/>
  <c r="AJ83" i="1" s="1"/>
  <c r="V83" i="1"/>
  <c r="V27" i="1"/>
  <c r="U27" i="1"/>
  <c r="AJ27" i="1" s="1"/>
  <c r="U78" i="1"/>
  <c r="AJ78" i="1" s="1"/>
  <c r="V78" i="1"/>
  <c r="U135" i="1"/>
  <c r="AJ135" i="1" s="1"/>
  <c r="V135" i="1"/>
  <c r="U206" i="1"/>
  <c r="AJ206" i="1" s="1"/>
  <c r="V206" i="1"/>
  <c r="V45" i="1"/>
  <c r="U45" i="1"/>
  <c r="AJ45" i="1" s="1"/>
  <c r="U93" i="1"/>
  <c r="AJ93" i="1" s="1"/>
  <c r="V93" i="1"/>
  <c r="U112" i="1"/>
  <c r="AJ112" i="1" s="1"/>
  <c r="V112" i="1"/>
  <c r="U40" i="1"/>
  <c r="AJ40" i="1" s="1"/>
  <c r="V40" i="1"/>
  <c r="V180" i="1"/>
  <c r="U180" i="1"/>
  <c r="AJ180" i="1" s="1"/>
  <c r="U85" i="1"/>
  <c r="AJ85" i="1" s="1"/>
  <c r="V85" i="1"/>
  <c r="U120" i="1"/>
  <c r="AJ120" i="1" s="1"/>
  <c r="V120" i="1"/>
  <c r="U86" i="1"/>
  <c r="AJ86" i="1" s="1"/>
  <c r="V86" i="1"/>
  <c r="U103" i="1"/>
  <c r="AJ103" i="1" s="1"/>
  <c r="V103" i="1"/>
  <c r="V156" i="1"/>
  <c r="U156" i="1"/>
  <c r="AJ156" i="1" s="1"/>
  <c r="U145" i="1"/>
  <c r="AJ145" i="1" s="1"/>
  <c r="V145" i="1"/>
  <c r="U63" i="1"/>
  <c r="AJ63" i="1" s="1"/>
  <c r="V63" i="1"/>
  <c r="U183" i="1"/>
  <c r="AJ183" i="1" s="1"/>
  <c r="V183" i="1"/>
  <c r="V199" i="1"/>
  <c r="U199" i="1"/>
  <c r="AJ199" i="1" s="1"/>
  <c r="U89" i="1"/>
  <c r="AJ89" i="1" s="1"/>
  <c r="V89" i="1"/>
  <c r="V232" i="1"/>
  <c r="U232" i="1"/>
  <c r="AJ232" i="1" s="1"/>
  <c r="U17" i="1"/>
  <c r="AJ17" i="1" s="1"/>
  <c r="V17" i="1"/>
  <c r="U143" i="1"/>
  <c r="AJ143" i="1" s="1"/>
  <c r="V143" i="1"/>
  <c r="U44" i="1"/>
  <c r="AJ44" i="1" s="1"/>
  <c r="AI44" i="1" s="1"/>
  <c r="AK44" i="1" s="1"/>
  <c r="V44" i="1"/>
  <c r="U225" i="1"/>
  <c r="AJ225" i="1" s="1"/>
  <c r="V225" i="1"/>
  <c r="U170" i="1"/>
  <c r="AJ170" i="1" s="1"/>
  <c r="V170" i="1"/>
  <c r="U246" i="1"/>
  <c r="AJ246" i="1" s="1"/>
  <c r="V246" i="1"/>
  <c r="U101" i="1"/>
  <c r="AJ101" i="1" s="1"/>
  <c r="V101" i="1"/>
  <c r="U245" i="1"/>
  <c r="AJ245" i="1" s="1"/>
  <c r="V245" i="1"/>
  <c r="U159" i="1"/>
  <c r="AJ159" i="1" s="1"/>
  <c r="V159" i="1"/>
  <c r="U191" i="1"/>
  <c r="AJ191" i="1" s="1"/>
  <c r="V191" i="1"/>
  <c r="U76" i="1"/>
  <c r="AJ76" i="1" s="1"/>
  <c r="V76" i="1"/>
  <c r="U174" i="1"/>
  <c r="AJ174" i="1" s="1"/>
  <c r="V174" i="1"/>
  <c r="U133" i="1"/>
  <c r="AJ133" i="1" s="1"/>
  <c r="V133" i="1"/>
  <c r="U55" i="1"/>
  <c r="AJ55" i="1" s="1"/>
  <c r="V55" i="1"/>
  <c r="U147" i="1"/>
  <c r="AJ147" i="1" s="1"/>
  <c r="V147" i="1"/>
  <c r="U29" i="1"/>
  <c r="AJ29" i="1" s="1"/>
  <c r="V29" i="1"/>
  <c r="U154" i="1"/>
  <c r="AJ154" i="1" s="1"/>
  <c r="V154" i="1"/>
  <c r="U91" i="1"/>
  <c r="AJ91" i="1" s="1"/>
  <c r="V91" i="1"/>
  <c r="V236" i="1"/>
  <c r="U236" i="1"/>
  <c r="AJ236" i="1" s="1"/>
  <c r="U70" i="1"/>
  <c r="AJ70" i="1" s="1"/>
  <c r="V70" i="1"/>
  <c r="U106" i="1"/>
  <c r="AJ106" i="1" s="1"/>
  <c r="V106" i="1"/>
  <c r="U215" i="1"/>
  <c r="AJ215" i="1" s="1"/>
  <c r="V215" i="1"/>
  <c r="U230" i="1"/>
  <c r="AJ230" i="1" s="1"/>
  <c r="V230" i="1"/>
  <c r="U61" i="1"/>
  <c r="AJ61" i="1" s="1"/>
  <c r="V61" i="1"/>
  <c r="U81" i="1"/>
  <c r="AJ81" i="1" s="1"/>
  <c r="V81" i="1"/>
  <c r="U168" i="1"/>
  <c r="AJ168" i="1" s="1"/>
  <c r="V168" i="1"/>
  <c r="U15" i="1"/>
  <c r="AJ15" i="1" s="1"/>
  <c r="V15" i="1"/>
  <c r="AH31" i="1"/>
  <c r="AF32" i="1" s="1"/>
  <c r="AG31" i="1"/>
  <c r="AG35" i="1"/>
  <c r="AH35" i="1"/>
  <c r="AF36" i="1" s="1"/>
  <c r="AG24" i="1"/>
  <c r="AH24" i="1"/>
  <c r="AH19" i="1"/>
  <c r="AG19"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244" i="1" l="1"/>
  <c r="AI244" i="1" s="1"/>
  <c r="AK244" i="1" s="1"/>
  <c r="AJ243" i="1"/>
  <c r="AI243" i="1" s="1"/>
  <c r="AK243" i="1" s="1"/>
  <c r="AI239" i="1"/>
  <c r="AK239" i="1" s="1"/>
  <c r="AJ240" i="1"/>
  <c r="AI196" i="1"/>
  <c r="AK196" i="1" s="1"/>
  <c r="AJ197" i="1"/>
  <c r="AI194" i="1"/>
  <c r="AK194" i="1" s="1"/>
  <c r="AJ195" i="1"/>
  <c r="AI195" i="1" s="1"/>
  <c r="AK195" i="1" s="1"/>
  <c r="AI14" i="1"/>
  <c r="AK14" i="1" s="1"/>
  <c r="AI128" i="1"/>
  <c r="AK128" i="1" s="1"/>
  <c r="AJ129" i="1"/>
  <c r="AI249" i="1"/>
  <c r="AK249" i="1" s="1"/>
  <c r="AJ250" i="1"/>
  <c r="AI43" i="1"/>
  <c r="AK43" i="1" s="1"/>
  <c r="AG36" i="1"/>
  <c r="AH36" i="1"/>
  <c r="AF37" i="1" s="1"/>
  <c r="AG32" i="1"/>
  <c r="AH32" i="1"/>
  <c r="AI116" i="1"/>
  <c r="AK116" i="1" s="1"/>
  <c r="AJ117" i="1"/>
  <c r="AJ134" i="1"/>
  <c r="AI133" i="1"/>
  <c r="AK133" i="1" s="1"/>
  <c r="AI174" i="1"/>
  <c r="AK174" i="1" s="1"/>
  <c r="AJ175" i="1"/>
  <c r="AI230" i="1"/>
  <c r="AK230" i="1" s="1"/>
  <c r="AJ231" i="1"/>
  <c r="AI225" i="1"/>
  <c r="AK225" i="1" s="1"/>
  <c r="AJ226" i="1"/>
  <c r="AI135" i="1"/>
  <c r="AK135" i="1" s="1"/>
  <c r="AI143" i="1"/>
  <c r="AK143" i="1" s="1"/>
  <c r="AJ144" i="1"/>
  <c r="AI234" i="1"/>
  <c r="AK234" i="1" s="1"/>
  <c r="AJ235" i="1"/>
  <c r="AI158" i="1"/>
  <c r="AK158" i="1" s="1"/>
  <c r="AI145" i="1"/>
  <c r="AK145" i="1" s="1"/>
  <c r="AJ146" i="1"/>
  <c r="AI217" i="1"/>
  <c r="AK217" i="1" s="1"/>
  <c r="AJ218" i="1"/>
  <c r="AJ150" i="1"/>
  <c r="AI149" i="1"/>
  <c r="AK149" i="1" s="1"/>
  <c r="AI202" i="1"/>
  <c r="AK202" i="1" s="1"/>
  <c r="AJ203" i="1"/>
  <c r="AI210" i="1"/>
  <c r="AK210" i="1" s="1"/>
  <c r="AJ211" i="1"/>
  <c r="AI170" i="1"/>
  <c r="AK170" i="1" s="1"/>
  <c r="AJ171" i="1"/>
  <c r="AJ181" i="1"/>
  <c r="AI180" i="1"/>
  <c r="AK180" i="1" s="1"/>
  <c r="AJ153" i="1"/>
  <c r="AI152" i="1"/>
  <c r="AK152" i="1" s="1"/>
  <c r="AI159" i="1"/>
  <c r="AK159" i="1" s="1"/>
  <c r="AJ160" i="1"/>
  <c r="AJ237" i="1"/>
  <c r="AI236" i="1"/>
  <c r="AK236" i="1" s="1"/>
  <c r="AI154" i="1"/>
  <c r="AK154" i="1" s="1"/>
  <c r="AJ155" i="1"/>
  <c r="AI164" i="1"/>
  <c r="AK164" i="1" s="1"/>
  <c r="AJ165" i="1"/>
  <c r="AI124" i="1"/>
  <c r="AK124" i="1" s="1"/>
  <c r="AJ125" i="1"/>
  <c r="AI220" i="1"/>
  <c r="AK220" i="1" s="1"/>
  <c r="AJ221" i="1"/>
  <c r="AI245" i="1"/>
  <c r="AK245" i="1" s="1"/>
  <c r="AJ188" i="1"/>
  <c r="AI187" i="1"/>
  <c r="AK187" i="1" s="1"/>
  <c r="AI215" i="1"/>
  <c r="AK215" i="1" s="1"/>
  <c r="AJ216" i="1"/>
  <c r="AI191" i="1"/>
  <c r="AK191" i="1" s="1"/>
  <c r="AJ192" i="1"/>
  <c r="AI232" i="1"/>
  <c r="AK232" i="1" s="1"/>
  <c r="AJ233" i="1"/>
  <c r="AI156" i="1"/>
  <c r="AK156" i="1" s="1"/>
  <c r="AJ157" i="1"/>
  <c r="AI136" i="1"/>
  <c r="AK136" i="1" s="1"/>
  <c r="AJ137" i="1"/>
  <c r="AI147" i="1"/>
  <c r="AK147" i="1" s="1"/>
  <c r="AJ148" i="1"/>
  <c r="AI120" i="1"/>
  <c r="AK120" i="1" s="1"/>
  <c r="AJ121" i="1"/>
  <c r="AI138" i="1"/>
  <c r="AK138" i="1" s="1"/>
  <c r="AJ139" i="1"/>
  <c r="AI183" i="1"/>
  <c r="AK183" i="1" s="1"/>
  <c r="AJ184" i="1"/>
  <c r="AI229" i="1"/>
  <c r="AK229" i="1" s="1"/>
  <c r="AI206" i="1"/>
  <c r="AK206" i="1" s="1"/>
  <c r="AJ207" i="1"/>
  <c r="AI168" i="1"/>
  <c r="AK168" i="1" s="1"/>
  <c r="AJ169" i="1"/>
  <c r="AI246" i="1"/>
  <c r="AK246" i="1" s="1"/>
  <c r="AJ247" i="1"/>
  <c r="AI140" i="1"/>
  <c r="AK140" i="1" s="1"/>
  <c r="AI199" i="1"/>
  <c r="AK199" i="1" s="1"/>
  <c r="AJ200" i="1"/>
  <c r="AI141" i="1"/>
  <c r="AK141" i="1" s="1"/>
  <c r="AJ142" i="1"/>
  <c r="AI98" i="1"/>
  <c r="AK98" i="1" s="1"/>
  <c r="AJ99" i="1"/>
  <c r="AJ100" i="1" s="1"/>
  <c r="AI100" i="1" s="1"/>
  <c r="AK100" i="1" s="1"/>
  <c r="AI106" i="1"/>
  <c r="AK106" i="1" s="1"/>
  <c r="AJ107" i="1"/>
  <c r="AI112" i="1"/>
  <c r="AK112" i="1" s="1"/>
  <c r="AI103" i="1"/>
  <c r="AK103" i="1" s="1"/>
  <c r="AJ104" i="1"/>
  <c r="AJ105" i="1" s="1"/>
  <c r="AI105" i="1" s="1"/>
  <c r="AK105" i="1" s="1"/>
  <c r="AI111" i="1"/>
  <c r="AK111" i="1" s="1"/>
  <c r="AJ114" i="1"/>
  <c r="AI113" i="1"/>
  <c r="AK113" i="1" s="1"/>
  <c r="AJ102" i="1"/>
  <c r="AI101" i="1"/>
  <c r="AK101" i="1" s="1"/>
  <c r="AI110" i="1"/>
  <c r="AK110" i="1" s="1"/>
  <c r="AI89" i="1"/>
  <c r="AK89" i="1" s="1"/>
  <c r="AI93" i="1"/>
  <c r="AK93" i="1" s="1"/>
  <c r="AJ94" i="1"/>
  <c r="AI96" i="1"/>
  <c r="AK96" i="1" s="1"/>
  <c r="AJ97" i="1"/>
  <c r="AI88" i="1"/>
  <c r="AK88" i="1" s="1"/>
  <c r="AI91" i="1"/>
  <c r="AK91" i="1" s="1"/>
  <c r="AJ92" i="1"/>
  <c r="AI95" i="1"/>
  <c r="AK95" i="1" s="1"/>
  <c r="AI90" i="1"/>
  <c r="AK90" i="1" s="1"/>
  <c r="AI87" i="1"/>
  <c r="AK87" i="1" s="1"/>
  <c r="AJ80" i="1"/>
  <c r="AI86" i="1"/>
  <c r="AK86" i="1" s="1"/>
  <c r="AI78" i="1"/>
  <c r="AK78" i="1" s="1"/>
  <c r="AJ79" i="1"/>
  <c r="AI85" i="1"/>
  <c r="AK85" i="1" s="1"/>
  <c r="AI83" i="1"/>
  <c r="AK83" i="1" s="1"/>
  <c r="AJ84" i="1"/>
  <c r="AJ82" i="1"/>
  <c r="AI81" i="1"/>
  <c r="AK81" i="1" s="1"/>
  <c r="AI61" i="1"/>
  <c r="AK61" i="1" s="1"/>
  <c r="AJ62" i="1"/>
  <c r="AJ71" i="1"/>
  <c r="AI70" i="1"/>
  <c r="AK70" i="1" s="1"/>
  <c r="AJ69" i="1"/>
  <c r="AI68" i="1"/>
  <c r="AK68" i="1" s="1"/>
  <c r="AI75" i="1"/>
  <c r="AK75" i="1" s="1"/>
  <c r="AI63" i="1"/>
  <c r="AK63" i="1" s="1"/>
  <c r="AJ64" i="1"/>
  <c r="AI72" i="1"/>
  <c r="AK72" i="1" s="1"/>
  <c r="AJ73" i="1"/>
  <c r="AI76" i="1"/>
  <c r="AK76" i="1" s="1"/>
  <c r="AJ77" i="1"/>
  <c r="AI45" i="1"/>
  <c r="AK45" i="1" s="1"/>
  <c r="AI58" i="1"/>
  <c r="AK58" i="1" s="1"/>
  <c r="AJ59" i="1"/>
  <c r="AI55" i="1"/>
  <c r="AK55" i="1" s="1"/>
  <c r="AJ56" i="1"/>
  <c r="AI46" i="1"/>
  <c r="AK46" i="1" s="1"/>
  <c r="AJ47" i="1"/>
  <c r="AI33" i="1"/>
  <c r="AK33" i="1" s="1"/>
  <c r="AJ34" i="1"/>
  <c r="AI29" i="1"/>
  <c r="AK29" i="1" s="1"/>
  <c r="AJ30" i="1"/>
  <c r="AI22" i="1"/>
  <c r="AK22" i="1" s="1"/>
  <c r="AJ23" i="1"/>
  <c r="AI25" i="1"/>
  <c r="AK25" i="1" s="1"/>
  <c r="AJ26" i="1"/>
  <c r="AI20" i="1"/>
  <c r="AK20" i="1" s="1"/>
  <c r="AJ21" i="1"/>
  <c r="AI40" i="1"/>
  <c r="AK40" i="1" s="1"/>
  <c r="AJ41" i="1"/>
  <c r="AI38" i="1"/>
  <c r="AK38" i="1" s="1"/>
  <c r="AJ39" i="1"/>
  <c r="AI27" i="1"/>
  <c r="AK27" i="1" s="1"/>
  <c r="AJ28" i="1"/>
  <c r="AI17" i="1"/>
  <c r="AK17" i="1" s="1"/>
  <c r="AJ18" i="1"/>
  <c r="AI15" i="1"/>
  <c r="AK15" i="1" s="1"/>
  <c r="AJ16" i="1"/>
  <c r="AJ241" i="1" l="1"/>
  <c r="AI241" i="1" s="1"/>
  <c r="AK241" i="1" s="1"/>
  <c r="AI240" i="1"/>
  <c r="AK240" i="1" s="1"/>
  <c r="AI197" i="1"/>
  <c r="AK197" i="1" s="1"/>
  <c r="AJ198" i="1"/>
  <c r="AI250" i="1"/>
  <c r="AK250" i="1" s="1"/>
  <c r="AI129" i="1"/>
  <c r="AK129" i="1" s="1"/>
  <c r="AJ130" i="1"/>
  <c r="AG37" i="1"/>
  <c r="AH37" i="1"/>
  <c r="AI192" i="1"/>
  <c r="AK192" i="1" s="1"/>
  <c r="AI150" i="1"/>
  <c r="AK150" i="1" s="1"/>
  <c r="AJ151" i="1"/>
  <c r="AI144" i="1"/>
  <c r="AK144" i="1" s="1"/>
  <c r="AI142" i="1"/>
  <c r="AK142" i="1" s="1"/>
  <c r="AI184" i="1"/>
  <c r="AK184" i="1" s="1"/>
  <c r="AJ185" i="1"/>
  <c r="AI216" i="1"/>
  <c r="AK216" i="1" s="1"/>
  <c r="AI218" i="1"/>
  <c r="AK218" i="1" s="1"/>
  <c r="AJ219" i="1"/>
  <c r="AJ227" i="1"/>
  <c r="AI226" i="1"/>
  <c r="AK226" i="1" s="1"/>
  <c r="AI237" i="1"/>
  <c r="AK237" i="1" s="1"/>
  <c r="AI200" i="1"/>
  <c r="AK200" i="1" s="1"/>
  <c r="AJ201" i="1"/>
  <c r="AI139" i="1"/>
  <c r="AK139" i="1" s="1"/>
  <c r="AI160" i="1"/>
  <c r="AK160" i="1" s="1"/>
  <c r="AJ161" i="1"/>
  <c r="AI231" i="1"/>
  <c r="AK231" i="1" s="1"/>
  <c r="AI188" i="1"/>
  <c r="AK188" i="1" s="1"/>
  <c r="AJ189" i="1"/>
  <c r="AJ122" i="1"/>
  <c r="AI121" i="1"/>
  <c r="AK121" i="1" s="1"/>
  <c r="AI175" i="1"/>
  <c r="AK175" i="1" s="1"/>
  <c r="AJ176" i="1"/>
  <c r="AI207" i="1"/>
  <c r="AK207" i="1" s="1"/>
  <c r="AJ208" i="1"/>
  <c r="AI153" i="1"/>
  <c r="AK153" i="1" s="1"/>
  <c r="AI247" i="1"/>
  <c r="AK247" i="1" s="1"/>
  <c r="AI148" i="1"/>
  <c r="AK148" i="1" s="1"/>
  <c r="AI221" i="1"/>
  <c r="AK221" i="1" s="1"/>
  <c r="AJ222" i="1"/>
  <c r="AI146" i="1"/>
  <c r="AK146" i="1" s="1"/>
  <c r="AI233" i="1"/>
  <c r="AK233" i="1" s="1"/>
  <c r="AI203" i="1"/>
  <c r="AK203" i="1" s="1"/>
  <c r="AJ204" i="1"/>
  <c r="AI181" i="1"/>
  <c r="AK181" i="1" s="1"/>
  <c r="AJ182" i="1"/>
  <c r="AI155" i="1"/>
  <c r="AK155" i="1" s="1"/>
  <c r="AI137" i="1"/>
  <c r="AK137" i="1" s="1"/>
  <c r="AJ126" i="1"/>
  <c r="AI125" i="1"/>
  <c r="AK125" i="1" s="1"/>
  <c r="AI171" i="1"/>
  <c r="AK171" i="1" s="1"/>
  <c r="AJ172" i="1"/>
  <c r="AI134" i="1"/>
  <c r="AK134" i="1" s="1"/>
  <c r="AI169" i="1"/>
  <c r="AK169" i="1" s="1"/>
  <c r="AI157" i="1"/>
  <c r="AK157" i="1" s="1"/>
  <c r="AI165" i="1"/>
  <c r="AK165" i="1" s="1"/>
  <c r="AJ166" i="1"/>
  <c r="AI211" i="1"/>
  <c r="AK211" i="1" s="1"/>
  <c r="AJ212" i="1"/>
  <c r="AI235" i="1"/>
  <c r="AK235" i="1" s="1"/>
  <c r="AI117" i="1"/>
  <c r="AK117" i="1" s="1"/>
  <c r="AJ118" i="1"/>
  <c r="AI102" i="1"/>
  <c r="AK102" i="1" s="1"/>
  <c r="AI114" i="1"/>
  <c r="AK114" i="1" s="1"/>
  <c r="AJ115" i="1"/>
  <c r="AI104" i="1"/>
  <c r="AK104" i="1" s="1"/>
  <c r="AI107" i="1"/>
  <c r="AK107" i="1" s="1"/>
  <c r="AJ108" i="1"/>
  <c r="AI99" i="1"/>
  <c r="AK99" i="1" s="1"/>
  <c r="AI92" i="1"/>
  <c r="AK92" i="1" s="1"/>
  <c r="AI97" i="1"/>
  <c r="AK97" i="1" s="1"/>
  <c r="AI94" i="1"/>
  <c r="AK94" i="1" s="1"/>
  <c r="AI80" i="1"/>
  <c r="AK80" i="1" s="1"/>
  <c r="AI82" i="1"/>
  <c r="AK82" i="1" s="1"/>
  <c r="AI84" i="1"/>
  <c r="AK84" i="1" s="1"/>
  <c r="AI79" i="1"/>
  <c r="AK79" i="1" s="1"/>
  <c r="AI77" i="1"/>
  <c r="AK77" i="1" s="1"/>
  <c r="AI73" i="1"/>
  <c r="AK73" i="1" s="1"/>
  <c r="AJ74" i="1"/>
  <c r="AJ65" i="1"/>
  <c r="AI64" i="1"/>
  <c r="AK64" i="1" s="1"/>
  <c r="AI69" i="1"/>
  <c r="AK69" i="1" s="1"/>
  <c r="AI71" i="1"/>
  <c r="AK71" i="1" s="1"/>
  <c r="AI62" i="1"/>
  <c r="AK62" i="1" s="1"/>
  <c r="AI47" i="1"/>
  <c r="AK47" i="1" s="1"/>
  <c r="AJ48" i="1"/>
  <c r="P41" i="19"/>
  <c r="AJ57" i="1"/>
  <c r="AI56" i="1"/>
  <c r="AK56" i="1" s="1"/>
  <c r="V51" i="19"/>
  <c r="AI59" i="1"/>
  <c r="AK59" i="1" s="1"/>
  <c r="AJ60" i="1"/>
  <c r="J21" i="19"/>
  <c r="AB11" i="19"/>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I39" i="1"/>
  <c r="AI28" i="1"/>
  <c r="AI41" i="1"/>
  <c r="AK41" i="1" s="1"/>
  <c r="AI21" i="1"/>
  <c r="AI26" i="1"/>
  <c r="AJ24" i="1"/>
  <c r="AI23" i="1"/>
  <c r="P28" i="19"/>
  <c r="AJ31" i="1"/>
  <c r="AI30" i="1"/>
  <c r="J8" i="19"/>
  <c r="AJ35" i="1"/>
  <c r="AI34" i="1"/>
  <c r="AI16" i="1"/>
  <c r="AK16" i="1" s="1"/>
  <c r="AI18" i="1"/>
  <c r="AJ19"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198" i="1" l="1"/>
  <c r="AK198" i="1" s="1"/>
  <c r="AI130" i="1"/>
  <c r="AK130" i="1" s="1"/>
  <c r="AI176" i="1"/>
  <c r="AK176" i="1" s="1"/>
  <c r="AJ177" i="1"/>
  <c r="AI161" i="1"/>
  <c r="AK161" i="1" s="1"/>
  <c r="AJ162" i="1"/>
  <c r="AJ209" i="1"/>
  <c r="AI208" i="1"/>
  <c r="AK208" i="1" s="1"/>
  <c r="AI118" i="1"/>
  <c r="AK118" i="1" s="1"/>
  <c r="AJ119" i="1"/>
  <c r="AI172" i="1"/>
  <c r="AK172" i="1" s="1"/>
  <c r="AJ173" i="1"/>
  <c r="AI185" i="1"/>
  <c r="AK185" i="1" s="1"/>
  <c r="AJ186" i="1"/>
  <c r="AI201" i="1"/>
  <c r="AK201" i="1" s="1"/>
  <c r="AI151" i="1"/>
  <c r="AK151" i="1" s="1"/>
  <c r="AI126" i="1"/>
  <c r="AK126" i="1" s="1"/>
  <c r="AI212" i="1"/>
  <c r="AK212" i="1" s="1"/>
  <c r="AJ213" i="1"/>
  <c r="AJ223" i="1"/>
  <c r="AI222" i="1"/>
  <c r="AK222" i="1" s="1"/>
  <c r="AJ205" i="1"/>
  <c r="AI204" i="1"/>
  <c r="AK204" i="1" s="1"/>
  <c r="AI122" i="1"/>
  <c r="AK122" i="1" s="1"/>
  <c r="AJ123" i="1"/>
  <c r="AI166" i="1"/>
  <c r="AK166" i="1" s="1"/>
  <c r="AJ167" i="1"/>
  <c r="AI227" i="1"/>
  <c r="AK227" i="1" s="1"/>
  <c r="AJ228" i="1"/>
  <c r="AI189" i="1"/>
  <c r="AK189" i="1" s="1"/>
  <c r="AJ190" i="1"/>
  <c r="AI219" i="1"/>
  <c r="AK219" i="1" s="1"/>
  <c r="AI182" i="1"/>
  <c r="AK182" i="1" s="1"/>
  <c r="AI108" i="1"/>
  <c r="AK108" i="1" s="1"/>
  <c r="AJ109" i="1"/>
  <c r="AI115" i="1"/>
  <c r="AK115" i="1" s="1"/>
  <c r="AI65" i="1"/>
  <c r="AK65" i="1" s="1"/>
  <c r="AJ66" i="1"/>
  <c r="AI74" i="1"/>
  <c r="AK74" i="1" s="1"/>
  <c r="AI60" i="1"/>
  <c r="AK60" i="1" s="1"/>
  <c r="AI57" i="1"/>
  <c r="AK57" i="1" s="1"/>
  <c r="AI48" i="1"/>
  <c r="AK48" i="1" s="1"/>
  <c r="AJ49" i="1"/>
  <c r="AI47" i="19"/>
  <c r="AI17" i="19"/>
  <c r="W47" i="19"/>
  <c r="K17" i="19"/>
  <c r="AI37" i="19"/>
  <c r="AI7" i="19"/>
  <c r="AI27" i="19"/>
  <c r="AC37" i="19"/>
  <c r="K47" i="19"/>
  <c r="AC17" i="19"/>
  <c r="W7" i="19"/>
  <c r="Q47" i="19"/>
  <c r="W17" i="19"/>
  <c r="AC47" i="19"/>
  <c r="AK30"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31" i="1"/>
  <c r="AJ32" i="1"/>
  <c r="AK23"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24" i="1"/>
  <c r="AK26"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K21"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K37" i="19"/>
  <c r="Q7" i="19"/>
  <c r="K27" i="19"/>
  <c r="W27" i="19"/>
  <c r="K7" i="19"/>
  <c r="Q37" i="19"/>
  <c r="AK34"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28"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35" i="1"/>
  <c r="AJ36" i="1"/>
  <c r="AC7" i="19"/>
  <c r="AC27" i="19"/>
  <c r="AK39"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19" i="1"/>
  <c r="AK18"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223" i="1" l="1"/>
  <c r="AK223" i="1" s="1"/>
  <c r="AJ224" i="1"/>
  <c r="AI209" i="1"/>
  <c r="AK209" i="1" s="1"/>
  <c r="AI186" i="1"/>
  <c r="AK186" i="1" s="1"/>
  <c r="AI190" i="1"/>
  <c r="AK190" i="1" s="1"/>
  <c r="AI213" i="1"/>
  <c r="AK213" i="1" s="1"/>
  <c r="AJ214" i="1"/>
  <c r="AI167" i="1"/>
  <c r="AK167" i="1" s="1"/>
  <c r="AI162" i="1"/>
  <c r="AK162" i="1" s="1"/>
  <c r="AJ163" i="1"/>
  <c r="AJ178" i="1"/>
  <c r="AI177" i="1"/>
  <c r="AK177" i="1" s="1"/>
  <c r="AI123" i="1"/>
  <c r="AK123" i="1" s="1"/>
  <c r="AI228" i="1"/>
  <c r="AK228" i="1" s="1"/>
  <c r="AI173" i="1"/>
  <c r="AK173" i="1" s="1"/>
  <c r="AI205" i="1"/>
  <c r="AK205" i="1" s="1"/>
  <c r="AI119" i="1"/>
  <c r="AK119" i="1" s="1"/>
  <c r="AI109" i="1"/>
  <c r="AK109" i="1" s="1"/>
  <c r="AJ67" i="1"/>
  <c r="AI66" i="1"/>
  <c r="AK66" i="1" s="1"/>
  <c r="AI49" i="1"/>
  <c r="AK49" i="1" s="1"/>
  <c r="AJ50" i="1"/>
  <c r="AI32" i="1"/>
  <c r="AK31"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K24"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K35"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37" i="1"/>
  <c r="AI36"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K19"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214" i="1" l="1"/>
  <c r="AK214" i="1" s="1"/>
  <c r="AI163" i="1"/>
  <c r="AK163" i="1" s="1"/>
  <c r="AI178" i="1"/>
  <c r="AK178" i="1" s="1"/>
  <c r="AJ179" i="1"/>
  <c r="AI179" i="1" s="1"/>
  <c r="AK179" i="1" s="1"/>
  <c r="AI224" i="1"/>
  <c r="AK224" i="1" s="1"/>
  <c r="AI67" i="1"/>
  <c r="AK67" i="1" s="1"/>
  <c r="AJ51" i="1"/>
  <c r="AI51" i="1" s="1"/>
  <c r="AK51" i="1" s="1"/>
  <c r="AI50" i="1"/>
  <c r="AK50" i="1" s="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K36"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37"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32"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M24" i="19" l="1"/>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37"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6"/>
            <color indexed="81"/>
            <rFont val="Tahoma"/>
            <family val="2"/>
          </rPr>
          <t>¿QUÉ?</t>
        </r>
      </text>
    </comment>
    <comment ref="F11" authorId="0" shapeId="0">
      <text>
        <r>
          <rPr>
            <b/>
            <sz val="16"/>
            <color indexed="81"/>
            <rFont val="Tahoma"/>
            <family val="2"/>
          </rPr>
          <t>¿CÓMO?</t>
        </r>
      </text>
    </comment>
    <comment ref="G11" authorId="0" shapeId="0">
      <text>
        <r>
          <rPr>
            <b/>
            <sz val="16"/>
            <color indexed="81"/>
            <rFont val="Tahoma"/>
            <family val="2"/>
          </rPr>
          <t>¿POR QUÉ?</t>
        </r>
      </text>
    </comment>
    <comment ref="H11" authorId="0" shapeId="0">
      <text>
        <r>
          <rPr>
            <b/>
            <sz val="16"/>
            <color indexed="81"/>
            <rFont val="Tahoma"/>
            <family val="2"/>
          </rPr>
          <t>=Impacto+Causa Inmediata + Causa Raíz</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<sst xmlns="http://schemas.openxmlformats.org/spreadsheetml/2006/main" count="3785" uniqueCount="1230">
  <si>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</si>
  <si>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</si>
  <si>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</si>
  <si>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</si>
  <si>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</si>
  <si>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</si>
  <si>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</si>
  <si>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</si>
  <si>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</si>
  <si>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</si>
  <si>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</si>
  <si>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</si>
  <si>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</si>
  <si>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</si>
  <si>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</si>
  <si>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</si>
  <si>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</si>
  <si>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</si>
  <si>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</si>
  <si>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</si>
  <si>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</si>
  <si>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</si>
  <si>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</si>
  <si>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</si>
  <si>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</si>
  <si>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</si>
  <si>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</si>
  <si>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</si>
  <si>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</si>
  <si>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</si>
  <si>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</si>
  <si>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</si>
  <si>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</si>
  <si>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</si>
  <si>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</si>
  <si>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</si>
  <si>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</si>
  <si>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</si>
  <si>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</si>
  <si>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</si>
  <si>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</si>
  <si>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</si>
  <si>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</si>
  <si>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</si>
  <si>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</si>
  <si>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</si>
  <si>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</si>
  <si>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</si>
  <si>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</si>
  <si>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</si>
  <si>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</si>
  <si>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</si>
  <si>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</si>
  <si>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</si>
  <si>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</si>
  <si>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</si>
  <si>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</si>
  <si>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</si>
  <si>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</si>
  <si>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</si>
  <si>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</si>
  <si>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</si>
  <si>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</si>
  <si>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</si>
  <si>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</si>
  <si>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</si>
  <si>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</si>
  <si>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</si>
  <si>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</si>
  <si>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</si>
  <si>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</si>
  <si>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</si>
  <si>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</si>
  <si>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</si>
  <si>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</si>
  <si>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</si>
  <si>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</si>
  <si>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</si>
  <si>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</si>
  <si>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</si>
  <si>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</si>
  <si>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</si>
  <si>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</si>
  <si>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</si>
  <si>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</si>
  <si>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</si>
  <si>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</si>
  <si>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</si>
  <si>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</si>
  <si>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</si>
  <si>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</si>
  <si>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</si>
  <si>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</si>
  <si>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</si>
  <si>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</si>
  <si>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</si>
  <si>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</si>
  <si>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</si>
  <si>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</si>
  <si>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</si>
  <si>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</si>
  <si>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</si>
  <si>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</si>
  <si>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</si>
  <si>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</si>
  <si>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</si>
  <si>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</si>
  <si>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</si>
  <si>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</si>
  <si>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</si>
  <si>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</si>
  <si>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</si>
  <si>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</si>
  <si>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</si>
  <si>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</si>
  <si>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</si>
  <si>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</si>
  <si>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</si>
  <si>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</si>
  <si>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</si>
  <si>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</si>
  <si>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</si>
  <si>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</si>
  <si>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</si>
  <si>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</si>
  <si>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</si>
  <si>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</si>
  <si>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</si>
  <si>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</si>
  <si>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</si>
  <si>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</si>
  <si>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</si>
  <si>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</si>
  <si>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</si>
  <si>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</si>
  <si>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</si>
  <si>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</si>
  <si>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</si>
  <si>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</si>
  <si>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</si>
  <si>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</si>
  <si>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</si>
  <si>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</si>
  <si>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</si>
  <si>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</si>
  <si>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</si>
  <si>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</si>
  <si>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</si>
  <si>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</si>
  <si>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</si>
  <si>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</si>
  <si>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</si>
  <si>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</si>
  <si>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</si>
  <si>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</si>
  <si>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</si>
  <si>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</si>
  <si>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</si>
  <si>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</si>
  <si>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</si>
  <si>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</si>
  <si>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</si>
  <si>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</si>
  <si>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</si>
  <si>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</si>
  <si>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</si>
  <si>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</si>
  <si>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</si>
  <si>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</si>
  <si>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</si>
  <si>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</si>
  <si>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</si>
  <si>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</si>
  <si>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</si>
  <si>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</si>
  <si>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</si>
  <si>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</si>
  <si>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</si>
  <si>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</si>
  <si>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</si>
  <si>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</si>
  <si>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</si>
  <si>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</si>
  <si>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</si>
  <si>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</si>
  <si>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</si>
  <si>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</si>
  <si>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</si>
  <si>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</si>
  <si>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</si>
  <si>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</si>
  <si>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</si>
  <si>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</si>
  <si>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</si>
  <si>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</si>
  <si>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</si>
  <si>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</si>
  <si>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</si>
  <si>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</si>
  <si>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</si>
  <si>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</si>
  <si>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</si>
  <si>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</si>
  <si>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</si>
  <si>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</si>
  <si>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</si>
  <si>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</si>
  <si>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</si>
  <si>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</si>
  <si>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</si>
  <si>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</si>
  <si>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</si>
  <si>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</si>
  <si>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</si>
  <si>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</si>
  <si>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</si>
  <si>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</si>
  <si>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</si>
  <si>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</si>
  <si>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</si>
  <si>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</si>
  <si>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</si>
  <si>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</si>
  <si>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</si>
  <si>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</si>
  <si>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</si>
  <si>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</si>
  <si>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</si>
  <si>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</si>
  <si>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</si>
  <si>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</si>
  <si>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</si>
  <si>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</si>
  <si>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</si>
  <si>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</si>
  <si>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</si>
  <si>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</si>
  <si>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</si>
  <si>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</si>
  <si>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</si>
  <si>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</si>
  <si>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</si>
  <si>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</si>
  <si>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</si>
  <si>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</si>
  <si>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</si>
  <si>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</si>
  <si>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</si>
  <si>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</si>
  <si>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</si>
  <si>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</si>
  <si>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</si>
  <si>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</si>
  <si>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</si>
  <si>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</si>
  <si>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</si>
  <si>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</si>
  <si>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</si>
  <si>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</si>
  <si>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</si>
  <si>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</si>
  <si>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</si>
  <si>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</si>
  <si>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</si>
  <si>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</si>
  <si>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</si>
  <si>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</si>
  <si>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</si>
  <si>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</si>
  <si>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</si>
  <si>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</si>
  <si>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</si>
  <si>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</si>
  <si>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</si>
  <si>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</si>
  <si>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</si>
  <si>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</si>
  <si>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</si>
  <si>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</si>
  <si>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</si>
  <si>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</si>
  <si>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</si>
  <si>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</si>
  <si>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</si>
  <si>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</si>
  <si>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</si>
  <si>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</si>
  <si>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</si>
  <si>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</si>
  <si>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</si>
  <si>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</si>
  <si>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</si>
  <si>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</si>
  <si>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</si>
  <si>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</si>
  <si>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</si>
  <si>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</si>
  <si>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</si>
  <si>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</si>
  <si>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</si>
  <si>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</si>
  <si>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</si>
  <si>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</si>
  <si>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</si>
  <si>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</si>
  <si>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</si>
  <si>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</si>
  <si>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</si>
  <si>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</si>
  <si>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</si>
  <si>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</si>
  <si>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</si>
  <si>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</si>
  <si>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</si>
  <si>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</si>
  <si>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</si>
  <si>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</si>
  <si>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</si>
  <si>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</si>
  <si>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</si>
  <si>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</si>
  <si>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</si>
  <si>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</si>
  <si>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</si>
  <si>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</si>
  <si>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</si>
  <si>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</si>
  <si>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</si>
  <si>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</si>
  <si>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</si>
  <si>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</si>
  <si>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</si>
  <si>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</si>
  <si>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</si>
  <si>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</si>
  <si>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</si>
  <si>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</si>
  <si>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</si>
  <si>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</si>
  <si>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</si>
  <si>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</si>
  <si>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</si>
  <si>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</si>
  <si>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</si>
  <si>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</si>
  <si>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</si>
  <si>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</si>
  <si>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</si>
  <si>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</si>
  <si>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</si>
  <si>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</si>
  <si>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</si>
  <si>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</si>
  <si>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</si>
  <si>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</si>
  <si>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</si>
  <si>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</si>
  <si>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</si>
  <si>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</si>
  <si>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</si>
  <si>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</si>
  <si>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</si>
  <si>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</si>
  <si>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</si>
  <si>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</si>
  <si>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</si>
  <si>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</si>
  <si>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</si>
  <si>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</si>
  <si>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</si>
  <si>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</si>
  <si>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</si>
  <si>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</si>
  <si>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</si>
  <si>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</si>
  <si>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</si>
  <si>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</si>
  <si>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</si>
  <si>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</si>
  <si>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</si>
  <si>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</si>
  <si>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</si>
  <si>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</si>
  <si>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</si>
  <si>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</si>
  <si>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</si>
  <si>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</si>
  <si>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</si>
  <si>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</si>
  <si>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</si>
  <si>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</si>
  <si>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</si>
  <si>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</si>
  <si>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</si>
  <si>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</si>
  <si>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</si>
  <si>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</si>
  <si>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</si>
  <si>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</si>
  <si>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</si>
  <si>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</si>
  <si>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</si>
  <si>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</si>
  <si>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</si>
  <si>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</si>
  <si>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</si>
  <si>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</si>
  <si>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</si>
  <si>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</si>
  <si>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</si>
  <si>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</si>
  <si>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</si>
  <si>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</si>
  <si>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</si>
  <si>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</si>
  <si>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</si>
  <si>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</si>
  <si>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</si>
  <si>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</si>
  <si>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</si>
  <si>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</si>
  <si>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</si>
  <si>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</si>
  <si>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</si>
  <si>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</si>
  <si>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</si>
  <si>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</si>
  <si>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</si>
  <si>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</si>
  <si>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</si>
  <si>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</si>
  <si>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</si>
  <si>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</si>
  <si>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</si>
  <si>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</si>
  <si>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</si>
  <si>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</si>
  <si>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</si>
  <si>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</si>
  <si>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</si>
  <si>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</si>
  <si>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</si>
  <si>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</si>
  <si>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</si>
  <si>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</si>
  <si>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</si>
  <si>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</si>
  <si>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</si>
  <si>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</si>
  <si>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</si>
  <si>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</si>
  <si>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</si>
  <si>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</si>
  <si>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</si>
  <si>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</si>
  <si>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</si>
  <si>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</si>
  <si>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</si>
  <si>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</si>
  <si>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</si>
  <si>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</si>
  <si>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</si>
  <si>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</si>
  <si>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</si>
  <si>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</si>
  <si>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</si>
  <si>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</si>
  <si>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</si>
  <si>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</si>
  <si>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</si>
  <si>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</si>
  <si>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t>GBG_02</t>
  </si>
  <si>
    <t>Multas y Sanciones</t>
  </si>
  <si>
    <t>Vinculación de personas naturales y/o jurídicas, sin considerar los lineamientos contemplados relacionados con conflictos de interés. (Política de Integridad)</t>
  </si>
  <si>
    <t>N/A</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</si>
  <si>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</si>
  <si>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</si>
  <si>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</si>
  <si>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</si>
  <si>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</si>
  <si>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</si>
  <si>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</si>
  <si>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</si>
  <si>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</si>
  <si>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</si>
  <si>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</si>
  <si>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</si>
  <si>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</si>
  <si>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</si>
  <si>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</si>
  <si>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</si>
  <si>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</si>
  <si>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</si>
  <si>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</si>
  <si>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</si>
  <si>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</si>
  <si>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</si>
  <si>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</si>
  <si>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</si>
  <si>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</si>
  <si>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</si>
  <si>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</si>
  <si>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</si>
  <si>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</si>
  <si>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</si>
  <si>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</si>
  <si>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</si>
  <si>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</si>
  <si>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</si>
  <si>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</si>
  <si>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</si>
  <si>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</si>
  <si>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</si>
  <si>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</si>
  <si>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</si>
  <si>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</si>
  <si>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</si>
  <si>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</si>
  <si>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</si>
  <si>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Interrupción en la prestación de los servicios tecnológicos de la entidad.</t>
  </si>
  <si>
    <t>Sistema de Información Dinámica Gerencial</t>
  </si>
  <si>
    <t>TIN_02</t>
  </si>
  <si>
    <t xml:space="preserve">Acceso a información clínica clasificada o reservada de los usuarios del  HOMIL </t>
  </si>
  <si>
    <t>Falta de control del ciclo de vida de las credenciales de acceso a la infraestructura tecnológica de la entidad.</t>
  </si>
  <si>
    <t xml:space="preserve">La Unidad de Talento Humano, reporta vía correo electrónico las novedades de personal (retiros) a fin de que se deshabiliten los accesos a los diferentes servicios tecnológicos. </t>
  </si>
  <si>
    <t>Campañas de concientización, simulacros sobre ataques cibernéticos</t>
  </si>
  <si>
    <t>Jefe Unidad de Informática</t>
  </si>
  <si>
    <t>Mensual</t>
  </si>
  <si>
    <t>Evidencias campañas</t>
  </si>
  <si>
    <t>Implementar dentro del proceso de pago de la última cuenta, factura o liquidación el paz y salvo de la Unidad Informática</t>
  </si>
  <si>
    <t>Paz y salvo UNIF</t>
  </si>
  <si>
    <t>TIN_03</t>
  </si>
  <si>
    <t xml:space="preserve">No disponibilidad de la información clínica  de los usuarios del  HOMIL </t>
  </si>
  <si>
    <t>Falta de respaldo (copias de seguridad) de la información.</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</si>
  <si>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</si>
  <si>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</si>
  <si>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</si>
  <si>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</si>
  <si>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</si>
  <si>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</si>
  <si>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Fallas en el funcionamiento del sistema de información clínico Dinámica Gerencial Hospitalaria</t>
  </si>
  <si>
    <t>Indebido control de cambios en la implementación de nuevas versiones del aplicativo.</t>
  </si>
  <si>
    <t>CAU_01</t>
  </si>
  <si>
    <t>Publicaciones con datos erróneos o imprecisos en las piezas de comunicación e información dirigida a usuarios externos del HOMIL.</t>
  </si>
  <si>
    <t>CAU_02</t>
  </si>
  <si>
    <t>Publicaciones con datos erróneos o imprecisos en las piezas de comunicación e información dirigida a usuarios internos del HOMIL.</t>
  </si>
  <si>
    <t>CAU_03</t>
  </si>
  <si>
    <t>Demoras en las proyecciones de respuesta y/o respuesta superficiales por parte de los servicios, errores en el direccionamiento interno y recepción de peticiones incompletas o con falta de soportes para tramitarlas</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</si>
  <si>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</si>
  <si>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</si>
  <si>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</si>
  <si>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</si>
  <si>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</si>
  <si>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</si>
  <si>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</si>
  <si>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</si>
  <si>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</si>
  <si>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t>GAAF_05</t>
  </si>
  <si>
    <t>Farmacia Producción y Adecuación de Medicamentos
Farmacia Salas  de Cirugía.
Farmacia de Salas de Maternidad.
Farmacia Médico Quirúrgica</t>
  </si>
  <si>
    <t>Seguridad de paciente</t>
  </si>
  <si>
    <t>Dispensación de medicamentos vencidos o diferentes a los prescritos.</t>
  </si>
  <si>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</si>
  <si>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</si>
  <si>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</si>
  <si>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</si>
  <si>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t>GAAF_09</t>
  </si>
  <si>
    <t>Farmacia Producción y Adecuación de
Medicamentos</t>
  </si>
  <si>
    <t>Contaminación microbiológica en el área de producción de la CAM.</t>
  </si>
  <si>
    <t>Falta de adherencia a protocolos de limpieza y desinfección o una externalidad no controlada.</t>
  </si>
  <si>
    <t>GAAF_10</t>
  </si>
  <si>
    <t>Error en el diagnóstico y tratamiento a los usuarios atendidos por el HOMIL.</t>
  </si>
  <si>
    <t>No cumplimiento de protocolos, errores de interpretación, lectura, transcripción y validación de los resultados y/o estudios.</t>
  </si>
  <si>
    <t>El líder de sección y/o área realiza socialización, evaluación y adherencia anual de los protocolos del servicio de acuerdo al cronograma establecido de cada servicio.</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</si>
  <si>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</si>
  <si>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</si>
  <si>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</si>
  <si>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</si>
  <si>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</si>
  <si>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</si>
  <si>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</si>
  <si>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</si>
  <si>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</si>
  <si>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</si>
  <si>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Aumento de los niveles permitidos de radiación provocando posibles efectos nocivos para la salud de los trabajadores expuestos a radiación ionizante.</t>
  </si>
  <si>
    <t>No uso del dosímetro y no uso de los elementos de radio-protección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</si>
  <si>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</si>
  <si>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</si>
  <si>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</si>
  <si>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</si>
  <si>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</si>
  <si>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</si>
  <si>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</si>
  <si>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</si>
  <si>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</si>
  <si>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</si>
  <si>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</si>
  <si>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</si>
  <si>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</si>
  <si>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AAM_02</t>
  </si>
  <si>
    <t>No cierre del ciclo de atención de los pacientes atendidos en el servicio de urgencias (asistencial y administrativo)</t>
  </si>
  <si>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</si>
  <si>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</si>
  <si>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</si>
  <si>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</si>
  <si>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</si>
  <si>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</si>
  <si>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AAM_04</t>
  </si>
  <si>
    <t>Consulta Externa</t>
  </si>
  <si>
    <t>Lesión o daño en el paciente durante la prestación del servicio</t>
  </si>
  <si>
    <t>Fallas en el manejo y adherencia a las guías, protocolos, procedimientos de gestión ambulatoria por el personal de salud en el sitio de trabajo.</t>
  </si>
  <si>
    <t>AAM_05</t>
  </si>
  <si>
    <t>Recibir o solicitar cualquier dadiva o beneficio a nombre propio o de terceros</t>
  </si>
  <si>
    <t>Manejo de influencias en la asignación de citas médicas y falla en adherencia a los protocolos institucionales por parte de los funcionarios de asignación de citas.</t>
  </si>
  <si>
    <t>AAM_06</t>
  </si>
  <si>
    <t>Pérdida de medicamentos e insumos hospitalarios en custodia del servicio de  enfermería en consulta externa.
(Sala de procedimientos menores y vacunación)</t>
  </si>
  <si>
    <t>AHO_01</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</si>
  <si>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</si>
  <si>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</si>
  <si>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</si>
  <si>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</si>
  <si>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</si>
  <si>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</si>
  <si>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</si>
  <si>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</si>
  <si>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</si>
  <si>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</si>
  <si>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</si>
  <si>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</si>
  <si>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</si>
  <si>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</si>
  <si>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</si>
  <si>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</si>
  <si>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</si>
  <si>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</si>
  <si>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</si>
  <si>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</si>
  <si>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</si>
  <si>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</si>
  <si>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Escuela de Auxiliares de Enfermería</t>
  </si>
  <si>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</si>
  <si>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</si>
  <si>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</si>
  <si>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</si>
  <si>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t>GCO_03</t>
  </si>
  <si>
    <t>Incumplimiento a la normatividad y sanciones del ente regulador llevando a la cancelación  del escenario de práctica.</t>
  </si>
  <si>
    <t>Autorización de prácticas formativas sin convenio docencia servicio.</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</si>
  <si>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</si>
  <si>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</si>
  <si>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</si>
  <si>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</si>
  <si>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</si>
  <si>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</si>
  <si>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</si>
  <si>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</si>
  <si>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</si>
  <si>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</si>
  <si>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</si>
  <si>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</si>
  <si>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</si>
  <si>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</si>
  <si>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</si>
  <si>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</si>
  <si>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GHU_02</t>
  </si>
  <si>
    <t>Administración de Personal.</t>
  </si>
  <si>
    <t>Sanciones , multas y demandas</t>
  </si>
  <si>
    <t>Traslado de personal sin verificar idoneidad y/o condiciones de salud para desempeñar el empleo.</t>
  </si>
  <si>
    <t>GHU_03</t>
  </si>
  <si>
    <t>Oficina Control Disciplinario Interno</t>
  </si>
  <si>
    <t>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</si>
  <si>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</si>
  <si>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</si>
  <si>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</si>
  <si>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</si>
  <si>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</si>
  <si>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</si>
  <si>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</si>
  <si>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</si>
  <si>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</si>
  <si>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</si>
  <si>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</si>
  <si>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</si>
  <si>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</si>
  <si>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</si>
  <si>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</si>
  <si>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</si>
  <si>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</si>
  <si>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</si>
  <si>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</si>
  <si>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</si>
  <si>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</si>
  <si>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</si>
  <si>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</si>
  <si>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</si>
  <si>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</si>
  <si>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</si>
  <si>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</si>
  <si>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</si>
  <si>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</si>
  <si>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</si>
  <si>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</si>
  <si>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</si>
  <si>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</si>
  <si>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</si>
  <si>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</si>
  <si>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</si>
  <si>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</si>
  <si>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</si>
  <si>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</si>
  <si>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</si>
  <si>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</si>
  <si>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</si>
  <si>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</si>
  <si>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</si>
  <si>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</si>
  <si>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</si>
  <si>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</si>
  <si>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</si>
  <si>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No prestación en la atención integral de los servicios de salud a los usuarios atendidos por el HOMIL.</t>
  </si>
  <si>
    <t>Ausencia de mantenimientos oportunos e inadecuada manipulación de los equipos biomédicos por parte del personal asistencial.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</si>
  <si>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</si>
  <si>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</si>
  <si>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</si>
  <si>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</si>
  <si>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</si>
  <si>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</si>
  <si>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</si>
  <si>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</si>
  <si>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</si>
  <si>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</si>
  <si>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</si>
  <si>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</si>
  <si>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</si>
  <si>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</si>
  <si>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</si>
  <si>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</si>
  <si>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t>Campañas masivas de concientización y sensibilización relacionadas con el Plan de Gestión Integral de Residuos Hospitalarios - PGIRH.</t>
  </si>
  <si>
    <t>Semestral</t>
  </si>
  <si>
    <t>Mediante:
Inspecciones oculares .
Comités y actas de reunión.
Planes de mejora.</t>
  </si>
  <si>
    <t>GLO_05</t>
  </si>
  <si>
    <t>No prestación en la atención integral de los servicios de salud a los usuarios atendidos por el Hospital Militar Central.</t>
  </si>
  <si>
    <t>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</si>
  <si>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</si>
  <si>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</si>
  <si>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</si>
  <si>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</si>
  <si>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</si>
  <si>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</si>
  <si>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</si>
  <si>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</si>
  <si>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</si>
  <si>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</si>
  <si>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</si>
  <si>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</si>
  <si>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</si>
  <si>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</si>
  <si>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</si>
  <si>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</si>
  <si>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</si>
  <si>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</si>
  <si>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</si>
  <si>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</si>
  <si>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</si>
  <si>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</si>
  <si>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</si>
  <si>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</si>
  <si>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</si>
  <si>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</si>
  <si>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</si>
  <si>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</si>
  <si>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</si>
  <si>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</si>
  <si>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</si>
  <si>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</si>
  <si>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</si>
  <si>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</si>
  <si>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</si>
  <si>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</si>
  <si>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</si>
  <si>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</si>
  <si>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Cierre de áreas y/o servicios por parte de organismos de vigilancia y control.</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</si>
  <si>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</si>
  <si>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</si>
  <si>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</si>
  <si>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</si>
  <si>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</si>
  <si>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</si>
  <si>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</si>
  <si>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</si>
  <si>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</si>
  <si>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</si>
  <si>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</si>
  <si>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</si>
  <si>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</si>
  <si>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</si>
  <si>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</si>
  <si>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</si>
  <si>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</si>
  <si>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</si>
  <si>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</si>
  <si>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Multas, sanciones, demandas y no prestación en la atención integral de los servicios de salud a los usuarios atendidos por el HOMIL.</t>
  </si>
  <si>
    <t>Falta de planeación en el adecuado funcionamiento y prestación del servicio de ambulancias (medicalizadas y básicas)</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</si>
  <si>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</si>
  <si>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</si>
  <si>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</si>
  <si>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</si>
  <si>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</si>
  <si>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</si>
  <si>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</si>
  <si>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</si>
  <si>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</si>
  <si>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</si>
  <si>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</si>
  <si>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</si>
  <si>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</si>
  <si>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</si>
  <si>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</si>
  <si>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</si>
  <si>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</si>
  <si>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</si>
  <si>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</si>
  <si>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</si>
  <si>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</si>
  <si>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</si>
  <si>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</si>
  <si>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</si>
  <si>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</si>
  <si>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</si>
  <si>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</si>
  <si>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</si>
  <si>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</si>
  <si>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</si>
  <si>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</si>
  <si>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</si>
  <si>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</si>
  <si>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Incumplimiento de los requisitos legales y/o propios del objeto del contrato  en los procesos de ingreso a la entidad.</t>
  </si>
  <si>
    <t>GFI_01</t>
  </si>
  <si>
    <t>Presupuesto</t>
  </si>
  <si>
    <t>Limitación en la prestación de servicios de salud por falta de recursos.</t>
  </si>
  <si>
    <t>Fallas en la planeación y seguimiento presupuestal.</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</si>
  <si>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</si>
  <si>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</si>
  <si>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</si>
  <si>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</si>
  <si>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</si>
  <si>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</si>
  <si>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</si>
  <si>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</si>
  <si>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</si>
  <si>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</si>
  <si>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</si>
  <si>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</si>
  <si>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</si>
  <si>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</si>
  <si>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</si>
  <si>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</si>
  <si>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</si>
  <si>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</si>
  <si>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</si>
  <si>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</si>
  <si>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</si>
  <si>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</si>
  <si>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</si>
  <si>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</si>
  <si>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</si>
  <si>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</si>
  <si>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</si>
  <si>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</si>
  <si>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</si>
  <si>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</si>
  <si>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</si>
  <si>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</si>
  <si>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</si>
  <si>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</si>
  <si>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</si>
  <si>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</si>
  <si>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</si>
  <si>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</si>
  <si>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</si>
  <si>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</si>
  <si>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</si>
  <si>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</si>
  <si>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</si>
  <si>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</si>
  <si>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</si>
  <si>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</si>
  <si>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</si>
  <si>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</si>
  <si>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</si>
  <si>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</si>
  <si>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</si>
  <si>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</si>
  <si>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</si>
  <si>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</si>
  <si>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</si>
  <si>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</si>
  <si>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</si>
  <si>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</si>
  <si>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</si>
  <si>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</si>
  <si>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</si>
  <si>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</si>
  <si>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</si>
  <si>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</si>
  <si>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</si>
  <si>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</si>
  <si>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</si>
  <si>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</si>
  <si>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</si>
  <si>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Pérdida del patrimonio documental.</t>
  </si>
  <si>
    <t>Inadecuada administración de los documentos por parte del personal y/o incumplimiento de los procedimientos de la gestión documental en la entidad.</t>
  </si>
  <si>
    <t>GDO_02</t>
  </si>
  <si>
    <t>Incumplimiento normativo, a causa de desgregación, deterioro y pérdida del patrimonio documental.</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</si>
  <si>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</si>
  <si>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</si>
  <si>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</si>
  <si>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</si>
  <si>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</si>
  <si>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</si>
  <si>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</si>
  <si>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</si>
  <si>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</si>
  <si>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OCI_01</t>
  </si>
  <si>
    <t>Oficina de Control Interno</t>
  </si>
  <si>
    <t>Selección inadecuada de procesos a evaluar.</t>
  </si>
  <si>
    <t>Falta de aplicación de una herramienta de priorización de auditorías, como insumo para la elaboración del Plan Anual de Auditorias de cada vigencia.</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</si>
  <si>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</si>
  <si>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</si>
  <si>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</si>
  <si>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OCI_03</t>
  </si>
  <si>
    <t>Inexistencia de información que sustente y respalde el hallazgo de auditoría, deficiencias e interpretación errada de los soportes o ausencia de los mismos.</t>
  </si>
  <si>
    <t>OCI_04</t>
  </si>
  <si>
    <t xml:space="preserve">
Para alterar a conveniencia propia o de terceros los resultados de informes a cargo de la Oficina de Control Interno.</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</si>
  <si>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</si>
  <si>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</si>
  <si>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</si>
  <si>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</si>
  <si>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</si>
  <si>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</si>
  <si>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</si>
  <si>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</si>
  <si>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</si>
  <si>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</si>
  <si>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</si>
  <si>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</si>
  <si>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</si>
  <si>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</si>
  <si>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</si>
  <si>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</si>
  <si>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GDA_07</t>
  </si>
  <si>
    <t>GDA_08</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</si>
  <si>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</si>
  <si>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Jefe de la Unidad de Compras, Licitaciones y Bienes Activos</t>
  </si>
  <si>
    <t>Sanciones disciplinarias, administrativas, penales, incumplimiento normativo y detrimento patrimonial.</t>
  </si>
  <si>
    <t>Registro inoportuno en la Historia Clínica  del estado de salud y la atención brindada.</t>
  </si>
  <si>
    <t>GDO_05</t>
  </si>
  <si>
    <t>Gestión Documental, Historias Clínicas e Imprenta.</t>
  </si>
  <si>
    <t>GDO_06</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</si>
  <si>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</si>
  <si>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GHU_11</t>
  </si>
  <si>
    <t>Fuga de Conocimiento</t>
  </si>
  <si>
    <t>Administración de Personal y Régimen Interno</t>
  </si>
  <si>
    <t>Equipo Biomédico e Industrial</t>
  </si>
  <si>
    <t>Gestión Ambiental</t>
  </si>
  <si>
    <t>Mantenimiento, Talleres</t>
  </si>
  <si>
    <t>Infraestructura Hospitalaria</t>
  </si>
  <si>
    <t>Transportes</t>
  </si>
  <si>
    <t>Áreas responsables</t>
  </si>
  <si>
    <t>Gestión de la Infraestructura de
las Tecnologías de la
Información y Comunicación</t>
  </si>
  <si>
    <t>Comunicación Estratégica</t>
  </si>
  <si>
    <t>Atención al Usuario y Relacionamiento Ciudadano</t>
  </si>
  <si>
    <t>Imágenes Diagnosticas
Laboratorio clínico
Patología
Banco de Sangre y Gestión Pretrasfusional</t>
  </si>
  <si>
    <t>Imágenes Diágnosticas</t>
  </si>
  <si>
    <t>Epidemiología</t>
  </si>
  <si>
    <t>Formación del Talento Humano en Salud</t>
  </si>
  <si>
    <t>Investigación en salud
Laboratorio de Innovación - INNLAB</t>
  </si>
  <si>
    <t>Gestión Contratos, Selección Personal - Seguimiento, Ejecución y Apoyo Contractual</t>
  </si>
  <si>
    <t>Subdirección Administrativa
(Subdirector Administrativo)
Unidad de Compras, Licitaciones y Bienes Activos</t>
  </si>
  <si>
    <t>Gestión Ética, Bioética, Buen Gobierno y Humanización
Administración de Personal
Gestión Contratos, Selección
Personal - Seguimiento,
Ejecución y Apoyo Contractual</t>
  </si>
  <si>
    <t xml:space="preserve">Gestión Ética, Bioética, Buen Gobierno y Humanización
Responsables de los Grupos de trabajo
Presidentes de los Comités Institucionales. </t>
  </si>
  <si>
    <t>1 de Marzo</t>
  </si>
  <si>
    <r>
      <t xml:space="preserve">Establecer un marco de referencia general que involucre a todos los servidores públicos y contratistas del </t>
    </r>
    <r>
      <rPr>
        <b/>
        <sz val="20"/>
        <color theme="1"/>
        <rFont val="Arial Narrow"/>
        <family val="2"/>
      </rPr>
      <t>HOSPITAL MILITAR CENTRAL</t>
    </r>
    <r>
      <rPr>
        <sz val="20"/>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</si>
  <si>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Posibilidad de afectación económica y reputacional por recibir o solicitar cualquier dádiva o beneficio a nombre propio o de terceros, debido a la inadecuada manipulación de los procesos Disciplinarios Militares </t>
    </r>
    <r>
      <rPr>
        <b/>
        <sz val="20"/>
        <rFont val="Arial Narrow"/>
        <family val="2"/>
      </rPr>
      <t>(Ley 1862 de 2017)</t>
    </r>
    <r>
      <rPr>
        <sz val="20"/>
        <rFont val="Arial Narrow"/>
        <family val="2"/>
      </rPr>
      <t xml:space="preserve"> y procesos administrativos </t>
    </r>
    <r>
      <rPr>
        <b/>
        <sz val="20"/>
        <rFont val="Arial Narrow"/>
        <family val="2"/>
      </rPr>
      <t xml:space="preserve">(Ley 1476 de 2011) </t>
    </r>
    <r>
      <rPr>
        <sz val="20"/>
        <rFont val="Arial Narrow"/>
        <family val="2"/>
      </rPr>
      <t xml:space="preserve">en beneficio del
investigado.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</si>
  <si>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fallos judiciales en contra del HOMIL, debido a supervisión inadecuada de los contratos. 
</t>
    </r>
    <r>
      <rPr>
        <b/>
        <sz val="20"/>
        <rFont val="Arial Narrow"/>
        <family val="2"/>
      </rPr>
      <t>(Política de prevención del daño antijurídico)</t>
    </r>
  </si>
  <si>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20"/>
        <rFont val="Arial Narrow"/>
        <family val="2"/>
      </rPr>
      <t>Hospital Militar Central.</t>
    </r>
  </si>
  <si>
    <r>
      <rPr>
        <b/>
        <sz val="20"/>
        <color indexed="53"/>
        <rFont val="Arial Narrow"/>
        <family val="2"/>
      </rPr>
      <t xml:space="preserve">*Nota: </t>
    </r>
    <r>
      <rPr>
        <sz val="20"/>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</si>
  <si>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r>
      <t>Descripción del Control
(</t>
    </r>
    <r>
      <rPr>
        <i/>
        <u/>
        <sz val="24"/>
        <color theme="1"/>
        <rFont val="Arial Narrow"/>
        <family val="2"/>
      </rPr>
      <t>Responsable + actividad a realizar + periodicidad + propósito + forma como se 
desarrolla el control</t>
    </r>
    <r>
      <rPr>
        <b/>
        <u/>
        <sz val="24"/>
        <color theme="1"/>
        <rFont val="Arial Narrow"/>
        <family val="2"/>
      </rPr>
      <t>)</t>
    </r>
  </si>
  <si>
    <r>
      <t>Plan de Acción
(</t>
    </r>
    <r>
      <rPr>
        <sz val="24"/>
        <color theme="1"/>
        <rFont val="Arial Narrow"/>
        <family val="2"/>
      </rPr>
      <t>Actividad</t>
    </r>
    <r>
      <rPr>
        <b/>
        <sz val="24"/>
        <color theme="1"/>
        <rFont val="Arial Narrow"/>
        <family val="2"/>
      </rPr>
      <t>)</t>
    </r>
  </si>
  <si>
    <r>
      <rPr>
        <sz val="18"/>
        <rFont val="Arial Narrow"/>
        <family val="2"/>
      </rPr>
      <t>El profesional del área de Administración de personal, junto con el responsable de Selección y contratación de personal y el profesional</t>
    </r>
    <r>
      <rPr>
        <sz val="18"/>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</si>
  <si>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8"/>
        <color theme="1"/>
        <rFont val="Arial Narrow"/>
        <family val="2"/>
      </rPr>
      <t>de acuerdo al nivel de complejidad</t>
    </r>
    <r>
      <rPr>
        <sz val="18"/>
        <color theme="1"/>
        <rFont val="Arial Narrow"/>
        <family val="2"/>
      </rPr>
      <t xml:space="preserve"> del mismo envía a la Dirección General para obtener un tercer aval, posterior a este proceso se realiza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</si>
  <si>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</si>
  <si>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El personal designado de cada farmacia realiza la recepción técnica en el momento del ingreso de medicamentos, reactivos e insumos mediante del formato </t>
    </r>
    <r>
      <rPr>
        <b/>
        <sz val="18"/>
        <color theme="1"/>
        <rFont val="Arial Narrow"/>
        <family val="2"/>
      </rPr>
      <t>AA-UNFA-PR-15-FT-01</t>
    </r>
    <r>
      <rPr>
        <sz val="18"/>
        <color theme="1"/>
        <rFont val="Arial Narrow"/>
        <family val="2"/>
      </rPr>
      <t>, respectivamente,</t>
    </r>
    <r>
      <rPr>
        <sz val="18"/>
        <color rgb="FFFF0000"/>
        <rFont val="Arial Narrow"/>
        <family val="2"/>
      </rPr>
      <t xml:space="preserve"> </t>
    </r>
    <r>
      <rPr>
        <sz val="18"/>
        <color theme="1"/>
        <rFont val="Arial Narrow"/>
        <family val="2"/>
      </rPr>
      <t xml:space="preserve">con el fin de verificar que las cantidades y la información registrada coincidan con lo físico. 
</t>
    </r>
    <r>
      <rPr>
        <b/>
        <sz val="18"/>
        <color theme="1"/>
        <rFont val="Arial Narrow"/>
        <family val="2"/>
      </rPr>
      <t>Soporte:</t>
    </r>
    <r>
      <rPr>
        <sz val="18"/>
        <color theme="1"/>
        <rFont val="Arial Narrow"/>
        <family val="2"/>
      </rPr>
      <t xml:space="preserve"> Formato de recepción técnica.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</si>
  <si>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8"/>
        <color theme="1"/>
        <rFont val="Arial Narrow"/>
        <family val="2"/>
      </rPr>
      <t xml:space="preserve">FR-UNFA-PR-01. 
Soporte: </t>
    </r>
    <r>
      <rPr>
        <sz val="18"/>
        <color theme="1"/>
        <rFont val="Arial Narrow"/>
        <family val="2"/>
      </rPr>
      <t>Formato de Selectivas mensuales.</t>
    </r>
  </si>
  <si>
    <r>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r>
    <r>
      <rPr>
        <b/>
        <sz val="18"/>
        <color theme="1"/>
        <rFont val="Arial Narrow"/>
        <family val="2"/>
      </rPr>
      <t>Soporte:</t>
    </r>
    <r>
      <rPr>
        <sz val="18"/>
        <color theme="1"/>
        <rFont val="Arial Narrow"/>
        <family val="2"/>
      </rPr>
      <t xml:space="preserve"> FORMATO CONTROL INGRESO ÁREAS DE PRODUCCIÓN CODIGO: AA-GAME-PR-02-FT-01.</t>
    </r>
  </si>
  <si>
    <r>
      <t xml:space="preserve">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
</t>
    </r>
    <r>
      <rPr>
        <b/>
        <sz val="18"/>
        <color theme="1"/>
        <rFont val="Arial Narrow"/>
        <family val="2"/>
      </rPr>
      <t>Soporte:</t>
    </r>
    <r>
      <rPr>
        <sz val="18"/>
        <color theme="1"/>
        <rFont val="Arial Narrow"/>
        <family val="2"/>
      </rPr>
      <t xml:space="preserve"> Orden de despacho generada por (Dinámica Gerenciial hospitalaría).</t>
    </r>
  </si>
  <si>
    <r>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t>
    </r>
    <r>
      <rPr>
        <b/>
        <sz val="18"/>
        <color theme="1"/>
        <rFont val="Arial Narrow"/>
        <family val="2"/>
      </rPr>
      <t xml:space="preserve"> PROCEDIMIENTO:  MANEJO DE PRODUCTOS PRÓXIMOS A VENCER, AVERIADOS Y VENCIDOS CÓDIGO: AA-UNFA-PR-20.
Soporte: </t>
    </r>
    <r>
      <rPr>
        <sz val="18"/>
        <color theme="1"/>
        <rFont val="Arial Narrow"/>
        <family val="2"/>
      </rPr>
      <t>Correos electrónicos con la relación de los medicamentos e insumos próximos a vencer.</t>
    </r>
  </si>
  <si>
    <r>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r>
    <r>
      <rPr>
        <b/>
        <sz val="18"/>
        <color theme="1"/>
        <rFont val="Arial Narrow"/>
        <family val="2"/>
      </rPr>
      <t>Soporte:</t>
    </r>
    <r>
      <rPr>
        <sz val="18"/>
        <color theme="1"/>
        <rFont val="Arial Narrow"/>
        <family val="2"/>
      </rPr>
      <t xml:space="preserve"> Informe de devoluciones.</t>
    </r>
  </si>
  <si>
    <r>
      <t xml:space="preserve">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t>
    </r>
    <r>
      <rPr>
        <b/>
        <sz val="18"/>
        <color theme="1"/>
        <rFont val="Arial Narrow"/>
        <family val="2"/>
      </rPr>
      <t>Soporte:</t>
    </r>
    <r>
      <rPr>
        <sz val="18"/>
        <color theme="1"/>
        <rFont val="Arial Narrow"/>
        <family val="2"/>
      </rPr>
      <t xml:space="preserve"> CONTROL RECEPCION E INGRESO DE FACTURAS, REMISIONES Y URGENCIAS VITALES CÓDIGO: AA-FMTS-PR-01-FT-05</t>
    </r>
  </si>
  <si>
    <r>
      <t xml:space="preserve">El personal designado por el jefe de la Unidad de Farmacia reportará mensualmente el FORMATO: INFORME APROVECHAMIENTO ONCOLOGÍA SEMANAL CÓDIGO: AA-PRFA-PR02-FT-15, con el fin de tener la trazabilidad y el control de los aprovechamientos generados en la CAM
</t>
    </r>
    <r>
      <rPr>
        <b/>
        <sz val="18"/>
        <color theme="1"/>
        <rFont val="Arial Narrow"/>
        <family val="2"/>
      </rPr>
      <t>Soporte:</t>
    </r>
    <r>
      <rPr>
        <sz val="18"/>
        <color theme="1"/>
        <rFont val="Arial Narrow"/>
        <family val="2"/>
      </rPr>
      <t xml:space="preserve"> INFORME APROVECHAMIENTO ONCOLOGÍA SEMANAL</t>
    </r>
  </si>
  <si>
    <r>
      <t xml:space="preserve">El personal designado por el jefe de la Unidad de Farmacia reportará mensualmente a través del FORMATO:  Registro y seguimiento de préstamos interinstitucionales, con el fin de tener la trazabilidad de los prestamos generados a otras instituciones desde la fecha de inicio del prestamos, seguimiento y su cierre.
</t>
    </r>
    <r>
      <rPr>
        <b/>
        <sz val="18"/>
        <color theme="1"/>
        <rFont val="Arial Narrow"/>
        <family val="2"/>
      </rPr>
      <t>Soporte:</t>
    </r>
    <r>
      <rPr>
        <sz val="18"/>
        <color theme="1"/>
        <rFont val="Arial Narrow"/>
        <family val="2"/>
      </rPr>
      <t xml:space="preserve"> Registro y seguimiento de préstamos interinstitucionales</t>
    </r>
  </si>
  <si>
    <r>
      <t xml:space="preserve">El responsable de cada farmacia realiza de acuerdo a la necesidad la solicitud de suministros con el fin de mantener los niveles de stock suficientes para cada farmacia, los cuales se sustentarán con los pedidos periodicos realizados por DGH.
</t>
    </r>
    <r>
      <rPr>
        <b/>
        <sz val="18"/>
        <color theme="1"/>
        <rFont val="Arial Narrow"/>
        <family val="2"/>
      </rPr>
      <t>Soporte:</t>
    </r>
    <r>
      <rPr>
        <sz val="18"/>
        <color theme="1"/>
        <rFont val="Arial Narrow"/>
        <family val="2"/>
      </rPr>
      <t xml:space="preserve"> Requerimiento de medicamnetos e insumos requeridos por las farmacias (DGH).</t>
    </r>
  </si>
  <si>
    <r>
      <t xml:space="preserve">El supervisor del contrato de gases medicinales hace seguimiento mensual del mismo, con el fin de dar cumplimiento y garantizar la disponibilidad de gases medicinales en el Hospital Militar Central.
</t>
    </r>
    <r>
      <rPr>
        <b/>
        <sz val="18"/>
        <color theme="1"/>
        <rFont val="Arial Narrow"/>
        <family val="2"/>
      </rPr>
      <t>Soporte:</t>
    </r>
    <r>
      <rPr>
        <sz val="18"/>
        <color theme="1"/>
        <rFont val="Arial Narrow"/>
        <family val="2"/>
      </rPr>
      <t xml:space="preserve"> Informe de Supervisión del contrato.</t>
    </r>
  </si>
  <si>
    <r>
      <t xml:space="preserve">Frente al desabastecimiento de medicamentos el operador logístico y/o el laboratorio reporta al jefe de la unidad de Farmacia, quien se encarga de informar a los médicos tratantes con el fin de buscar diferentes alternativas para darle continuidad al tratamiento del paciente.
</t>
    </r>
    <r>
      <rPr>
        <b/>
        <sz val="18"/>
        <color theme="1"/>
        <rFont val="Arial Narrow"/>
        <family val="2"/>
      </rPr>
      <t>Soporte:</t>
    </r>
    <r>
      <rPr>
        <sz val="18"/>
        <color theme="1"/>
        <rFont val="Arial Narrow"/>
        <family val="2"/>
      </rPr>
      <t xml:space="preserve"> Correos electrónicos.</t>
    </r>
  </si>
  <si>
    <r>
      <t xml:space="preserve">El responsable de cada farmacia realiza verificación mensual de la correcta identificación </t>
    </r>
    <r>
      <rPr>
        <b/>
        <sz val="18"/>
        <color theme="1"/>
        <rFont val="Arial Narrow"/>
        <family val="2"/>
      </rPr>
      <t>LASA</t>
    </r>
    <r>
      <rPr>
        <sz val="18"/>
        <color theme="1"/>
        <rFont val="Arial Narrow"/>
        <family val="2"/>
      </rPr>
      <t xml:space="preserve"> (Look alike sound alike) y semaforización (Marcación de medicamentos próximos a vencer) para los medicamentos que así lo requieren, con el fin de realizar una dispensación segura de los mismos. 
</t>
    </r>
    <r>
      <rPr>
        <b/>
        <sz val="18"/>
        <color theme="1"/>
        <rFont val="Arial Narrow"/>
        <family val="2"/>
      </rPr>
      <t xml:space="preserve">Soporte: </t>
    </r>
    <r>
      <rPr>
        <sz val="18"/>
        <color theme="1"/>
        <rFont val="Arial Narrow"/>
        <family val="2"/>
      </rPr>
      <t>(Evidencia fotográfica enviada vía correo electrónico).</t>
    </r>
  </si>
  <si>
    <r>
      <t xml:space="preserve">El responsable de cada farmacia realiza de manera mensual el seguimiento a productos próximos a vencer, mediante el reporte de inventario generado en Dinámica Gerencial Hospitalaria, con el cual se gestiona el cambio con el responsable (Operador Logístico y laboratorio)
</t>
    </r>
    <r>
      <rPr>
        <b/>
        <sz val="18"/>
        <color theme="1"/>
        <rFont val="Arial Narrow"/>
        <family val="2"/>
      </rPr>
      <t>Soporte:</t>
    </r>
    <r>
      <rPr>
        <sz val="18"/>
        <color theme="1"/>
        <rFont val="Arial Narrow"/>
        <family val="2"/>
      </rPr>
      <t xml:space="preserve"> Correos electrónicos.</t>
    </r>
  </si>
  <si>
    <r>
      <t xml:space="preserve">El personal designado del área de planta de producción de aire medicinal, realiza la recepción técnica en el momento del ingreso de los gases medicinales mediante del formato </t>
    </r>
    <r>
      <rPr>
        <b/>
        <sz val="18"/>
        <color theme="1"/>
        <rFont val="Arial Narrow"/>
        <family val="2"/>
      </rPr>
      <t>AA-UNFA-PR-15-FT-03</t>
    </r>
    <r>
      <rPr>
        <sz val="18"/>
        <color theme="1"/>
        <rFont val="Arial Narrow"/>
        <family val="2"/>
      </rPr>
      <t xml:space="preserve">, con el fin de verificar fechas de vencimiento.
</t>
    </r>
    <r>
      <rPr>
        <b/>
        <sz val="18"/>
        <color theme="1"/>
        <rFont val="Arial Narrow"/>
        <family val="2"/>
      </rPr>
      <t>Soporte:</t>
    </r>
    <r>
      <rPr>
        <sz val="18"/>
        <color theme="1"/>
        <rFont val="Arial Narrow"/>
        <family val="2"/>
      </rPr>
      <t xml:space="preserve"> Formato de recepción de gases medicinales. </t>
    </r>
  </si>
  <si>
    <r>
      <t xml:space="preserve">El químico farmacéutico de control de calidad, realiza cada vez que se requiera la verificación de la información de las etiquetas de identificación de adecuaciones, con la solicitud y/o la fórmula médica para las producciones que aplique.
</t>
    </r>
    <r>
      <rPr>
        <b/>
        <sz val="18"/>
        <color theme="1"/>
        <rFont val="Arial Narrow"/>
        <family val="2"/>
      </rPr>
      <t>Soporte:</t>
    </r>
    <r>
      <rPr>
        <sz val="18"/>
        <color theme="1"/>
        <rFont val="Arial Narrow"/>
        <family val="2"/>
      </rPr>
      <t xml:space="preserve"> Paquete técnico de la CAM.</t>
    </r>
  </si>
  <si>
    <r>
      <t xml:space="preserve">El químico farmacéutico encargado del aseguramiento de calidad es responsable de ejecutar y garantizar el cumplimiento del programa anual de capacitaciones. Este programa abarca temas clave como (la interpretación de órdenes médicas, los procesos de producción, y el control de calidad de los productos preparados en la Central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</si>
  <si>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t>
    </r>
    <r>
      <rPr>
        <b/>
        <sz val="18"/>
        <color theme="1"/>
        <rFont val="Arial Narrow"/>
        <family val="2"/>
      </rPr>
      <t>Soporte:</t>
    </r>
    <r>
      <rPr>
        <sz val="18"/>
        <color theme="1"/>
        <rFont val="Arial Narrow"/>
        <family val="2"/>
      </rPr>
      <t xml:space="preserve"> Informe de microbiología. </t>
    </r>
  </si>
  <si>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8"/>
        <color theme="1"/>
        <rFont val="Arial Narrow"/>
        <family val="2"/>
      </rPr>
      <t>CÓDIGO: AH-CLME-PT-03</t>
    </r>
    <r>
      <rPr>
        <sz val="18"/>
        <color theme="1"/>
        <rFont val="Arial Narrow"/>
        <family val="2"/>
      </rPr>
      <t xml:space="preserve"> e Ingreso y egreso de las áreas de producción, desinfección personal y flujo de materiales CAM </t>
    </r>
    <r>
      <rPr>
        <b/>
        <sz val="18"/>
        <color theme="1"/>
        <rFont val="Arial Narrow"/>
        <family val="2"/>
      </rPr>
      <t xml:space="preserve">CÓDIGO: Cód. AA-UNFA-PT-19, </t>
    </r>
    <r>
      <rPr>
        <sz val="18"/>
        <color theme="1"/>
        <rFont val="Arial Narrow"/>
        <family val="2"/>
      </rPr>
      <t xml:space="preserve">con el fin dar cumplimiento a la normatividad y garantizar la adherencia a protocolos. 
</t>
    </r>
    <r>
      <rPr>
        <b/>
        <sz val="18"/>
        <color theme="1"/>
        <rFont val="Arial Narrow"/>
        <family val="2"/>
      </rPr>
      <t>Soporte:</t>
    </r>
    <r>
      <rPr>
        <sz val="18"/>
        <color theme="1"/>
        <rFont val="Arial Narrow"/>
        <family val="2"/>
      </rPr>
      <t xml:space="preserve"> Cronograma de capacitación, evaluaciones y listados de asistencia.</t>
    </r>
  </si>
  <si>
    <r>
      <t xml:space="preserve">El auxiliar de farmacia designado, realiza seguimiento quincenal al estado de insumos utilizados para la limpieza y verificación de puntos críticos de limpieza mediante el formato Lista de verificación y desinfección CAM </t>
    </r>
    <r>
      <rPr>
        <b/>
        <sz val="18"/>
        <color theme="1"/>
        <rFont val="Arial Narrow"/>
        <family val="2"/>
      </rPr>
      <t xml:space="preserve">CÓDIGO: AH-CLME-PT-26-FT-03. 
Soporte: </t>
    </r>
    <r>
      <rPr>
        <sz val="18"/>
        <color theme="1"/>
        <rFont val="Arial Narrow"/>
        <family val="2"/>
      </rPr>
      <t>Lista de verificación y desinfección CAM</t>
    </r>
  </si>
  <si>
    <r>
      <t xml:space="preserve">El químico farmacéutico de aseguramiento de calidad hace seguimiento trimestral del cronograma de mantenimiento y calibración de equipo industrial Cod. </t>
    </r>
    <r>
      <rPr>
        <b/>
        <sz val="18"/>
        <color theme="1"/>
        <rFont val="Arial Narrow"/>
        <family val="2"/>
      </rPr>
      <t xml:space="preserve">GL-EQIN-PR-01-FT-02, </t>
    </r>
    <r>
      <rPr>
        <sz val="18"/>
        <color theme="1"/>
        <rFont val="Arial Narrow"/>
        <family val="2"/>
      </rPr>
      <t>de la Central de Adecuación de Medicamentos,</t>
    </r>
    <r>
      <rPr>
        <b/>
        <sz val="18"/>
        <color theme="1"/>
        <rFont val="Arial Narrow"/>
        <family val="2"/>
      </rPr>
      <t xml:space="preserve"> </t>
    </r>
    <r>
      <rPr>
        <sz val="18"/>
        <color theme="1"/>
        <rFont val="Arial Narrow"/>
        <family val="2"/>
      </rPr>
      <t xml:space="preserve">con el fin de verificar su cumplimiento. 
</t>
    </r>
    <r>
      <rPr>
        <b/>
        <sz val="18"/>
        <color theme="1"/>
        <rFont val="Arial Narrow"/>
        <family val="2"/>
      </rPr>
      <t>Soporte:</t>
    </r>
    <r>
      <rPr>
        <sz val="18"/>
        <color theme="1"/>
        <rFont val="Arial Narrow"/>
        <family val="2"/>
      </rPr>
      <t xml:space="preserve"> Cronograma de mantenimiento e Informe de mantenimiento.</t>
    </r>
  </si>
  <si>
    <r>
      <t xml:space="preserve">El coordinador de producción realiza capacitación anual y medición de adherencia semestral en temas de operación de equipos a todo el personal involucrado con la producción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</si>
  <si>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líder de calidad (de los servicios de patología, laboratorio y radiología) realiza reporte mensual del formato Cód. </t>
    </r>
    <r>
      <rPr>
        <b/>
        <sz val="18"/>
        <color theme="1"/>
        <rFont val="Arial Narrow"/>
        <family val="2"/>
      </rPr>
      <t>AA-LACL-PT-13-</t>
    </r>
    <r>
      <rPr>
        <b/>
        <sz val="18"/>
        <rFont val="Arial Narrow"/>
        <family val="2"/>
      </rPr>
      <t>FT-01</t>
    </r>
    <r>
      <rPr>
        <b/>
        <sz val="18"/>
        <color theme="1"/>
        <rFont val="Arial Narrow"/>
        <family val="2"/>
      </rPr>
      <t xml:space="preserve"> - ERRORES  EN  LA  VALIDACION  DE  RESULTADOS  Y/O  PÉRDIDA  DE  MUESTRAS    EN    LABORATORIO  CLÍNICO  –PATOLOGIA, BANCO DE SANGRE E  IMÁGENES DIAGNOSTICAS, </t>
    </r>
    <r>
      <rPr>
        <sz val="18"/>
        <color theme="1"/>
        <rFont val="Arial Narrow"/>
        <family val="2"/>
      </rPr>
      <t>con el fin de hacer seguimiento y evitar errores de interpretación, lectura, transcripción y validación de los resultados y/o estudios.</t>
    </r>
    <r>
      <rPr>
        <b/>
        <sz val="10"/>
        <color theme="1"/>
        <rFont val="Arial Narrow"/>
        <family val="2"/>
      </rPr>
      <t/>
    </r>
  </si>
  <si>
    <r>
      <t xml:space="preserve">El jefe del servicio y/o responsable de calidad realiza semanalmente la verificación mediante visto bueno en el formato Cod. </t>
    </r>
    <r>
      <rPr>
        <b/>
        <sz val="18"/>
        <color theme="1"/>
        <rFont val="Arial Narrow"/>
        <family val="2"/>
      </rPr>
      <t xml:space="preserve">AA-PATL-PR-01-FT-.01, </t>
    </r>
    <r>
      <rPr>
        <sz val="18"/>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</si>
  <si>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8"/>
        <color theme="1"/>
        <rFont val="Arial Narrow"/>
        <family val="2"/>
      </rPr>
      <t>AD-LABO-PT-03-FT-03</t>
    </r>
    <r>
      <rPr>
        <sz val="18"/>
        <color theme="1"/>
        <rFont val="Arial Narrow"/>
        <family val="2"/>
      </rPr>
      <t>, con el fin de identificar y prevenir posibles pérdidas de muestras. (Laboratorio Clínico)</t>
    </r>
  </si>
  <si>
    <r>
      <t xml:space="preserve">El jefe del servicio, realiza de manera mensual o trimestral </t>
    </r>
    <r>
      <rPr>
        <i/>
        <sz val="18"/>
        <rFont val="Arial Narrow"/>
        <family val="2"/>
      </rPr>
      <t>(De acuerdo a las necesidades del servicio)</t>
    </r>
    <r>
      <rPr>
        <sz val="18"/>
        <rFont val="Arial Narrow"/>
        <family val="2"/>
      </rPr>
      <t xml:space="preserve"> la solicitud de insumos en el formato Cod. </t>
    </r>
    <r>
      <rPr>
        <b/>
        <sz val="18"/>
        <rFont val="Arial Narrow"/>
        <family val="2"/>
      </rPr>
      <t xml:space="preserve">GA-GECO-PR-01-FT-01 - ORDEN DE PEDIDO A PROVEEDOR, </t>
    </r>
    <r>
      <rPr>
        <sz val="18"/>
        <rFont val="Arial Narrow"/>
        <family val="2"/>
      </rPr>
      <t xml:space="preserve">con el fin de garantizar la prestación del servicio. </t>
    </r>
  </si>
  <si>
    <r>
      <t xml:space="preserve">El líder del servicio verifica trimestralmente el reporte periódico del resultado de las lecturas de los dosímetros (TLV) dentro de los valores límite permisivos de dosis recibida por trabajador, con el fin de evitar una sobre exposición del personal. 
</t>
    </r>
    <r>
      <rPr>
        <b/>
        <sz val="18"/>
        <color theme="1"/>
        <rFont val="Arial Narrow"/>
        <family val="2"/>
      </rPr>
      <t>Soporte:</t>
    </r>
    <r>
      <rPr>
        <sz val="18"/>
        <color theme="1"/>
        <rFont val="Arial Narrow"/>
        <family val="2"/>
      </rPr>
      <t xml:space="preserve"> Reporte del valor de lectura dosímetro - Listado del Personal</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</si>
  <si>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8"/>
        <color theme="1"/>
        <rFont val="Arial Narrow"/>
        <family val="2"/>
      </rPr>
      <t xml:space="preserve">Cod. FR-UNFA-PR-22.
Soporte: </t>
    </r>
    <r>
      <rPr>
        <sz val="18"/>
        <color theme="1"/>
        <rFont val="Arial Narrow"/>
        <family val="2"/>
      </rPr>
      <t>Formato de Selectivas.</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</si>
  <si>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8"/>
        <color theme="1"/>
        <rFont val="Arial Narrow"/>
        <family val="2"/>
      </rPr>
      <t>COD AA-UNFA-PR-15</t>
    </r>
    <r>
      <rPr>
        <sz val="18"/>
        <color theme="1"/>
        <rFont val="Arial Narrow"/>
        <family val="2"/>
      </rPr>
      <t xml:space="preserve"> mediante  el FT Evaluación de adherencia COD </t>
    </r>
    <r>
      <rPr>
        <b/>
        <sz val="18"/>
        <color theme="1"/>
        <rFont val="Arial Narrow"/>
        <family val="2"/>
      </rPr>
      <t>EM-CLDD-PR-01-FT-05</t>
    </r>
    <r>
      <rPr>
        <sz val="18"/>
        <color theme="1"/>
        <rFont val="Arial Narrow"/>
        <family val="2"/>
      </rPr>
      <t xml:space="preserve">, con el fin de mitigar las averías en productos.
</t>
    </r>
    <r>
      <rPr>
        <b/>
        <sz val="18"/>
        <color theme="1"/>
        <rFont val="Arial Narrow"/>
        <family val="2"/>
      </rPr>
      <t>Soporte:</t>
    </r>
    <r>
      <rPr>
        <sz val="18"/>
        <color theme="1"/>
        <rFont val="Arial Narrow"/>
        <family val="2"/>
      </rPr>
      <t xml:space="preserve"> FT Evaluación de adherencia.</t>
    </r>
  </si>
  <si>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8"/>
        <color theme="1"/>
        <rFont val="Arial Narrow"/>
        <family val="2"/>
      </rPr>
      <t xml:space="preserve"> PROCEDIMIENTO:  MANEJO DE PRODUCTOS PRÓXIMOS A VENCER, AVERIADOS Y VENCIDOS CÓDIGO: AA-UNFA-PR-20.
Soporte:</t>
    </r>
    <r>
      <rPr>
        <sz val="18"/>
        <color theme="1"/>
        <rFont val="Arial Narrow"/>
        <family val="2"/>
      </rPr>
      <t xml:space="preserve"> Correos electrónicos con la relación de los medicamentos e insumos próximos a vencer.</t>
    </r>
  </si>
  <si>
    <r>
      <t xml:space="preserve">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t>
    </r>
    <r>
      <rPr>
        <b/>
        <sz val="18"/>
        <color theme="1"/>
        <rFont val="Arial Narrow"/>
        <family val="2"/>
      </rPr>
      <t>Soporte:</t>
    </r>
    <r>
      <rPr>
        <sz val="18"/>
        <color theme="1"/>
        <rFont val="Arial Narrow"/>
        <family val="2"/>
      </rPr>
      <t xml:space="preserve"> Correos electrónicos con la solicitud a los proveedores de cambio de los medicamentos e insumos próximos a vencer.</t>
    </r>
  </si>
  <si>
    <r>
      <t xml:space="preserve">El responsable del servicio de urgencias, verifica permanentemente el cumplimiento de Clasificación y valoración en triage </t>
    </r>
    <r>
      <rPr>
        <b/>
        <sz val="18"/>
        <color theme="1"/>
        <rFont val="Arial Narrow"/>
        <family val="2"/>
      </rPr>
      <t>Cod.</t>
    </r>
    <r>
      <rPr>
        <sz val="18"/>
        <color theme="1"/>
        <rFont val="Arial Narrow"/>
        <family val="2"/>
      </rPr>
      <t xml:space="preserve"> </t>
    </r>
    <r>
      <rPr>
        <b/>
        <sz val="18"/>
        <color theme="1"/>
        <rFont val="Arial Narrow"/>
        <family val="2"/>
      </rPr>
      <t xml:space="preserve">AM-URGN-PR-14 </t>
    </r>
    <r>
      <rPr>
        <sz val="18"/>
        <color theme="1"/>
        <rFont val="Arial Narrow"/>
        <family val="2"/>
      </rPr>
      <t xml:space="preserve">versión 7, Tabla de clasificación de triage </t>
    </r>
    <r>
      <rPr>
        <b/>
        <sz val="18"/>
        <color theme="1"/>
        <rFont val="Arial Narrow"/>
        <family val="2"/>
      </rPr>
      <t>Cod.</t>
    </r>
    <r>
      <rPr>
        <sz val="18"/>
        <color theme="1"/>
        <rFont val="Arial Narrow"/>
        <family val="2"/>
      </rPr>
      <t xml:space="preserve"> </t>
    </r>
    <r>
      <rPr>
        <b/>
        <sz val="18"/>
        <color theme="1"/>
        <rFont val="Arial Narrow"/>
        <family val="2"/>
      </rPr>
      <t xml:space="preserve">AM-URGN-PR-14-FT-01, </t>
    </r>
    <r>
      <rPr>
        <sz val="18"/>
        <color theme="1"/>
        <rFont val="Arial Narrow"/>
        <family val="2"/>
      </rPr>
      <t>versión 5</t>
    </r>
    <r>
      <rPr>
        <b/>
        <sz val="18"/>
        <color theme="1"/>
        <rFont val="Arial Narrow"/>
        <family val="2"/>
      </rPr>
      <t xml:space="preserve"> </t>
    </r>
    <r>
      <rPr>
        <sz val="18"/>
        <color theme="1"/>
        <rFont val="Arial Narrow"/>
        <family val="2"/>
      </rPr>
      <t xml:space="preserve"> y Hoja de triage </t>
    </r>
    <r>
      <rPr>
        <b/>
        <sz val="18"/>
        <color theme="1"/>
        <rFont val="Arial Narrow"/>
        <family val="2"/>
      </rPr>
      <t xml:space="preserve">Cod. AM-URGE-PR-03-FT-06 </t>
    </r>
    <r>
      <rPr>
        <sz val="18"/>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</si>
  <si>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8"/>
        <color theme="1"/>
        <rFont val="Arial Narrow"/>
        <family val="2"/>
      </rPr>
      <t>AM-URGN-PR-14 versión 7</t>
    </r>
    <r>
      <rPr>
        <sz val="18"/>
        <color theme="1"/>
        <rFont val="Arial Narrow"/>
        <family val="2"/>
      </rPr>
      <t xml:space="preserve">, Tabla de clasificación de triage Cod. </t>
    </r>
    <r>
      <rPr>
        <b/>
        <sz val="18"/>
        <color theme="1"/>
        <rFont val="Arial Narrow"/>
        <family val="2"/>
      </rPr>
      <t>AM-URGN-PR-14-FT-01, versión 5</t>
    </r>
    <r>
      <rPr>
        <sz val="18"/>
        <color theme="1"/>
        <rFont val="Arial Narrow"/>
        <family val="2"/>
      </rPr>
      <t xml:space="preserve"> y Hoja de triage Cod. </t>
    </r>
    <r>
      <rPr>
        <b/>
        <sz val="18"/>
        <color theme="1"/>
        <rFont val="Arial Narrow"/>
        <family val="2"/>
      </rPr>
      <t>AM-URGE-PR-03-FT-06 versión 2</t>
    </r>
    <r>
      <rPr>
        <sz val="18"/>
        <color theme="1"/>
        <rFont val="Arial Narrow"/>
        <family val="2"/>
      </rPr>
      <t>), con el fin de garantizar la atención integral, oportuna, segura y humanizada en la atención del paciente que consulta el servicio de urgencias.</t>
    </r>
  </si>
  <si>
    <r>
      <t>El responsable de cada área del servicio de urgencias (Enfermería) deberá identificar e informar al área de seguridad, los pacientes con alto riesgo de fuga (Pacientes con alteración de salud mental), de acuerdo al Protocolo :</t>
    </r>
    <r>
      <rPr>
        <b/>
        <sz val="18"/>
        <color theme="1"/>
        <rFont val="Arial Narrow"/>
        <family val="2"/>
      </rPr>
      <t xml:space="preserve"> GL-SEGU-PT-01</t>
    </r>
    <r>
      <rPr>
        <sz val="18"/>
        <color theme="1"/>
        <rFont val="Arial Narrow"/>
        <family val="2"/>
      </rPr>
      <t xml:space="preserve"> versión 1 - PROTOCOLO ACTUACIÓN FRENTE A LA FUGA DE USUARIOS.</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</si>
  <si>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8"/>
        <color theme="1"/>
        <rFont val="Arial Narrow"/>
        <family val="2"/>
      </rPr>
      <t>Cod. AM-COEX-PR-01-IN-02</t>
    </r>
    <r>
      <rPr>
        <sz val="18"/>
        <color theme="1"/>
        <rFont val="Arial Narrow"/>
        <family val="2"/>
      </rPr>
      <t xml:space="preserve"> versión 5, con el fin de fortalecer conocimientos y capacidades de los agentes encargados de la asignación de citas.
</t>
    </r>
    <r>
      <rPr>
        <b/>
        <sz val="18"/>
        <color theme="1"/>
        <rFont val="Arial Narrow"/>
        <family val="2"/>
      </rPr>
      <t>Soporte:</t>
    </r>
    <r>
      <rPr>
        <sz val="18"/>
        <color theme="1"/>
        <rFont val="Arial Narrow"/>
        <family val="2"/>
      </rPr>
      <t xml:space="preserve"> Actas de capacitación Trimestral.</t>
    </r>
  </si>
  <si>
    <r>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t>
    </r>
    <r>
      <rPr>
        <b/>
        <sz val="18"/>
        <color theme="1"/>
        <rFont val="Arial Narrow"/>
        <family val="2"/>
      </rPr>
      <t xml:space="preserve">Soporte: </t>
    </r>
    <r>
      <rPr>
        <sz val="18"/>
        <color theme="1"/>
        <rFont val="Arial Narrow"/>
        <family val="2"/>
      </rPr>
      <t>Actas de</t>
    </r>
    <r>
      <rPr>
        <b/>
        <sz val="18"/>
        <color theme="1"/>
        <rFont val="Arial Narrow"/>
        <family val="2"/>
      </rPr>
      <t xml:space="preserve"> </t>
    </r>
    <r>
      <rPr>
        <sz val="18"/>
        <color theme="1"/>
        <rFont val="Arial Narrow"/>
        <family val="2"/>
      </rPr>
      <t xml:space="preserve">Capacitación, evaluación y medición de adherencia de los protocolos y procedimientos del servicio de Consulta Externa. </t>
    </r>
  </si>
  <si>
    <r>
      <t xml:space="preserve">El responsable del servicio de consulta externa, verificará mensualmente el cumplimiento del procedimiento de asignación de citas que se realice de acuerdo a lo establecido en el instructivo Cod. </t>
    </r>
    <r>
      <rPr>
        <b/>
        <sz val="18"/>
        <color theme="1"/>
        <rFont val="Arial Narrow"/>
        <family val="2"/>
      </rPr>
      <t xml:space="preserve">AM-COEX-PR-01-IN-02, </t>
    </r>
    <r>
      <rPr>
        <sz val="18"/>
        <color theme="1"/>
        <rFont val="Arial Narrow"/>
        <family val="2"/>
      </rPr>
      <t>versión 5</t>
    </r>
    <r>
      <rPr>
        <b/>
        <sz val="18"/>
        <color theme="1"/>
        <rFont val="Arial Narrow"/>
        <family val="2"/>
      </rPr>
      <t xml:space="preserve"> </t>
    </r>
    <r>
      <rPr>
        <sz val="18"/>
        <color theme="1"/>
        <rFont val="Arial Narrow"/>
        <family val="2"/>
      </rPr>
      <t xml:space="preserve">y trimestralmente capacita y retroalimenta al personal a cargo de la asignación de citas, dando cumplimiento al código de ética y buen gobierno de la entidad.
</t>
    </r>
    <r>
      <rPr>
        <b/>
        <sz val="18"/>
        <color theme="1"/>
        <rFont val="Arial Narrow"/>
        <family val="2"/>
      </rPr>
      <t>Soporte:</t>
    </r>
    <r>
      <rPr>
        <sz val="18"/>
        <color theme="1"/>
        <rFont val="Arial Narrow"/>
        <family val="2"/>
      </rPr>
      <t xml:space="preserve"> Actas de capacitación Trimestral.</t>
    </r>
  </si>
  <si>
    <r>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t>
    </r>
    <r>
      <rPr>
        <b/>
        <sz val="18"/>
        <color theme="1"/>
        <rFont val="Arial Narrow"/>
        <family val="2"/>
      </rPr>
      <t>AA-IMDG-PR-07</t>
    </r>
    <r>
      <rPr>
        <sz val="18"/>
        <color theme="1"/>
        <rFont val="Arial Narrow"/>
        <family val="2"/>
      </rPr>
      <t xml:space="preserve"> versión No. 7, dando cumplimiento al código de ética y buen gobierno de la entidad.
</t>
    </r>
    <r>
      <rPr>
        <b/>
        <sz val="18"/>
        <color theme="1"/>
        <rFont val="Arial Narrow"/>
        <family val="2"/>
      </rPr>
      <t>Soporte:</t>
    </r>
    <r>
      <rPr>
        <sz val="18"/>
        <color theme="1"/>
        <rFont val="Arial Narrow"/>
        <family val="2"/>
      </rPr>
      <t xml:space="preserve"> Actas de capacitación y evaluaciones de la misma. </t>
    </r>
  </si>
  <si>
    <r>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t>
    </r>
    <r>
      <rPr>
        <b/>
        <sz val="18"/>
        <color theme="1"/>
        <rFont val="Arial Narrow"/>
        <family val="2"/>
      </rPr>
      <t>AH-SACI-GM-01-DI-01-FT-16</t>
    </r>
    <r>
      <rPr>
        <sz val="18"/>
        <color theme="1"/>
        <rFont val="Arial Narrow"/>
        <family val="2"/>
      </rPr>
      <t xml:space="preserve">, dando cumplimiento al documento Código </t>
    </r>
    <r>
      <rPr>
        <b/>
        <sz val="18"/>
        <color theme="1"/>
        <rFont val="Arial Narrow"/>
        <family val="2"/>
      </rPr>
      <t>AH-ESQX-GM-01-DI-01</t>
    </r>
    <r>
      <rPr>
        <sz val="18"/>
        <color theme="1"/>
        <rFont val="Arial Narrow"/>
        <family val="2"/>
      </rPr>
      <t xml:space="preserve">, y al Manual Técnico Administrativo del PAI, con el fin de mantener el control de medicamentos (Stock y fechas de vencimiento).
</t>
    </r>
    <r>
      <rPr>
        <b/>
        <sz val="18"/>
        <color theme="1"/>
        <rFont val="Arial Narrow"/>
        <family val="2"/>
      </rPr>
      <t>Soporte:</t>
    </r>
    <r>
      <rPr>
        <sz val="18"/>
        <color theme="1"/>
        <rFont val="Arial Narrow"/>
        <family val="2"/>
      </rPr>
      <t xml:space="preserve"> Inventario en el formato de Informe Verificación del carro de paro y nevera de biológicos.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</si>
  <si>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8"/>
        <color theme="1"/>
        <rFont val="Arial Narrow"/>
        <family val="2"/>
      </rPr>
      <t>Cod. AM-ENFE-PP-01</t>
    </r>
    <r>
      <rPr>
        <sz val="18"/>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</si>
  <si>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r>
      <t>El responsable del servicio de enfermería con su equipo de trabajo, verifica trimestralmente mediante la socialización y medición de adherencia al protocolo de administración segura de medicamentos  CÓDIGO:</t>
    </r>
    <r>
      <rPr>
        <b/>
        <sz val="18"/>
        <color theme="1"/>
        <rFont val="Arial Narrow"/>
        <family val="2"/>
      </rPr>
      <t xml:space="preserve"> PM-ENFE-PT-01, </t>
    </r>
    <r>
      <rPr>
        <sz val="18"/>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</si>
  <si>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r>
      <t xml:space="preserve">El Director de la </t>
    </r>
    <r>
      <rPr>
        <b/>
        <sz val="18"/>
        <color theme="1"/>
        <rFont val="Arial Narrow"/>
        <family val="2"/>
      </rPr>
      <t>ESAE</t>
    </r>
    <r>
      <rPr>
        <sz val="18"/>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</si>
  <si>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8"/>
        <color theme="1"/>
        <rFont val="Arial Narrow"/>
        <family val="2"/>
      </rPr>
      <t>GH-ADPE-PR-01</t>
    </r>
    <r>
      <rPr>
        <sz val="18"/>
        <color theme="1"/>
        <rFont val="Arial Narrow"/>
        <family val="2"/>
      </rPr>
      <t>, 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</si>
  <si>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8"/>
        <color theme="1"/>
        <rFont val="Arial Narrow"/>
        <family val="2"/>
      </rPr>
      <t xml:space="preserve">GH-REIN-PR-01-FT-01 - </t>
    </r>
    <r>
      <rPr>
        <sz val="18"/>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</si>
  <si>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8"/>
        <color theme="1"/>
        <rFont val="Arial Narrow"/>
        <family val="2"/>
      </rPr>
      <t>Cód: GH-REIN-PR-01.</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</si>
  <si>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8"/>
        <color theme="1"/>
        <rFont val="Arial Narrow"/>
        <family val="2"/>
      </rPr>
      <t>GH-SUAD-CP-03</t>
    </r>
    <r>
      <rPr>
        <sz val="18"/>
        <color theme="1"/>
        <rFont val="Arial Narrow"/>
        <family val="2"/>
      </rPr>
      <t xml:space="preserve">, con el fin de llevar una adecuada administración del recurso humano y salvaguardar los derechos de los servidores públicos.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</si>
  <si>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8"/>
        <color theme="1"/>
        <rFont val="Arial Narrow"/>
        <family val="2"/>
      </rPr>
      <t>(Actas de confidencialidad)</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</si>
  <si>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8"/>
        <color theme="1"/>
        <rFont val="Arial Narrow"/>
        <family val="2"/>
      </rPr>
      <t>(Acta de compromisos)</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</si>
  <si>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8"/>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</si>
  <si>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8"/>
        <color theme="1"/>
        <rFont val="Arial Narrow"/>
        <family val="2"/>
      </rPr>
      <t>Nota:</t>
    </r>
    <r>
      <rPr>
        <sz val="18"/>
        <color theme="1"/>
        <rFont val="Arial Narrow"/>
        <family val="2"/>
      </rPr>
      <t xml:space="preserve"> En casos excepcionales como: grado de consulta, recursos, remisión por competencia o en los que disponga la Ley. </t>
    </r>
  </si>
  <si>
    <r>
      <t xml:space="preserve">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t>
    </r>
    <r>
      <rPr>
        <b/>
        <sz val="18"/>
        <color theme="1"/>
        <rFont val="Arial Narrow"/>
        <family val="2"/>
      </rPr>
      <t>Soporte:</t>
    </r>
    <r>
      <rPr>
        <sz val="18"/>
        <color theme="1"/>
        <rFont val="Arial Narrow"/>
        <family val="2"/>
      </rPr>
      <t xml:space="preserve"> Actas de entrega de los servidores que son reubicados o trasladados de área o servicio.</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</si>
  <si>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8"/>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</si>
  <si>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8"/>
        <color theme="1"/>
        <rFont val="Arial Narrow"/>
        <family val="2"/>
      </rPr>
      <t>(Reporte técnico por parte del proveedor)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</si>
  <si>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</si>
  <si>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correctivo)</t>
    </r>
  </si>
  <si>
    <r>
      <t xml:space="preserve">El responsable del área de Bioestadística, revisa cada vez que se requiera el cumplimiento de los requisitos establecidos en el procedimiento de Respuesta a solicitudes de fotocopias de historias clínicas y constancias, cod, </t>
    </r>
    <r>
      <rPr>
        <b/>
        <sz val="18"/>
        <color theme="1"/>
        <rFont val="Arial Narrow"/>
        <family val="2"/>
      </rPr>
      <t>GD-BAHC-PR-04</t>
    </r>
    <r>
      <rPr>
        <sz val="18"/>
        <color theme="1"/>
        <rFont val="Arial Narrow"/>
        <family val="2"/>
      </rPr>
      <t xml:space="preserve"> para la entrega de la copia de historia clínica, con el fin garantizar la autenticidad de la persona natural o jurídica que la solicita y de dar cumplimiento a lo solicitado. </t>
    </r>
  </si>
  <si>
    <r>
      <t xml:space="preserve">El profesional o técnico contable del área de almacenes bienes activos - ALBA, realiza de acuerdo a requerimiento el registro de  bienes adquiridos por la entidad, diligenciando formato </t>
    </r>
    <r>
      <rPr>
        <b/>
        <sz val="18"/>
        <color theme="1"/>
        <rFont val="Arial Narrow"/>
        <family val="2"/>
      </rPr>
      <t>INGRESO DE EQUIPOS POR ADQUISICION CÓDIGO: GA-ALBA-PR-07-FT-01</t>
    </r>
    <r>
      <rPr>
        <sz val="18"/>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</si>
  <si>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8"/>
        <color theme="1"/>
        <rFont val="Arial Narrow"/>
        <family val="2"/>
      </rPr>
      <t>INGRESO DE EQUIPOS POR ADQUISICION CÓDIGO: GA-ALBA-PR-07-FT-01</t>
    </r>
    <r>
      <rPr>
        <sz val="18"/>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</si>
  <si>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8"/>
        <color theme="1"/>
        <rFont val="Arial Narrow"/>
        <family val="2"/>
      </rPr>
      <t>VERIFICACIÓN DE ACTIVOS CÓDIGO: GA-ALBA-PR-09-FT-03</t>
    </r>
    <r>
      <rPr>
        <sz val="18"/>
        <color theme="1"/>
        <rFont val="Arial Narrow"/>
        <family val="2"/>
      </rPr>
      <t xml:space="preserve"> presentado por el responsable del mismo y/o delegado, elabora acta de formalización y recoge la totalidad de firmas establecidas en el formato autorizado para tal fin.</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</si>
  <si>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</si>
  <si>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</si>
  <si>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</si>
  <si>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</si>
  <si>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</si>
  <si>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</si>
  <si>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profesional o técnico responsable del área de presupuesto, valida anualmente el cargue inicial del presupuesto en los sistemas de información </t>
    </r>
    <r>
      <rPr>
        <i/>
        <sz val="18"/>
        <color theme="1"/>
        <rFont val="Arial Narrow"/>
        <family val="2"/>
      </rPr>
      <t>(Dinámica Gerencial Hospitalaria y SIIF Nación)</t>
    </r>
    <r>
      <rPr>
        <sz val="18"/>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8"/>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</si>
  <si>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8"/>
        <color theme="1"/>
        <rFont val="Arial Narrow"/>
        <family val="2"/>
      </rPr>
      <t>(Listado de registros vigencias futuras - socializado por correo electrónico)</t>
    </r>
  </si>
  <si>
    <r>
      <t>El responsable de la Unidad de Cuentas Hospitalarias y Facturación,</t>
    </r>
    <r>
      <rPr>
        <sz val="18"/>
        <color rgb="FFFF0000"/>
        <rFont val="Arial Narrow"/>
        <family val="2"/>
      </rPr>
      <t xml:space="preserve"> </t>
    </r>
    <r>
      <rPr>
        <sz val="18"/>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</si>
  <si>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r>
      <t xml:space="preserve">El auxiliar administrativo del área de Gestión Documental, Historias Clínicas e Imprenta, atiende cada vez que se requiera la consulta de solicitud de expediente o documento, conforme al procedimiento establecido </t>
    </r>
    <r>
      <rPr>
        <b/>
        <sz val="18"/>
        <color theme="1"/>
        <rFont val="Arial Narrow"/>
        <family val="2"/>
      </rPr>
      <t>CÓDIGO: GD-RECO-PR-05</t>
    </r>
    <r>
      <rPr>
        <sz val="18"/>
        <color theme="1"/>
        <rFont val="Arial Narrow"/>
        <family val="2"/>
      </rPr>
      <t xml:space="preserve"> con el fin de llevar un control de préstamos documentales del archivo central.</t>
    </r>
  </si>
  <si>
    <r>
      <t xml:space="preserve">El jefe / responsable / designado del área de Gestión Documental, Historias Clínicas e Imprenta., implementa </t>
    </r>
    <r>
      <rPr>
        <b/>
        <sz val="18"/>
        <rFont val="Arial Narrow"/>
        <family val="2"/>
      </rPr>
      <t>SEMESTRALMENTE</t>
    </r>
    <r>
      <rPr>
        <sz val="18"/>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</si>
  <si>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r>
      <t>El jefe / responsable / designado del área de Registro de Correspondencia y Archivo, velará por el cumplimiento de los lineamientos y políticas definidas dentro del procedimiento de préstamo y consulta Código</t>
    </r>
    <r>
      <rPr>
        <b/>
        <sz val="18"/>
        <color theme="1"/>
        <rFont val="Arial Narrow"/>
        <family val="2"/>
      </rPr>
      <t xml:space="preserve">: </t>
    </r>
    <r>
      <rPr>
        <b/>
        <sz val="18"/>
        <rFont val="Arial Narrow"/>
        <family val="2"/>
      </rPr>
      <t>GL-RECO-PR-03</t>
    </r>
    <r>
      <rPr>
        <b/>
        <sz val="18"/>
        <color theme="1"/>
        <rFont val="Arial Narrow"/>
        <family val="2"/>
      </rPr>
      <t xml:space="preserve">, </t>
    </r>
    <r>
      <rPr>
        <sz val="18"/>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</si>
  <si>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8"/>
        <rFont val="Arial Narrow"/>
        <family val="2"/>
      </rPr>
      <t>GD-RECO-PR-01</t>
    </r>
    <r>
      <rPr>
        <sz val="18"/>
        <color theme="1"/>
        <rFont val="Arial Narrow"/>
        <family val="2"/>
      </rPr>
      <t xml:space="preserve"> y Código: </t>
    </r>
    <r>
      <rPr>
        <b/>
        <sz val="18"/>
        <rFont val="Arial Narrow"/>
        <family val="2"/>
      </rPr>
      <t>GD-RECO-PR-02.</t>
    </r>
  </si>
  <si>
    <r>
      <t xml:space="preserve">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t>
    </r>
    <r>
      <rPr>
        <b/>
        <sz val="18"/>
        <color theme="1"/>
        <rFont val="Arial Narrow"/>
        <family val="2"/>
      </rPr>
      <t>(Bitácora)</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</si>
  <si>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8"/>
        <color theme="1"/>
        <rFont val="Arial Narrow"/>
        <family val="2"/>
      </rPr>
      <t>(Herramienta de priorización y acta de CICCI).</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</si>
  <si>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8"/>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</si>
  <si>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pertinencia de las respuesta consolidadas para atender los requerimientos de Entes de Control.
</t>
    </r>
    <r>
      <rPr>
        <b/>
        <sz val="18"/>
        <color theme="1"/>
        <rFont val="Arial Narrow"/>
        <family val="2"/>
      </rPr>
      <t>(Respuesta consolidada a entes de control).</t>
    </r>
  </si>
  <si>
    <r>
      <t xml:space="preserve">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t>
    </r>
    <r>
      <rPr>
        <b/>
        <sz val="18"/>
        <color theme="1"/>
        <rFont val="Arial Narrow"/>
        <family val="2"/>
      </rPr>
      <t>EM-OCIN-PR-01</t>
    </r>
    <r>
      <rPr>
        <sz val="18"/>
        <color theme="1"/>
        <rFont val="Arial Narrow"/>
        <family val="2"/>
      </rPr>
      <t xml:space="preserve"> (Auditoria Interna) y Cod. </t>
    </r>
    <r>
      <rPr>
        <b/>
        <sz val="18"/>
        <color theme="1"/>
        <rFont val="Arial Narrow"/>
        <family val="2"/>
      </rPr>
      <t xml:space="preserve">EM-OCIN-PR-05. </t>
    </r>
    <r>
      <rPr>
        <sz val="18"/>
        <color theme="1"/>
        <rFont val="Arial Narrow"/>
        <family val="2"/>
      </rPr>
      <t xml:space="preserve">(Elaboración de Informes de Ley, seguimientos y/o selectivas) en las auditorias, seguimientos, selectivas e informes realizados por la OCIN.
</t>
    </r>
    <r>
      <rPr>
        <b/>
        <sz val="18"/>
        <color theme="1"/>
        <rFont val="Arial Narrow"/>
        <family val="2"/>
      </rPr>
      <t>(Informes de seguimiento, selectiva o informe de ley).</t>
    </r>
  </si>
  <si>
    <r>
      <t xml:space="preserve">
Los Profesionales de la Oficina de Control Interno, cada vez que se realice un informe de auditoría, diligencian el formato de Declaración de Independencia código </t>
    </r>
    <r>
      <rPr>
        <b/>
        <sz val="18"/>
        <color theme="1"/>
        <rFont val="Arial Narrow"/>
        <family val="2"/>
      </rPr>
      <t>EM-OCIN-PR-01-FT-04</t>
    </r>
    <r>
      <rPr>
        <sz val="18"/>
        <color theme="1"/>
        <rFont val="Arial Narrow"/>
        <family val="2"/>
      </rPr>
      <t xml:space="preserve">, con el propósito de realizar adherencia al Código de Ética para los Auditores Internos del Hospital Militar Central Cód.: </t>
    </r>
    <r>
      <rPr>
        <b/>
        <sz val="18"/>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</si>
  <si>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8"/>
        <color theme="1"/>
        <rFont val="Arial Narrow"/>
        <family val="2"/>
      </rPr>
      <t>(Informes de seguimiento y/o auditoria interna)</t>
    </r>
  </si>
  <si>
    <r>
      <t xml:space="preserve">El responsable del área de Atención al Usuario, realiza apertura cada vez que se requiera en el formato ficha de seguimiento PQRSDF Cod. </t>
    </r>
    <r>
      <rPr>
        <b/>
        <sz val="18"/>
        <color theme="1"/>
        <rFont val="Arial Narrow"/>
        <family val="2"/>
      </rPr>
      <t>CA-AUIS-PR-03-FT-02</t>
    </r>
    <r>
      <rPr>
        <sz val="18"/>
        <color theme="1"/>
        <rFont val="Arial Narrow"/>
        <family val="2"/>
      </rPr>
      <t xml:space="preserve">, y a su vez se envían los requerimientos por Control Doc a los jefes de servicio; esta ficha contiene toda la trazabilidad del trámite que se le da a cada PQRSDF de acuerdo a la solicitud del peticionario, ya sea de tipo General (Eventos adversos, inconformidad con los servicios, felicitaciones o sugerencias) o trámites de salud (Asignación de citas, procedimientos y entrega de resultados).
De forma semanal esta ficha es revisada con el objetivo de generar segundos y terceros requerimientos a los servicios  para obtener respuesta y así evitar el vencimiento de los tiempos de ley.
En cuanto a las PQRSDF relacionadas con Trámites de salud, en la ficha de seguimiento Cod. </t>
    </r>
    <r>
      <rPr>
        <b/>
        <sz val="18"/>
        <color theme="1"/>
        <rFont val="Arial Narrow"/>
        <family val="2"/>
      </rPr>
      <t>CA-AUIS-PR-03-FT-02</t>
    </r>
    <r>
      <rPr>
        <sz val="18"/>
        <color theme="1"/>
        <rFont val="Arial Narrow"/>
        <family val="2"/>
      </rPr>
      <t xml:space="preserve">,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t>
    </r>
    <r>
      <rPr>
        <b/>
        <sz val="18"/>
        <color theme="1"/>
        <rFont val="Arial Narrow"/>
        <family val="2"/>
      </rPr>
      <t>Nota:</t>
    </r>
    <r>
      <rPr>
        <sz val="18"/>
        <color theme="1"/>
        <rFont val="Arial Narrow"/>
        <family val="2"/>
      </rPr>
      <t xml:space="preserve">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t>
    </r>
    <r>
      <rPr>
        <b/>
        <sz val="18"/>
        <color theme="1"/>
        <rFont val="Arial Narrow"/>
        <family val="2"/>
      </rPr>
      <t>(Ficha de seguimiento)</t>
    </r>
  </si>
  <si>
    <t>Atenciones inseguras que generan percepción desfavorable de la entidad a los usuarios y los entes reguladores.</t>
  </si>
  <si>
    <t>Pérdida de credibilidad e impacto negativo en la imagen de la entidad.</t>
  </si>
  <si>
    <t>Incumplimiento de los  tiempos de respuesta establecidos en la ley a las PQRS y posibles tutelas.</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</si>
  <si>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</si>
  <si>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</si>
  <si>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</si>
  <si>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</si>
  <si>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</si>
  <si>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</si>
  <si>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</si>
  <si>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</si>
  <si>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</si>
  <si>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 xml:space="preserve">El Profesional encargado, realiza de manera trimestral un ejercicio aleatorio para verificar que los supervisores  den cumplimiento con establecido en el procedimiento o manual para el ejercicio de labor de supervisión. </t>
  </si>
  <si>
    <t>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t>
  </si>
  <si>
    <t>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t>
  </si>
  <si>
    <t>Enero 2025</t>
  </si>
  <si>
    <t>Recibir o solicitar cualquier dádiva o beneficio a nombre propio o de
terceros.</t>
  </si>
  <si>
    <t xml:space="preserve">Inadecuada manipulación de los procesos Disciplinarios Militares y procesos administrativos en beneficio del investigado. </t>
  </si>
  <si>
    <t>Posibilidad de afectación económica y reputacional por fallos judiciales en contra del HOMIL, debido a contestación extemporánea en las demandas interpuestas en contra de la entidad.</t>
  </si>
  <si>
    <r>
      <t xml:space="preserve">2. El responsable del área de administración de personal validará cada vez que se requiera, el formato único acta de entrega Cód. GH-ADPE-PR-01-FT-05, con el fin de garantizar la transferencia de conocimiento explícito de los servidores que se retiran de la Entidad.
</t>
    </r>
    <r>
      <rPr>
        <b/>
        <sz val="18"/>
        <color theme="1"/>
        <rFont val="Arial Narrow"/>
        <family val="2"/>
      </rPr>
      <t>Soporte:</t>
    </r>
    <r>
      <rPr>
        <sz val="18"/>
        <color theme="1"/>
        <rFont val="Arial Narrow"/>
        <family val="2"/>
      </rPr>
      <t xml:space="preserve"> Acta de entrega de los servidores que se retiran de la Entidad.</t>
    </r>
  </si>
  <si>
    <t>Enero de 2025</t>
  </si>
  <si>
    <t>Febrero de 2025</t>
  </si>
  <si>
    <t>Incumplimiento al procedimientos de devolución de medicamentos y dispositivos médicos.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</si>
  <si>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</si>
  <si>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Inoportunidad o no registro de las atenciones en salud prestadas a los pacientes.</t>
  </si>
  <si>
    <t>Multas y sanciones por el ente regulador.</t>
  </si>
  <si>
    <t>Traumatismos en la atención de los pacientes por ausencia de los formatos institucionales.</t>
  </si>
  <si>
    <t>Pérdida de credibilidad y confianza en la  Oficina de Control Interno.</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</si>
  <si>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20"/>
        <rFont val="Arial Narrow"/>
        <family val="2"/>
      </rPr>
      <t xml:space="preserve">Ley 1476 de 2011: </t>
    </r>
    <r>
      <rPr>
        <sz val="20"/>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20"/>
        <rFont val="Arial Narrow"/>
        <family val="2"/>
      </rPr>
      <t>Ley 1862 de 2017:</t>
    </r>
    <r>
      <rPr>
        <sz val="20"/>
        <rFont val="Arial Narrow"/>
        <family val="2"/>
      </rPr>
      <t xml:space="preserve"> Por la cual se establecen las normas de conducta del militar colombiano y se expide el Código Disciplinario Militar</t>
    </r>
  </si>
  <si>
    <t>Soporte del Seguimiento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</si>
  <si>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</si>
  <si>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</si>
  <si>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r>
      <t xml:space="preserve">El jefe de la Unidad de Compras Licitaciones y Bienes Activos, gestiona y promociona trimestralmente la disposición de un canal de denuncia por medio del correo </t>
    </r>
    <r>
      <rPr>
        <u/>
        <sz val="18"/>
        <color theme="3" tint="0.39997558519241921"/>
        <rFont val="Arial Narrow"/>
        <family val="2"/>
      </rPr>
      <t>mercadeocompras@homil.gov.co</t>
    </r>
    <r>
      <rPr>
        <sz val="18"/>
        <color theme="1"/>
        <rFont val="Arial Narrow"/>
        <family val="2"/>
      </rPr>
      <t xml:space="preserve"> ,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 Oficial de Cumplimiento: Correo: oficialcumplimiento@homil.gov.co  –  ggalvis@homil.gov.co
</t>
    </r>
  </si>
  <si>
    <r>
      <t xml:space="preserve">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Oficial de Cumplimiento: Correo: oficialcumplimiento@homil.gov.co  –  ggalvis@homil.gov.co</t>
    </r>
  </si>
  <si>
    <t>Posibilidad de afectación económica y reputacional por multas y sanciones, debido a la vinculación de personas naturales y/o jurídicas, sin considerar los lineamientos contemplados relacionados con conflictos de interés. (Política de Integridad).</t>
  </si>
  <si>
    <t>Posibilidad de afectación económica y reputacional por demandas legales y sanciones, debido a la omisión de la declaración de impedimento o recusación ante la posibilidad real o aparente de un conflicto de interés.</t>
  </si>
  <si>
    <t>Posibilidad de afectación económica por la no prestación integral de los servicios de salud a los usuarios del  HOMIL,  debido a la inadecuada identificación de necesidades para la adquisición de bienes y/o servicios.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</si>
  <si>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</si>
  <si>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</si>
  <si>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</si>
  <si>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</si>
  <si>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Posibilidad de afectación económica y reputacional por registro inoportuno en la Historia Clínica  del estado de salud y la atención brindada, debido a la interrupción en la prestación de los servicios tecnológicos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</si>
  <si>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</si>
  <si>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Posibilidad de afectación económica por no disponibilidad de la información clínica  de los usuarios del  HOMIL, debido a falta de respaldo (copias de seguridad) de la información.</t>
  </si>
  <si>
    <t>Posibilidad de afectación económica y reputacional por fallas en el funcionamiento del sistema de información clínico Dinámica Gerencial Hospitalaria generadas por el indebido control de cambios en la implementación de nuevas versiones del aplicativo.</t>
  </si>
  <si>
    <t>Posibilidad de afectación reputacional por pérdida de credibilidad e impacto negativo en la imagen  de la entidad, debido a 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</si>
  <si>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</si>
  <si>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</si>
  <si>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 xml:space="preserve">Posibilidad de afectación reputacional por la falta de oportunidad en el inicio o continuidad de la farmacoterapia a los usuarios atendidos por el HOMIL, debido a la no disponibilidad de los medicamentos, por incumplimiento del contratista que provee los mismos.
</t>
  </si>
  <si>
    <t>Posibilidad de afectación reputacional, asociado a la seguridad de paciente, debido a la  dispensación de medicamentos vencidos o diferentes a los prescritos.</t>
  </si>
  <si>
    <t>Posibilidad de afectación reputacional asociado a la seguridad de paciente, por liberación de un medicamento adecuado en la CAM que no corresponde con lo prescrito, producto de errores del personal en la interpretación de la prescripción médica, procesos de producción y liberación de medicamentos, sin cumplir requisitos de calidad.</t>
  </si>
  <si>
    <t xml:space="preserve">Posibilidad de afectación económica y reputacional por contaminación microbiológica en el área de producción de la CAM, debido a falta de adherencia a protocolos de limpieza y desinfección o una externalidad no controlada.
</t>
  </si>
  <si>
    <t>Posibilidad de afectación reputacional por error en el diagnóstico y tratamiento de los usuarios atendido por el HOMIL, debido al no cumplimiento de protocolos, errores de interpretación, lectura, transcripción y validación de los resultados y/o estudios.</t>
  </si>
  <si>
    <t>Posibilidad de afectación reputacional por pérdida de muestras sanguíneas, fluidos, biopsias, especímenes, citologías, debido al incumplimiento de protocolos de toma, transporte, entrega y recepción de muestras.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</si>
  <si>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</si>
  <si>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</si>
  <si>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Posibilidad de afectación económica por avería o daño en las tecnologías en salud durante los procesos logísticos de: almacenamiento, distribución, dispensación y uso, debido a externalidades no controladas y de adecuación para su debido uso.</t>
  </si>
  <si>
    <t>Posibilidad de afectación económica y reputacional por no cierre del ciclo de atención de los pacientes atendidos en el servicio de urgencias (asistencial y administrativo), debido a salida de pacientes sin autorización médica. (Fuga)</t>
  </si>
  <si>
    <t>Posibilidad de afectación reputacional por lesión o daño en el paciente durante la prestación del servicio,  por fallas en la manejo y adherencia a las guías, protocolos, procedimientos de gestión ambulatoria por el personal de salud en el sitio de trabajo.</t>
  </si>
  <si>
    <t>Posibilidad de afectación económica y reputacional, asociado a seguridad del paciente, debido a la pérdida de medicamentos e insumos hospitalarios en custodia del servicio de enfermería en consulta externa.</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</si>
  <si>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</si>
  <si>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</si>
  <si>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Posibilidad de afectación económica y reputacional por atención inoportuna en la prestación del servicio de salud a los usuarios atendidos por el HOMIL, debido a debilidades en el proceso de programación de cirugía.</t>
  </si>
  <si>
    <t xml:space="preserve">Posibilidad de afectación económica y reputacional por multas, sanciones, PQRSD, glosas y eventos adversos, debido a la falta de adherencia a las guías, procedimientos y protocolos del servicio de enfermería. </t>
  </si>
  <si>
    <t>Posibilidad de afectación económica y reputacional por atención inoportuna en la prestación del servicio de salud a los usuarios atendidos por el HOMIL, debido a la pérdida de medicamentos e insumos hospitalarios en custodia del servicio de enfermería.</t>
  </si>
  <si>
    <t>Posibilidad de afectación económica por disminución en los ingresos de la Escuela de Auxiliares de Enfermería, debido a la baja captación de los aspirantes al programa académico de acuerdo a la capacidad instalada y posible deserción estudiantil.</t>
  </si>
  <si>
    <t>Posibilidad de afectación reputacional por incumplimiento a la normatividad y sanciones del ente regulador llevando a la cancelación del escenario de práctica, debido a autorización de prácticas formativas sin convenio docencia servicio.</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</si>
  <si>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</si>
  <si>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</si>
  <si>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Posibilidad de afectación económica y reputacional por sanciones, multas y demandas, debido al incumplimiento de los requisitos legales y/o propios del empleo en los procesos de vinculación de la entidad y/o Militares en comisión.</t>
  </si>
  <si>
    <t>Posibilidad de afectación económica y reputacional por sanciones, multas y demandas, debido al traslado de personal sin verificar idoneidad y/o condiciones de salud para desempeñar el empleo.</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</si>
  <si>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</si>
  <si>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</si>
  <si>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</si>
  <si>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</si>
  <si>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</si>
  <si>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</si>
  <si>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</si>
  <si>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</si>
  <si>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Posibilidad de afectación económica y reputacional por sanciones y multas de los diferentes entes de control, debido a la inadecuada segregación y disposición final de residuos hospitarios.</t>
  </si>
  <si>
    <t>Posibilidad de afectación económica y reputacional por la no prestación en la atención integral de los servicios de salud a los usuarios atendidos por el HOMIL, debido a fallas en la red del suministro de gases medicinales (oxígeno, aire medicinal y vacío).</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</si>
  <si>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</si>
  <si>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</si>
  <si>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Posibilidad de afectación económica y reputacional por el cierre de áreas, servicios y sanciones disciplinarias, debido a la pérdida de materiales y herramientas necesarias para el mantenimiento de las instalaciones de la entidad.</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</si>
  <si>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</si>
  <si>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</si>
  <si>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Posibilidad de afectación reputacional por quejas, reclamos y complicaciones en la salud del paciente y usuarios, debido al incumplimiento al procedimiento de limpieza y desinfección en la entidad.</t>
  </si>
  <si>
    <t>Posibilidad de afectación económica y reputacional por el cierre de servicios por parte de organismos de vigilancia y control, debido al incumplimiento de la normatividad vigente. (Acreditación y habilitación).</t>
  </si>
  <si>
    <t xml:space="preserve">Posibilidad de afectación económica por multas y sanciones debido a la pérdida y hurto de recursos (dinero) de la caja manual (ventanilla) y para el manejo del dinero con el que se surte el cajero electrónico del parqueadero público. </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</si>
  <si>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</si>
  <si>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</si>
  <si>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debido a observaciones, hallazgos, multas o sanciones de entes de control, por pérdida de los bienes activos y bienes de consumo.</t>
  </si>
  <si>
    <t>Posibilidad de afectación económica por limitación en el cumplimiento del objetivo de los procesos del HOMIL, debido daño de los bienes activos derivado del uso negligente de los mismos.</t>
  </si>
  <si>
    <t>Posibilidad de afectación económica y reputacional por sanciones, multas y demandas, debido al incumplimiento de los requisitos legales y/o propios del objeto del contrato en los procesos de selección y vinculación de la entidad. (Vinculación de persona natural)</t>
  </si>
  <si>
    <t xml:space="preserve">Posibilidad de afectación económica y reputacional por limitación en la prestación de servicios de salud por falta de recursos, debido a fallas en la planeación y seguimiento presupuestal.
</t>
  </si>
  <si>
    <t>Posibilidad de afectación económica y reputacional por sanción y no fenecimiento de la cuenta fiscal, debido a inoportunidad o no registro de las transacciones económicas e incumplimiento a normatividad contable vigente.</t>
  </si>
  <si>
    <t>Posibilidad de afectación económica y reputacional por sanción y no fenecimiento de la cuenta fiscal, debido a incluir u omitir datos en el sistema de información, que no respondan a la realidad con respecto a la transacción realizada.</t>
  </si>
  <si>
    <t>Posibilidad de afectación económica, por sanciones económicas y penales, debido realizar dobles pagos frente a una misma obligación, pagos sin cumplimiento de requisitos e incumplimiento en el pago a terceros.</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</si>
  <si>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</si>
  <si>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Posibilidad de afectación económica por no facturación de los servicios prestados, debido a inoportunidad o no registro de las atenciones en salud prestadas a los pacientes.</t>
  </si>
  <si>
    <t>Posibilidad de afectación económica por inoportunidad en el recaudo de las cuentas por cobrar por prestación de servicios de salud, con los diferentes pagadores del sistema general de seguridad social en salud, debido al agotamiento en el cobro persuasivo.</t>
  </si>
  <si>
    <t>Posibilidad de afectación reputacional por pérdida del patrimonio documental, debido a la inadecuada administración de los documentos por parte del personal y/o incumplimiento de los procedimientos de la gestión documental en la entidad.</t>
  </si>
  <si>
    <t>Posibilidad de afectación reputacional por multas y sanciones por el ente regulador, debido a incumplimiento normativo, a causa de desgregación, deterioro y pérdida del patrimonio documental del archivo central de la entidad.</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</si>
  <si>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</si>
  <si>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</si>
  <si>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</si>
  <si>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Posibilidad de afectación económica y reputacional por traumatismos en la atención de los pacientes por ausencia de los formatos institucionales, debido a falta de insumos, materia prima y daño en equipos. (Impresoras litográficas y maquinas de corte).</t>
  </si>
  <si>
    <t>Posibilidad de afectación reputacional por selección inadecuada de procesos a evaluar, debido a la falta de aplicación de una herramienta de priorización de auditorías, como insumo para la elaboración del Plan Anual de Auditorias de cada vigencia.</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</si>
  <si>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</si>
  <si>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r>
      <t xml:space="preserve">Posibilidad de afectación económica por vencimiento de tecnologías en salud asociada a no realizar gestión alguna para evitar la materialización del riesgo, debido a falta de control, descuido en los proceso de manejo de productos próximos a vencer.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</si>
  <si>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t>
    </r>
    <r>
      <rPr>
        <b/>
        <sz val="20"/>
        <rFont val="Arial Narrow"/>
        <family val="2"/>
      </rPr>
      <t xml:space="preserve">Nota:
</t>
    </r>
    <r>
      <rPr>
        <sz val="20"/>
        <rFont val="Arial Narrow"/>
        <family val="2"/>
      </rPr>
      <t xml:space="preserve">Se establece un mínimo de tolerancia para evidenciar la materialización del riesgo, este corresponde al 0,08% de clasificación equivocada en la atención médica trimestral (Triage). </t>
    </r>
  </si>
  <si>
    <r>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t>
    </r>
    <r>
      <rPr>
        <b/>
        <sz val="20"/>
        <rFont val="Arial Narrow"/>
        <family val="2"/>
      </rPr>
      <t>Nota:</t>
    </r>
    <r>
      <rPr>
        <sz val="20"/>
        <rFont val="Arial Narrow"/>
        <family val="2"/>
      </rPr>
      <t xml:space="preserve">
Se establece un mínimo de tolerancia para evidenciar la materialización del riesgo, este corresponde al 0,16% de errores agendados trimestralmente. </t>
    </r>
  </si>
  <si>
    <r>
      <t xml:space="preserve">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</si>
  <si>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
</t>
    </r>
    <r>
      <rPr>
        <b/>
        <sz val="20"/>
        <rFont val="Arial Narrow"/>
        <family val="2"/>
      </rPr>
      <t xml:space="preserve">Nota: </t>
    </r>
    <r>
      <rPr>
        <sz val="20"/>
        <rFont val="Arial Narrow"/>
        <family val="2"/>
      </rPr>
      <t xml:space="preserve">La posible materialización de los riesgos de corrupción (fraude Interno) se identificarán por medio del análisis de denuncias, quejas y demandas. </t>
    </r>
  </si>
  <si>
    <r>
      <t xml:space="preserve">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</si>
  <si>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cualquier dádiva o beneficio a nombre propio o de terceros, con el fin de manipular la información en el  seguimiento y supervisión de los contratos.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t>
    </r>
  </si>
  <si>
    <r>
      <t xml:space="preserve">Posibilidad de afectación económica por recibir o solicitar dádivas o beneficios a nombre propio o de terceros, debido a la modificación indebida de valores a los compromisos contractuales de pagos y cuentas de destino para el pago de recursos.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</si>
  <si>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dádivas ó beneficios a nombre propio o de terceros, debido a adulterar o cambiar información para minimizar el valor a cobrar por la prestación de servicios de salud.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</si>
  <si>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reputacional por recibir o solicitar cualquier dádiva o beneficio a nombre propio o de terceros para alterar a conveniencia propia o de terceros los resultados de informes a cargo de la Oficina de Control Interno.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</si>
  <si>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r>
    <r>
      <rPr>
        <b/>
        <sz val="18"/>
        <color theme="1"/>
        <rFont val="Arial Narrow"/>
        <family val="2"/>
      </rPr>
      <t>Nota:</t>
    </r>
    <r>
      <rPr>
        <sz val="18"/>
        <color theme="1"/>
        <rFont val="Arial Narrow"/>
        <family val="2"/>
      </rPr>
      <t xml:space="preserve">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</si>
  <si>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r>
      <t xml:space="preserve">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t>
    </r>
    <r>
      <rPr>
        <b/>
        <sz val="18"/>
        <color theme="1"/>
        <rFont val="Arial Narrow"/>
        <family val="2"/>
      </rPr>
      <t>Soporte:</t>
    </r>
    <r>
      <rPr>
        <sz val="18"/>
        <color theme="1"/>
        <rFont val="Arial Narrow"/>
        <family val="2"/>
      </rPr>
      <t xml:space="preserve"> Actas de reunión.
</t>
    </r>
    <r>
      <rPr>
        <b/>
        <sz val="18"/>
        <color theme="1"/>
        <rFont val="Arial Narrow"/>
        <family val="2"/>
      </rPr>
      <t>Nota:</t>
    </r>
    <r>
      <rPr>
        <sz val="18"/>
        <color theme="1"/>
        <rFont val="Arial Narrow"/>
        <family val="2"/>
      </rPr>
      <t xml:space="preserve">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</si>
  <si>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</si>
  <si>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</si>
  <si>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</si>
  <si>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</si>
  <si>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r>
      <t xml:space="preserve">Gestión de la Infraestructura de
las Tecnologías de la
Información y Comunicación
</t>
    </r>
    <r>
      <rPr>
        <sz val="20"/>
        <color rgb="FFFF0000"/>
        <rFont val="Arial Narrow"/>
        <family val="2"/>
      </rPr>
      <t xml:space="preserve">
</t>
    </r>
    <r>
      <rPr>
        <sz val="20"/>
        <color theme="1"/>
        <rFont val="Arial Narrow"/>
        <family val="2"/>
      </rPr>
      <t xml:space="preserve">Gestión Operativa de los
Servicios Tecnológicos
</t>
    </r>
  </si>
  <si>
    <t>El área de Gestión Operativa de los Servicios Tecnológicos - GOST, solo crea las cuentas de acceso a las personas que alleguen 100% diligenciado el formato único de solicitud de acceso a servicios informáticos (TI-GESU-PR-01-FT-01)</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</si>
  <si>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</si>
  <si>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</si>
  <si>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</si>
  <si>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</si>
  <si>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</si>
  <si>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</si>
  <si>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</si>
  <si>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Gestión Ciclo de Vida de los Sistemas de Información
Gestión Operativa de los Servicios Tecnológicos</t>
  </si>
  <si>
    <t xml:space="preserve">Gestión de la Seguridad y
Privacidad de a Información 
Gestión Operativa de los Servicios Tecnológicos
Gestión de la Infraestructura de las Tecnologías de la Información y Comunicación
</t>
  </si>
  <si>
    <t>El jefe de la Unidad de Apoyo Logístico o delegado de la gestión ambiental, con apoyo de funcionarios de la ARL, realiza capacitaciones mensuales al personal asistencial y administrativo, con el fin de conocer la adherencia al Plan de Gestión Integral de Residuos Generados en la Atención en Salud - PGIRASA.</t>
  </si>
  <si>
    <t>El jefe de la Unidad de Apoyo Logístico o delegado de la gestión ambiental, realiza inspecciones mensuales a los servicios asistenciales que generan residuos hospitalarios, con el fin de medir la adherencia al Plan de Gestión Integral de Residuos Generados en la Atención en Salud - PGIRASA.</t>
  </si>
  <si>
    <r>
      <t xml:space="preserve">La coordinadora de prácticas de la Unidad de Formación Docencia realiza verificación mensual del total de ingresos del personal en formación, mediante el cotejo de (solicitud formal por parte de la institución de educación superior; plataforma institucional de registro de personal en formación; y listados de asistencia del personal en formación programado para el 1er día hábil de cada mes), con el fin de evitar el ingreso de personal en formación no autorizado ni registrado en las bases de datos de la Unidad de Formación Docencia. 
</t>
    </r>
    <r>
      <rPr>
        <b/>
        <sz val="18"/>
        <color theme="1"/>
        <rFont val="Arial Narrow"/>
        <family val="2"/>
      </rPr>
      <t>(Acta de reunión mensual que refleja la verificación realizada del cotejo previamente mencionado).</t>
    </r>
  </si>
  <si>
    <r>
      <t xml:space="preserve">La jefe de Unidad de Formación y Docencia define trimestralmente  el seguimiento y evaluación a los convenios docencia servicio por medio de los comités Docencia servicio con las instituciones educativas, con el fin de administrar adecuadamente la ejecución de los convenios.
</t>
    </r>
    <r>
      <rPr>
        <b/>
        <sz val="18"/>
        <color theme="1"/>
        <rFont val="Arial Narrow"/>
        <family val="2"/>
      </rPr>
      <t>(Acta de comité relación Docencia - Servicio)</t>
    </r>
  </si>
  <si>
    <r>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r>
    <r>
      <rPr>
        <b/>
        <sz val="18"/>
        <color theme="1"/>
        <rFont val="Arial Narrow"/>
        <family val="2"/>
      </rPr>
      <t>(Evidencia fotográfica de la Plataforma Institucional de registro de personal en formación)</t>
    </r>
  </si>
  <si>
    <t>GAAF_16</t>
  </si>
  <si>
    <t>Imágenes Diagnósticas 
(Radiología)</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</si>
  <si>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</si>
  <si>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</si>
  <si>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MAPA DE RIESGOS INSTITUCIONAL 2025 V.1 - APROBADO MEDIANTE ACTA DE COMITÉ INSTITUCIONAL DE GESTIÓN Y DESEMPAÑO DEL DÍA 27 DE ENERO DE 2025. 
ACTUALIZACIÓN 21 DE MARZO DE 2025 V.2
ACTUALIZACIÓN 29 DE JULIO DE 2025 V.3</t>
  </si>
  <si>
    <t>TIN_05</t>
  </si>
  <si>
    <t>Gestión de la Infraestructura de las Tecnologías de la Información y Comunicación</t>
  </si>
  <si>
    <t>Fallos en la configuración y monitoreo de la infraestructura de seguridad digital del HOMIL</t>
  </si>
  <si>
    <t>Fallas en la gestión de procesos de seguridad informática. (Hardware, Software, Malware)</t>
  </si>
  <si>
    <t>Posibilidad de afectación reputacional por fallos en la configuración y monitoreo de la infraestructura de seguridad digital del HOMIL, debido a fallas en la gestión de procesos de seguridad informática.</t>
  </si>
  <si>
    <t>Infraestructura de Seguridad informática</t>
  </si>
  <si>
    <t>El líder del área de Gestión de la Seguridad y Privacidad de la Información - GSPI realiza el  monitoreo 7*24*365  a través de las herramientas de monitoreo seguridad informatica y presentará un informe detallado trimestral, con el fin de verificar el funcionamiento y el estado general de la infraestructura de seguridad digital de la institución, para tomar acciones preventivas y/o correctivas.
Soporte: Informe trimestral</t>
  </si>
  <si>
    <t>Análisis de vulnerabilidades externas.</t>
  </si>
  <si>
    <t>Plan de remediación</t>
  </si>
  <si>
    <t>GCO_06</t>
  </si>
  <si>
    <t xml:space="preserve"> Emitir certificados a estudiantes de la Escuela de Auxiliares de Enfermería</t>
  </si>
  <si>
    <t xml:space="preserve">Incumplimiento de los requisitos para la certificación. </t>
  </si>
  <si>
    <t xml:space="preserve">Posibilidad de afectación reputacional por emitir certificados a estudiantes de la Escuela de Aúxiliares de Enfermería sin dar cumplimiento a los requisitos para la certificación. </t>
  </si>
  <si>
    <t>La coordinadora académica de la Escuela de Auxiliares de Enfermería valida al finalizar cada cohorte el cumplimiento de las actividades descritas en el PROCEDIMIENTO: CERTIFICACION DE ESTUDIANTES CÓDIGO: GC-ESAE-PR-07, con el propósito de identificar incumplimiento por parte de los estudiantes frente a los requisitos de certificación.
Soportes: Paz y salvo de estudiantes para certificación
campo teórico y práctico CÓDIGO: GC-ESAE-PR-07-FT-01.
Acta de Consejo Académico CÓDIGO: PL-CLDD-PR-01-FT-14
Formato de validación de competencias de la práctica formativa Campo entrega de documentos. CÓDIGO: GC-
ESAE-PR-06-FT-08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</si>
</sst>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4"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b/>
      <sz val="24"/>
      <color theme="1"/>
      <name val="Arial Narrow"/>
      <family val="2"/>
    </font>
    <font>
      <b/>
      <sz val="20"/>
      <color theme="1"/>
      <name val="Arial Narrow"/>
      <family val="2"/>
    </font>
    <font>
      <sz val="20"/>
      <color theme="1"/>
      <name val="Arial Narrow"/>
      <family val="2"/>
    </font>
    <font>
      <b/>
      <sz val="20"/>
      <name val="Arial Narrow"/>
      <family val="2"/>
    </font>
    <font>
      <b/>
      <sz val="20"/>
      <color rgb="FFFF0000"/>
      <name val="Arial Narrow"/>
      <family val="2"/>
    </font>
    <font>
      <sz val="20"/>
      <name val="Arial Narrow"/>
      <family val="2"/>
    </font>
    <font>
      <sz val="20"/>
      <color rgb="FFFF0000"/>
      <name val="Arial Narrow"/>
      <family val="2"/>
    </font>
    <font>
      <sz val="20"/>
      <color theme="1"/>
      <name val="Arial"/>
      <family val="2"/>
    </font>
    <font>
      <b/>
      <sz val="20"/>
      <color indexed="53"/>
      <name val="Arial Narrow"/>
      <family val="2"/>
    </font>
    <font>
      <sz val="20"/>
      <color indexed="8"/>
      <name val="Arial Narrow"/>
      <family val="2"/>
    </font>
    <font>
      <b/>
      <sz val="16"/>
      <color indexed="81"/>
      <name val="Tahoma"/>
      <family val="2"/>
    </font>
    <font>
      <i/>
      <u/>
      <sz val="24"/>
      <color theme="1"/>
      <name val="Arial Narrow"/>
      <family val="2"/>
    </font>
    <font>
      <b/>
      <u/>
      <sz val="24"/>
      <color theme="1"/>
      <name val="Arial Narrow"/>
      <family val="2"/>
    </font>
    <font>
      <sz val="18"/>
      <name val="Arial Narrow"/>
      <family val="2"/>
    </font>
    <font>
      <u/>
      <sz val="18"/>
      <color theme="1"/>
      <name val="Arial Narrow"/>
      <family val="2"/>
    </font>
    <font>
      <sz val="18"/>
      <color rgb="FFFF0000"/>
      <name val="Arial Narrow"/>
      <family val="2"/>
    </font>
    <font>
      <i/>
      <sz val="18"/>
      <name val="Arial Narrow"/>
      <family val="2"/>
    </font>
    <font>
      <sz val="18"/>
      <color rgb="FF000000"/>
      <name val="Arial Narrow"/>
      <family val="2"/>
    </font>
    <font>
      <i/>
      <sz val="18"/>
      <color theme="1"/>
      <name val="Arial Narrow"/>
      <family val="2"/>
    </font>
    <font>
      <u/>
      <sz val="18"/>
      <color theme="3" tint="0.39997558519241921"/>
      <name val="Arial Narrow"/>
      <family val="2"/>
    </font>
    <font>
      <sz val="20"/>
      <color theme="1"/>
      <name val="Arial Narrow"/>
      <family val="2"/>
    </font>
  </fonts>
  <fills count="26">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4" tint="0.79998168889431442"/>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double">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medium">
        <color indexed="64"/>
      </left>
      <right style="double">
        <color indexed="64"/>
      </right>
      <top/>
      <bottom/>
      <diagonal/>
    </border>
    <border>
      <left style="dashed">
        <color indexed="64"/>
      </left>
      <right/>
      <top style="double">
        <color indexed="64"/>
      </top>
      <bottom style="dashed">
        <color theme="9" tint="-0.24994659260841701"/>
      </bottom>
      <diagonal/>
    </border>
    <border>
      <left/>
      <right/>
      <top style="double">
        <color indexed="64"/>
      </top>
      <bottom style="dashed">
        <color theme="9" tint="-0.24994659260841701"/>
      </bottom>
      <diagonal/>
    </border>
    <border>
      <left/>
      <right style="dashed">
        <color theme="9" tint="-0.24994659260841701"/>
      </right>
      <top style="double">
        <color indexed="64"/>
      </top>
      <bottom style="dashed">
        <color theme="9" tint="-0.24994659260841701"/>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707">
    <xf numFmtId="0" fontId="0" fillId="0" borderId="0" xfId="0"/>
    <xf numFmtId="0" fontId="22" fillId="0" borderId="0" xfId="0" applyFont="1"/>
    <xf numFmtId="0" fontId="26" fillId="0" borderId="54"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55" xfId="0" applyFont="1" applyFill="1" applyBorder="1" applyAlignment="1">
      <alignment horizontal="center" vertical="center" wrapText="1" readingOrder="1"/>
    </xf>
    <xf numFmtId="0" fontId="28" fillId="0" borderId="55" xfId="0" applyFont="1" applyBorder="1" applyAlignment="1">
      <alignment horizontal="justify" vertical="center" wrapText="1" readingOrder="1"/>
    </xf>
    <xf numFmtId="9" fontId="28" fillId="0" borderId="55" xfId="0" applyNumberFormat="1" applyFont="1" applyBorder="1" applyAlignment="1">
      <alignment horizontal="center" vertical="center" wrapText="1" readingOrder="1"/>
    </xf>
    <xf numFmtId="0" fontId="28" fillId="5" borderId="54" xfId="0" applyFont="1" applyFill="1" applyBorder="1" applyAlignment="1">
      <alignment horizontal="center" vertical="center" wrapText="1" readingOrder="1"/>
    </xf>
    <xf numFmtId="0" fontId="28" fillId="0" borderId="54" xfId="0" applyFont="1" applyBorder="1" applyAlignment="1">
      <alignment horizontal="justify" vertical="center" wrapText="1" readingOrder="1"/>
    </xf>
    <xf numFmtId="9" fontId="28" fillId="0" borderId="54" xfId="0" applyNumberFormat="1" applyFont="1" applyBorder="1" applyAlignment="1">
      <alignment horizontal="center" vertical="center" wrapText="1" readingOrder="1"/>
    </xf>
    <xf numFmtId="0" fontId="28" fillId="6" borderId="54" xfId="0" applyFont="1" applyFill="1" applyBorder="1" applyAlignment="1">
      <alignment horizontal="center" vertical="center" wrapText="1" readingOrder="1"/>
    </xf>
    <xf numFmtId="0" fontId="28" fillId="7" borderId="54" xfId="0" applyFont="1" applyFill="1" applyBorder="1" applyAlignment="1">
      <alignment horizontal="center" vertical="center" wrapText="1" readingOrder="1"/>
    </xf>
    <xf numFmtId="0" fontId="29" fillId="8" borderId="54"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55" xfId="0" applyFont="1" applyBorder="1" applyAlignment="1">
      <alignment horizontal="justify" vertical="center" wrapText="1" readingOrder="1"/>
    </xf>
    <xf numFmtId="0" fontId="37" fillId="0" borderId="54" xfId="0" applyFont="1" applyBorder="1" applyAlignment="1">
      <alignment horizontal="justify" vertical="center" wrapText="1" readingOrder="1"/>
    </xf>
    <xf numFmtId="0" fontId="37" fillId="4" borderId="55" xfId="0" applyFont="1" applyFill="1" applyBorder="1" applyAlignment="1">
      <alignment horizontal="center" vertical="center" wrapText="1" readingOrder="1"/>
    </xf>
    <xf numFmtId="0" fontId="37" fillId="5" borderId="54" xfId="0" applyFont="1" applyFill="1" applyBorder="1" applyAlignment="1">
      <alignment horizontal="center" vertical="center" wrapText="1" readingOrder="1"/>
    </xf>
    <xf numFmtId="0" fontId="37" fillId="6" borderId="54" xfId="0" applyFont="1" applyFill="1" applyBorder="1" applyAlignment="1">
      <alignment horizontal="center" vertical="center" wrapText="1" readingOrder="1"/>
    </xf>
    <xf numFmtId="0" fontId="37" fillId="7" borderId="54" xfId="0" applyFont="1" applyFill="1" applyBorder="1" applyAlignment="1">
      <alignment horizontal="center" vertical="center" wrapText="1" readingOrder="1"/>
    </xf>
    <xf numFmtId="0" fontId="38" fillId="8" borderId="54" xfId="0" applyFont="1" applyFill="1" applyBorder="1" applyAlignment="1">
      <alignment horizontal="center" vertical="center" wrapText="1" readingOrder="1"/>
    </xf>
    <xf numFmtId="0" fontId="37" fillId="0" borderId="55" xfId="0" applyFont="1" applyBorder="1" applyAlignment="1">
      <alignment horizontal="center" vertical="center" wrapText="1" readingOrder="1"/>
    </xf>
    <xf numFmtId="0" fontId="37" fillId="0" borderId="54"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2" xfId="0" applyBorder="1"/>
    <xf numFmtId="0" fontId="0" fillId="0" borderId="53" xfId="0" applyBorder="1"/>
    <xf numFmtId="0" fontId="0" fillId="0" borderId="4" xfId="0" applyBorder="1"/>
    <xf numFmtId="0" fontId="0" fillId="0" borderId="6" xfId="0" applyBorder="1"/>
    <xf numFmtId="0" fontId="0" fillId="0" borderId="52" xfId="0" applyBorder="1" applyAlignment="1">
      <alignment wrapText="1"/>
    </xf>
    <xf numFmtId="0" fontId="0" fillId="0" borderId="53" xfId="0" applyBorder="1" applyAlignment="1">
      <alignment wrapText="1"/>
    </xf>
    <xf numFmtId="0" fontId="58" fillId="2" borderId="52" xfId="0" applyFont="1" applyFill="1" applyBorder="1"/>
    <xf numFmtId="0" fontId="58" fillId="2" borderId="53"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69" xfId="0" applyBorder="1" applyAlignment="1">
      <alignment vertical="top" wrapText="1"/>
    </xf>
    <xf numFmtId="0" fontId="0" fillId="0" borderId="68" xfId="0" applyBorder="1" applyAlignment="1">
      <alignment vertical="top" wrapText="1"/>
    </xf>
    <xf numFmtId="0" fontId="0" fillId="0" borderId="66" xfId="0" applyBorder="1" applyAlignment="1">
      <alignment vertical="top" wrapText="1"/>
    </xf>
    <xf numFmtId="0" fontId="0" fillId="0" borderId="72" xfId="0" applyBorder="1" applyAlignment="1">
      <alignment vertical="top" wrapText="1"/>
    </xf>
    <xf numFmtId="0" fontId="0" fillId="0" borderId="71" xfId="0" applyBorder="1" applyAlignment="1">
      <alignment vertical="top" wrapText="1"/>
    </xf>
    <xf numFmtId="0" fontId="0" fillId="0" borderId="74" xfId="0" applyBorder="1" applyAlignment="1">
      <alignment vertical="top" wrapText="1"/>
    </xf>
    <xf numFmtId="0" fontId="0" fillId="0" borderId="75"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68" xfId="0" applyBorder="1" applyAlignment="1">
      <alignment horizontal="center" vertical="top" wrapText="1"/>
    </xf>
    <xf numFmtId="0" fontId="0" fillId="0" borderId="70" xfId="0" applyBorder="1" applyAlignment="1">
      <alignment horizontal="center" vertical="top" wrapText="1"/>
    </xf>
    <xf numFmtId="0" fontId="60" fillId="0" borderId="0" xfId="5" quotePrefix="1" applyNumberFormat="1" applyAlignment="1">
      <alignment horizontal="center" vertical="top" wrapText="1"/>
    </xf>
    <xf numFmtId="0" fontId="0" fillId="0" borderId="67" xfId="0" applyBorder="1" applyAlignment="1">
      <alignment horizontal="center" vertical="top" wrapText="1"/>
    </xf>
    <xf numFmtId="0" fontId="0" fillId="0" borderId="71" xfId="0" applyBorder="1" applyAlignment="1">
      <alignment horizontal="center" vertical="top" wrapText="1"/>
    </xf>
    <xf numFmtId="0" fontId="60" fillId="0" borderId="71" xfId="5" quotePrefix="1" applyNumberFormat="1" applyBorder="1"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0" fillId="0" borderId="76"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0" xfId="0" applyFont="1" applyFill="1" applyBorder="1"/>
    <xf numFmtId="0" fontId="54" fillId="2" borderId="0" xfId="0" applyFont="1" applyFill="1"/>
    <xf numFmtId="0" fontId="54" fillId="0" borderId="0" xfId="0" applyFont="1"/>
    <xf numFmtId="0" fontId="61" fillId="0" borderId="0" xfId="0" applyFont="1" applyAlignment="1">
      <alignment vertical="center" wrapText="1"/>
    </xf>
    <xf numFmtId="0" fontId="61" fillId="0" borderId="0" xfId="0" applyFont="1" applyAlignment="1">
      <alignment vertical="center"/>
    </xf>
    <xf numFmtId="0" fontId="55" fillId="0" borderId="0" xfId="0" applyFont="1" applyAlignment="1">
      <alignment vertical="center"/>
    </xf>
    <xf numFmtId="0" fontId="62" fillId="2" borderId="0" xfId="0" applyFont="1" applyFill="1"/>
    <xf numFmtId="0" fontId="62"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1"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69" fillId="2" borderId="0" xfId="0" applyFont="1" applyFill="1"/>
    <xf numFmtId="0" fontId="54" fillId="2" borderId="0" xfId="0" applyFont="1" applyFill="1" applyProtection="1">
      <protection locked="0"/>
    </xf>
    <xf numFmtId="0" fontId="54" fillId="0" borderId="0" xfId="0" applyFont="1" applyProtection="1">
      <protection locked="0"/>
    </xf>
    <xf numFmtId="0" fontId="61" fillId="0" borderId="0" xfId="0" applyFont="1" applyAlignment="1" applyProtection="1">
      <alignment vertical="center" wrapText="1"/>
      <protection locked="0"/>
    </xf>
    <xf numFmtId="0" fontId="61"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hidden="1"/>
    </xf>
    <xf numFmtId="0" fontId="63"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3" fillId="0" borderId="15" xfId="0" applyFont="1" applyBorder="1" applyAlignment="1">
      <alignment vertical="center"/>
    </xf>
    <xf numFmtId="0" fontId="0" fillId="0" borderId="52" xfId="0" applyFill="1" applyBorder="1"/>
    <xf numFmtId="0" fontId="24" fillId="0" borderId="80" xfId="0" applyFont="1" applyBorder="1"/>
    <xf numFmtId="0" fontId="24" fillId="0" borderId="80" xfId="0" applyFont="1" applyBorder="1" applyAlignment="1">
      <alignment vertical="center"/>
    </xf>
    <xf numFmtId="0" fontId="53" fillId="2" borderId="0" xfId="0" applyFont="1" applyFill="1" applyProtection="1">
      <protection hidden="1"/>
    </xf>
    <xf numFmtId="0" fontId="53" fillId="0" borderId="0" xfId="0" applyFont="1" applyProtection="1">
      <protection hidden="1"/>
    </xf>
    <xf numFmtId="0" fontId="53" fillId="2" borderId="0" xfId="0" applyFont="1" applyFill="1" applyAlignment="1" applyProtection="1">
      <alignment horizontal="center" vertical="center"/>
      <protection hidden="1"/>
    </xf>
    <xf numFmtId="0" fontId="53" fillId="0" borderId="0" xfId="0" applyFont="1" applyAlignment="1" applyProtection="1">
      <alignment horizontal="center" vertical="center"/>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center"/>
      <protection hidden="1"/>
    </xf>
    <xf numFmtId="0" fontId="75" fillId="0" borderId="0" xfId="0" applyFont="1" applyAlignment="1" applyProtection="1">
      <alignment horizontal="center" vertical="center"/>
      <protection hidden="1"/>
    </xf>
    <xf numFmtId="0" fontId="75" fillId="0" borderId="90" xfId="0" applyFont="1" applyBorder="1" applyAlignment="1" applyProtection="1">
      <alignment horizontal="center" vertical="center" textRotation="90"/>
      <protection hidden="1"/>
    </xf>
    <xf numFmtId="9" fontId="75" fillId="0" borderId="90" xfId="0" applyNumberFormat="1" applyFont="1" applyBorder="1" applyAlignment="1" applyProtection="1">
      <alignment horizontal="center" vertical="center"/>
      <protection hidden="1"/>
    </xf>
    <xf numFmtId="164" fontId="75" fillId="0" borderId="90" xfId="4" applyNumberFormat="1" applyFont="1" applyBorder="1" applyAlignment="1" applyProtection="1">
      <alignment horizontal="center" vertical="center"/>
      <protection hidden="1"/>
    </xf>
    <xf numFmtId="0" fontId="74" fillId="0" borderId="90" xfId="0" applyFont="1" applyBorder="1" applyAlignment="1" applyProtection="1">
      <alignment horizontal="center" vertical="center" textRotation="90" wrapText="1"/>
      <protection hidden="1"/>
    </xf>
    <xf numFmtId="0" fontId="74" fillId="0" borderId="90"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2" borderId="90" xfId="0" applyFont="1" applyFill="1" applyBorder="1" applyAlignment="1" applyProtection="1">
      <alignment horizontal="center" vertical="center" textRotation="90"/>
      <protection hidden="1"/>
    </xf>
    <xf numFmtId="9" fontId="75" fillId="2" borderId="90" xfId="0" applyNumberFormat="1" applyFont="1" applyFill="1" applyBorder="1" applyAlignment="1" applyProtection="1">
      <alignment horizontal="center" vertical="center"/>
      <protection hidden="1"/>
    </xf>
    <xf numFmtId="164" fontId="75" fillId="2" borderId="90" xfId="4" applyNumberFormat="1"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textRotation="90" wrapText="1"/>
      <protection hidden="1"/>
    </xf>
    <xf numFmtId="0" fontId="74" fillId="2" borderId="90" xfId="0" applyFont="1" applyFill="1" applyBorder="1" applyAlignment="1" applyProtection="1">
      <alignment horizontal="center" vertical="center" textRotation="90"/>
      <protection hidden="1"/>
    </xf>
    <xf numFmtId="0" fontId="75" fillId="0" borderId="50" xfId="0" applyFont="1" applyBorder="1" applyAlignment="1" applyProtection="1">
      <alignment horizontal="center" vertical="center" textRotation="90"/>
      <protection hidden="1"/>
    </xf>
    <xf numFmtId="0" fontId="75" fillId="0" borderId="0" xfId="0" applyFont="1" applyAlignment="1" applyProtection="1">
      <alignment wrapText="1"/>
      <protection hidden="1"/>
    </xf>
    <xf numFmtId="0" fontId="74"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4" fillId="2" borderId="0" xfId="0" applyFont="1" applyFill="1" applyProtection="1">
      <protection hidden="1"/>
    </xf>
    <xf numFmtId="0" fontId="74" fillId="0" borderId="0" xfId="0" applyFont="1" applyProtection="1">
      <protection hidden="1"/>
    </xf>
    <xf numFmtId="0" fontId="73" fillId="21" borderId="90"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textRotation="90"/>
      <protection hidden="1"/>
    </xf>
    <xf numFmtId="0" fontId="54" fillId="0" borderId="90" xfId="0" applyFont="1" applyBorder="1" applyAlignment="1" applyProtection="1">
      <alignment horizontal="justify" vertical="center" wrapText="1"/>
      <protection hidden="1"/>
    </xf>
    <xf numFmtId="0" fontId="86"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horizontal="justify" vertical="center" wrapText="1"/>
      <protection hidden="1"/>
    </xf>
    <xf numFmtId="0" fontId="54" fillId="0" borderId="90" xfId="0" applyFont="1" applyBorder="1" applyAlignment="1" applyProtection="1">
      <alignment horizontal="justify" vertical="center"/>
      <protection hidden="1"/>
    </xf>
    <xf numFmtId="0" fontId="90"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vertical="center" wrapText="1"/>
      <protection hidden="1"/>
    </xf>
    <xf numFmtId="0" fontId="54" fillId="2" borderId="90" xfId="0" applyFont="1" applyFill="1" applyBorder="1" applyAlignment="1" applyProtection="1">
      <alignment horizontal="justify" vertical="center" wrapText="1"/>
      <protection hidden="1"/>
    </xf>
    <xf numFmtId="0" fontId="54" fillId="0" borderId="0" xfId="0" applyFont="1" applyProtection="1">
      <protection hidden="1"/>
    </xf>
    <xf numFmtId="0" fontId="74" fillId="0" borderId="100" xfId="0" applyFont="1" applyBorder="1" applyAlignment="1" applyProtection="1">
      <alignment horizontal="center" vertical="center"/>
      <protection hidden="1"/>
    </xf>
    <xf numFmtId="0" fontId="75" fillId="0" borderId="99" xfId="0" applyFont="1" applyFill="1" applyBorder="1" applyAlignment="1" applyProtection="1">
      <alignment horizontal="center" vertical="center" wrapText="1"/>
      <protection hidden="1"/>
    </xf>
    <xf numFmtId="0" fontId="75" fillId="0" borderId="99" xfId="0" applyFont="1" applyFill="1" applyBorder="1" applyAlignment="1" applyProtection="1">
      <alignment horizontal="justify" vertical="center" wrapText="1"/>
      <protection hidden="1"/>
    </xf>
    <xf numFmtId="0" fontId="78" fillId="0" borderId="99" xfId="0" applyFont="1" applyFill="1" applyBorder="1" applyAlignment="1" applyProtection="1">
      <alignment horizontal="justify"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9" fontId="75" fillId="0" borderId="99"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9" fontId="75" fillId="0" borderId="90" xfId="0" applyNumberFormat="1" applyFont="1" applyBorder="1" applyAlignment="1" applyProtection="1">
      <alignment horizontal="center" vertical="center" wrapText="1"/>
      <protection hidden="1"/>
    </xf>
    <xf numFmtId="0" fontId="74" fillId="0" borderId="94" xfId="0"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6"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5" fillId="0" borderId="90" xfId="0" applyFont="1" applyBorder="1" applyAlignment="1" applyProtection="1">
      <alignment horizontal="justify" vertical="center" wrapText="1"/>
      <protection hidden="1"/>
    </xf>
    <xf numFmtId="0" fontId="78" fillId="0" borderId="90" xfId="0" applyFont="1" applyBorder="1" applyAlignment="1" applyProtection="1">
      <alignment horizontal="justify" vertical="center" wrapText="1"/>
      <protection hidden="1"/>
    </xf>
    <xf numFmtId="0" fontId="75" fillId="2" borderId="0" xfId="0" applyFont="1" applyFill="1" applyAlignment="1" applyProtection="1">
      <alignment horizontal="left"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17" fontId="75" fillId="0" borderId="90" xfId="0" applyNumberFormat="1" applyFont="1" applyBorder="1" applyAlignment="1" applyProtection="1">
      <alignment horizontal="center" vertical="center"/>
      <protection hidden="1"/>
    </xf>
    <xf numFmtId="0" fontId="74" fillId="2" borderId="90" xfId="0" applyFont="1" applyFill="1" applyBorder="1" applyAlignment="1" applyProtection="1">
      <alignment horizontal="center" vertical="center"/>
      <protection hidden="1"/>
    </xf>
    <xf numFmtId="0" fontId="75"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9" fontId="75" fillId="2" borderId="50" xfId="0" applyNumberFormat="1" applyFont="1" applyFill="1" applyBorder="1" applyAlignment="1" applyProtection="1">
      <alignment horizontal="center" vertical="center"/>
      <protection hidden="1"/>
    </xf>
    <xf numFmtId="0" fontId="75" fillId="0" borderId="50" xfId="0" applyFont="1" applyBorder="1" applyAlignment="1" applyProtection="1">
      <alignment horizontal="center" vertical="center" textRotation="90" wrapText="1"/>
      <protection hidden="1"/>
    </xf>
    <xf numFmtId="0" fontId="75" fillId="0" borderId="90" xfId="0" applyFont="1" applyFill="1" applyBorder="1" applyAlignment="1" applyProtection="1">
      <alignment horizontal="center" vertical="center"/>
      <protection hidden="1"/>
    </xf>
    <xf numFmtId="0" fontId="75" fillId="0" borderId="99"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54" fillId="2" borderId="0" xfId="0" applyFont="1" applyFill="1" applyAlignment="1" applyProtection="1">
      <alignment horizontal="justify" vertical="center"/>
      <protection hidden="1"/>
    </xf>
    <xf numFmtId="0" fontId="54" fillId="2" borderId="0" xfId="0" applyFont="1" applyFill="1" applyAlignment="1" applyProtection="1">
      <alignment horizontal="justify" vertical="center"/>
      <protection locked="0" hidden="1"/>
    </xf>
    <xf numFmtId="0" fontId="54" fillId="0" borderId="0" xfId="0" applyFont="1" applyAlignment="1" applyProtection="1">
      <alignment horizontal="justify" vertical="center"/>
      <protection locked="0" hidden="1"/>
    </xf>
    <xf numFmtId="0" fontId="61" fillId="0" borderId="0" xfId="0" applyFont="1" applyAlignment="1" applyProtection="1">
      <alignment horizontal="justify" vertical="center" wrapText="1"/>
      <protection locked="0" hidden="1"/>
    </xf>
    <xf numFmtId="0" fontId="63" fillId="0" borderId="15" xfId="0" applyFont="1" applyBorder="1" applyAlignment="1" applyProtection="1">
      <alignment horizontal="justify" vertical="center"/>
      <protection hidden="1"/>
    </xf>
    <xf numFmtId="0" fontId="61" fillId="0" borderId="0" xfId="0" applyFont="1" applyAlignment="1" applyProtection="1">
      <alignment horizontal="justify" vertical="center"/>
      <protection locked="0" hidden="1"/>
    </xf>
    <xf numFmtId="0" fontId="55" fillId="0" borderId="0" xfId="0" applyFont="1" applyAlignment="1" applyProtection="1">
      <alignment horizontal="justify" vertical="center"/>
      <protection locked="0" hidden="1"/>
    </xf>
    <xf numFmtId="0" fontId="54" fillId="2" borderId="4" xfId="0" applyFont="1" applyFill="1" applyBorder="1" applyAlignment="1" applyProtection="1">
      <alignment horizontal="justify" vertical="center"/>
      <protection hidden="1"/>
    </xf>
    <xf numFmtId="0" fontId="55" fillId="2" borderId="0" xfId="0" applyFont="1" applyFill="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62" fillId="2" borderId="0" xfId="0" applyFont="1" applyFill="1" applyAlignment="1" applyProtection="1">
      <alignment horizontal="justify" vertical="center"/>
      <protection locked="0" hidden="1"/>
    </xf>
    <xf numFmtId="0" fontId="62" fillId="0" borderId="0" xfId="0" applyFont="1" applyAlignment="1" applyProtection="1">
      <alignment horizontal="justify" vertical="center"/>
      <protection locked="0" hidden="1"/>
    </xf>
    <xf numFmtId="0" fontId="25" fillId="2" borderId="0" xfId="0" applyFont="1" applyFill="1" applyAlignment="1" applyProtection="1">
      <alignment horizontal="justify" vertical="center"/>
      <protection locked="0" hidden="1"/>
    </xf>
    <xf numFmtId="0" fontId="25" fillId="0" borderId="0" xfId="0" applyFont="1" applyAlignment="1" applyProtection="1">
      <alignment horizontal="justify" vertical="center"/>
      <protection locked="0" hidden="1"/>
    </xf>
    <xf numFmtId="14" fontId="75" fillId="0" borderId="90" xfId="0" applyNumberFormat="1"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justify"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4" fillId="0" borderId="10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9" fontId="75" fillId="0" borderId="99"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93" fillId="0" borderId="99" xfId="0" applyFont="1" applyFill="1" applyBorder="1" applyAlignment="1">
      <alignment horizontal="center" vertical="center" wrapText="1"/>
    </xf>
    <xf numFmtId="0" fontId="75" fillId="0" borderId="90" xfId="0" applyFont="1" applyBorder="1" applyAlignment="1" applyProtection="1">
      <alignment vertical="center" wrapText="1"/>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56" xfId="3" applyFont="1" applyFill="1" applyBorder="1" applyAlignment="1">
      <alignment horizontal="center" vertical="center" wrapText="1"/>
    </xf>
    <xf numFmtId="0" fontId="16" fillId="13" borderId="57"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9" fontId="75" fillId="0" borderId="99" xfId="0" applyNumberFormat="1" applyFont="1" applyBorder="1" applyAlignment="1" applyProtection="1">
      <alignment horizontal="center" vertical="center" wrapText="1"/>
      <protection hidden="1"/>
    </xf>
    <xf numFmtId="9" fontId="75" fillId="0" borderId="101" xfId="0" applyNumberFormat="1" applyFont="1" applyBorder="1" applyAlignment="1" applyProtection="1">
      <alignment horizontal="center" vertical="center" wrapText="1"/>
      <protection hidden="1"/>
    </xf>
    <xf numFmtId="9" fontId="75" fillId="0" borderId="102" xfId="0" applyNumberFormat="1"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0" xfId="0" applyFont="1" applyFill="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101"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justify" vertical="center" wrapText="1"/>
      <protection hidden="1"/>
    </xf>
    <xf numFmtId="0" fontId="76"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wrapText="1"/>
      <protection hidden="1"/>
    </xf>
    <xf numFmtId="9" fontId="75" fillId="2" borderId="90" xfId="0" applyNumberFormat="1" applyFont="1" applyFill="1" applyBorder="1" applyAlignment="1" applyProtection="1">
      <alignment horizontal="center" vertical="center" wrapText="1"/>
      <protection hidden="1"/>
    </xf>
    <xf numFmtId="0" fontId="74" fillId="2" borderId="90" xfId="0" applyFont="1" applyFill="1" applyBorder="1" applyAlignment="1" applyProtection="1">
      <alignment horizontal="center" vertical="center"/>
      <protection hidden="1"/>
    </xf>
    <xf numFmtId="0" fontId="75" fillId="21" borderId="90" xfId="0" applyFont="1" applyFill="1" applyBorder="1" applyAlignment="1" applyProtection="1">
      <alignment horizontal="center" vertical="center" wrapText="1"/>
      <protection hidden="1"/>
    </xf>
    <xf numFmtId="0" fontId="78" fillId="0" borderId="90" xfId="0" applyFont="1" applyBorder="1" applyAlignment="1" applyProtection="1">
      <alignment horizontal="justify" vertical="center" wrapText="1"/>
      <protection hidden="1"/>
    </xf>
    <xf numFmtId="0" fontId="75" fillId="0" borderId="90" xfId="0" applyFont="1" applyBorder="1" applyAlignment="1" applyProtection="1">
      <alignment horizontal="justify" vertical="center" wrapText="1"/>
      <protection hidden="1"/>
    </xf>
    <xf numFmtId="17" fontId="75" fillId="0" borderId="90" xfId="0" applyNumberFormat="1"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wrapText="1"/>
      <protection hidden="1"/>
    </xf>
    <xf numFmtId="0" fontId="80" fillId="2" borderId="90" xfId="0" applyFont="1" applyFill="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protection hidden="1"/>
    </xf>
    <xf numFmtId="0" fontId="80" fillId="0" borderId="90" xfId="0" applyFont="1" applyBorder="1" applyAlignment="1" applyProtection="1">
      <alignment horizontal="center" vertical="center" wrapText="1"/>
      <protection hidden="1"/>
    </xf>
    <xf numFmtId="0" fontId="80" fillId="0" borderId="95" xfId="0"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wrapText="1"/>
      <protection hidden="1"/>
    </xf>
    <xf numFmtId="0" fontId="75" fillId="0" borderId="99"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0" fontId="74" fillId="0" borderId="101"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4" fillId="0" borderId="101" xfId="0" applyFont="1" applyBorder="1" applyAlignment="1" applyProtection="1">
      <alignment horizontal="center" vertical="center"/>
      <protection hidden="1"/>
    </xf>
    <xf numFmtId="0" fontId="75" fillId="2" borderId="97" xfId="0" applyFont="1" applyFill="1" applyBorder="1" applyAlignment="1" applyProtection="1">
      <alignment horizontal="left" vertical="center" wrapText="1"/>
      <protection hidden="1"/>
    </xf>
    <xf numFmtId="0" fontId="75" fillId="2" borderId="98" xfId="0" applyFont="1" applyFill="1" applyBorder="1" applyAlignment="1" applyProtection="1">
      <alignment horizontal="left" vertical="center" wrapText="1"/>
      <protection hidden="1"/>
    </xf>
    <xf numFmtId="0" fontId="73" fillId="22" borderId="90" xfId="0" applyFont="1" applyFill="1" applyBorder="1" applyAlignment="1" applyProtection="1">
      <alignment horizontal="center" vertical="center"/>
      <protection hidden="1"/>
    </xf>
    <xf numFmtId="0" fontId="73" fillId="22"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protection hidden="1"/>
    </xf>
    <xf numFmtId="0" fontId="76" fillId="0" borderId="92" xfId="0" applyFont="1" applyBorder="1" applyAlignment="1" applyProtection="1">
      <alignment horizontal="center" vertical="center"/>
      <protection hidden="1"/>
    </xf>
    <xf numFmtId="0" fontId="76" fillId="0" borderId="93" xfId="0" applyFont="1" applyBorder="1" applyAlignment="1" applyProtection="1">
      <alignment horizontal="center" vertical="center"/>
      <protection hidden="1"/>
    </xf>
    <xf numFmtId="0" fontId="76" fillId="0" borderId="90" xfId="0" applyFont="1" applyBorder="1" applyAlignment="1" applyProtection="1">
      <alignment horizontal="center" vertical="center"/>
      <protection hidden="1"/>
    </xf>
    <xf numFmtId="0" fontId="76" fillId="0" borderId="95" xfId="0" applyFont="1" applyBorder="1" applyAlignment="1" applyProtection="1">
      <alignment horizontal="center" vertical="center"/>
      <protection hidden="1"/>
    </xf>
    <xf numFmtId="0" fontId="76" fillId="0" borderId="97" xfId="0" applyFont="1" applyBorder="1" applyAlignment="1" applyProtection="1">
      <alignment horizontal="center" vertical="center"/>
      <protection hidden="1"/>
    </xf>
    <xf numFmtId="0" fontId="76" fillId="0" borderId="98" xfId="0" applyFont="1" applyBorder="1" applyAlignment="1" applyProtection="1">
      <alignment horizontal="center" vertical="center"/>
      <protection hidden="1"/>
    </xf>
    <xf numFmtId="0" fontId="74" fillId="0" borderId="92" xfId="0" applyFont="1" applyBorder="1" applyAlignment="1" applyProtection="1">
      <alignment horizontal="center" vertical="center"/>
      <protection hidden="1"/>
    </xf>
    <xf numFmtId="0" fontId="74" fillId="0" borderId="97" xfId="0" applyFont="1" applyBorder="1" applyAlignment="1" applyProtection="1">
      <alignment horizontal="center" vertical="center" wrapText="1"/>
      <protection hidden="1"/>
    </xf>
    <xf numFmtId="0" fontId="75" fillId="0" borderId="94" xfId="0" applyFont="1" applyBorder="1" applyAlignment="1" applyProtection="1">
      <alignment horizontal="center" vertical="center"/>
      <protection hidden="1"/>
    </xf>
    <xf numFmtId="0" fontId="75" fillId="0" borderId="96" xfId="0" applyFont="1" applyBorder="1" applyAlignment="1" applyProtection="1">
      <alignment horizontal="center" vertical="center"/>
      <protection hidden="1"/>
    </xf>
    <xf numFmtId="0" fontId="75" fillId="0" borderId="97" xfId="0" applyFont="1" applyBorder="1" applyAlignment="1" applyProtection="1">
      <alignment horizontal="center" vertical="center"/>
      <protection hidden="1"/>
    </xf>
    <xf numFmtId="0" fontId="74" fillId="0" borderId="91" xfId="0" applyFont="1" applyBorder="1" applyAlignment="1" applyProtection="1">
      <alignment horizontal="center" vertical="center" wrapText="1"/>
      <protection hidden="1"/>
    </xf>
    <xf numFmtId="0" fontId="74" fillId="0" borderId="92" xfId="0" applyFont="1" applyBorder="1" applyAlignment="1" applyProtection="1">
      <alignment horizontal="center" vertical="center" wrapText="1"/>
      <protection hidden="1"/>
    </xf>
    <xf numFmtId="0" fontId="75" fillId="0" borderId="104" xfId="0" applyFont="1" applyBorder="1" applyAlignment="1" applyProtection="1">
      <alignment horizontal="left" vertical="center" wrapText="1"/>
      <protection hidden="1"/>
    </xf>
    <xf numFmtId="0" fontId="75" fillId="0" borderId="105" xfId="0" applyFont="1" applyBorder="1" applyAlignment="1" applyProtection="1">
      <alignment horizontal="left" vertical="center" wrapText="1"/>
      <protection hidden="1"/>
    </xf>
    <xf numFmtId="0" fontId="75" fillId="0" borderId="106" xfId="0" applyFont="1" applyBorder="1" applyAlignment="1" applyProtection="1">
      <alignment horizontal="left" vertical="center" wrapText="1"/>
      <protection hidden="1"/>
    </xf>
    <xf numFmtId="0" fontId="78" fillId="0" borderId="90" xfId="0" applyFont="1" applyBorder="1" applyAlignment="1" applyProtection="1">
      <alignment horizontal="center" vertical="center" wrapText="1"/>
      <protection hidden="1"/>
    </xf>
    <xf numFmtId="0" fontId="73" fillId="15" borderId="91" xfId="0" applyFont="1" applyFill="1" applyBorder="1" applyAlignment="1" applyProtection="1">
      <alignment horizontal="center" vertical="center"/>
      <protection hidden="1"/>
    </xf>
    <xf numFmtId="0" fontId="73" fillId="15" borderId="92" xfId="0" applyFont="1" applyFill="1" applyBorder="1" applyAlignment="1" applyProtection="1">
      <alignment horizontal="center" vertical="center"/>
      <protection hidden="1"/>
    </xf>
    <xf numFmtId="0" fontId="73" fillId="22" borderId="92" xfId="0" applyFont="1" applyFill="1" applyBorder="1" applyAlignment="1" applyProtection="1">
      <alignment horizontal="center" vertical="center"/>
      <protection hidden="1"/>
    </xf>
    <xf numFmtId="0" fontId="73" fillId="25" borderId="92" xfId="0" applyFont="1" applyFill="1" applyBorder="1" applyAlignment="1" applyProtection="1">
      <alignment horizontal="center" vertical="center"/>
      <protection hidden="1"/>
    </xf>
    <xf numFmtId="0" fontId="74" fillId="2" borderId="91" xfId="0" applyFont="1" applyFill="1" applyBorder="1" applyAlignment="1" applyProtection="1">
      <alignment horizontal="left" vertical="center"/>
      <protection hidden="1"/>
    </xf>
    <xf numFmtId="0" fontId="74" fillId="2" borderId="92" xfId="0" applyFont="1" applyFill="1" applyBorder="1" applyAlignment="1" applyProtection="1">
      <alignment horizontal="left" vertical="center"/>
      <protection hidden="1"/>
    </xf>
    <xf numFmtId="0" fontId="74" fillId="2" borderId="94" xfId="0" applyFont="1" applyFill="1" applyBorder="1" applyAlignment="1" applyProtection="1">
      <alignment horizontal="left" vertical="center" wrapText="1"/>
      <protection hidden="1"/>
    </xf>
    <xf numFmtId="0" fontId="74" fillId="2" borderId="90" xfId="0" applyFont="1" applyFill="1" applyBorder="1" applyAlignment="1" applyProtection="1">
      <alignment horizontal="left" vertical="center" wrapText="1"/>
      <protection hidden="1"/>
    </xf>
    <xf numFmtId="0" fontId="74" fillId="2" borderId="96" xfId="0" applyFont="1" applyFill="1" applyBorder="1" applyAlignment="1" applyProtection="1">
      <alignment horizontal="left" vertical="center"/>
      <protection hidden="1"/>
    </xf>
    <xf numFmtId="0" fontId="74" fillId="2" borderId="97" xfId="0" applyFont="1" applyFill="1" applyBorder="1" applyAlignment="1" applyProtection="1">
      <alignment horizontal="left" vertical="center"/>
      <protection hidden="1"/>
    </xf>
    <xf numFmtId="0" fontId="73" fillId="2" borderId="92" xfId="0" applyFont="1" applyFill="1" applyBorder="1" applyAlignment="1" applyProtection="1">
      <alignment horizontal="left" vertical="center" wrapText="1"/>
      <protection hidden="1"/>
    </xf>
    <xf numFmtId="0" fontId="73" fillId="2" borderId="92" xfId="0" applyFont="1" applyFill="1" applyBorder="1" applyAlignment="1" applyProtection="1">
      <alignment horizontal="left" vertical="center"/>
      <protection hidden="1"/>
    </xf>
    <xf numFmtId="0" fontId="73" fillId="2" borderId="93" xfId="0" applyFont="1" applyFill="1" applyBorder="1" applyAlignment="1" applyProtection="1">
      <alignment horizontal="left" vertical="center"/>
      <protection hidden="1"/>
    </xf>
    <xf numFmtId="0" fontId="75" fillId="2" borderId="90" xfId="0" applyFont="1" applyFill="1" applyBorder="1" applyAlignment="1" applyProtection="1">
      <alignment horizontal="left" vertical="center" wrapText="1"/>
      <protection hidden="1"/>
    </xf>
    <xf numFmtId="0" fontId="75" fillId="2" borderId="95" xfId="0" applyFont="1" applyFill="1" applyBorder="1" applyAlignment="1" applyProtection="1">
      <alignment horizontal="left" vertical="center" wrapText="1"/>
      <protection hidden="1"/>
    </xf>
    <xf numFmtId="0" fontId="73" fillId="15" borderId="94"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wrapText="1"/>
      <protection hidden="1"/>
    </xf>
    <xf numFmtId="0" fontId="73" fillId="21" borderId="90" xfId="0" applyFont="1" applyFill="1" applyBorder="1" applyAlignment="1" applyProtection="1">
      <alignment horizontal="center" vertical="center"/>
      <protection hidden="1"/>
    </xf>
    <xf numFmtId="0" fontId="75" fillId="2" borderId="0" xfId="0" applyFont="1" applyFill="1" applyAlignment="1" applyProtection="1">
      <alignment horizontal="left" vertical="center"/>
      <protection hidden="1"/>
    </xf>
    <xf numFmtId="0" fontId="73" fillId="24"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wrapText="1"/>
      <protection hidden="1"/>
    </xf>
    <xf numFmtId="0" fontId="73" fillId="24" borderId="92" xfId="0" applyFont="1" applyFill="1" applyBorder="1" applyAlignment="1" applyProtection="1">
      <alignment horizontal="center" vertical="center"/>
      <protection hidden="1"/>
    </xf>
    <xf numFmtId="0" fontId="73" fillId="23" borderId="90" xfId="0" applyFont="1" applyFill="1" applyBorder="1" applyAlignment="1" applyProtection="1">
      <alignment horizontal="center" vertical="center" wrapText="1"/>
      <protection hidden="1"/>
    </xf>
    <xf numFmtId="0" fontId="73" fillId="23" borderId="92" xfId="0" applyFont="1" applyFill="1" applyBorder="1" applyAlignment="1" applyProtection="1">
      <alignment horizontal="center" vertical="center"/>
      <protection hidden="1"/>
    </xf>
    <xf numFmtId="0" fontId="73" fillId="23" borderId="93" xfId="0" applyFont="1" applyFill="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3" fillId="23" borderId="95" xfId="0" applyFont="1" applyFill="1" applyBorder="1" applyAlignment="1" applyProtection="1">
      <alignment horizontal="center" vertical="center" wrapText="1"/>
      <protection hidden="1"/>
    </xf>
    <xf numFmtId="0" fontId="73" fillId="25" borderId="90" xfId="0" applyFont="1" applyFill="1" applyBorder="1" applyAlignment="1" applyProtection="1">
      <alignment horizontal="center" vertical="center" textRotation="90" wrapText="1"/>
      <protection hidden="1"/>
    </xf>
    <xf numFmtId="0" fontId="74" fillId="0" borderId="100" xfId="0" applyFont="1" applyBorder="1" applyAlignment="1" applyProtection="1">
      <alignment horizontal="center" vertical="center"/>
      <protection hidden="1"/>
    </xf>
    <xf numFmtId="0" fontId="74" fillId="0" borderId="103" xfId="0" applyFont="1" applyBorder="1" applyAlignment="1" applyProtection="1">
      <alignment horizontal="center" vertical="center"/>
      <protection hidden="1"/>
    </xf>
    <xf numFmtId="0" fontId="75" fillId="2" borderId="99" xfId="0" applyFont="1" applyFill="1" applyBorder="1" applyAlignment="1" applyProtection="1">
      <alignment horizontal="center" vertical="center"/>
      <protection hidden="1"/>
    </xf>
    <xf numFmtId="0" fontId="75" fillId="2" borderId="101" xfId="0" applyFont="1" applyFill="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8" fillId="0" borderId="101"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6" fillId="0" borderId="101"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5" fillId="0" borderId="101" xfId="0" applyFont="1" applyBorder="1" applyAlignment="1" applyProtection="1">
      <alignment horizontal="center" vertical="center"/>
      <protection hidden="1"/>
    </xf>
    <xf numFmtId="0" fontId="70" fillId="20" borderId="49" xfId="0" applyFont="1" applyFill="1" applyBorder="1" applyAlignment="1" applyProtection="1">
      <alignment horizontal="justify" vertical="center" wrapText="1"/>
      <protection locked="0" hidden="1"/>
    </xf>
    <xf numFmtId="14" fontId="67" fillId="17" borderId="49" xfId="0" applyNumberFormat="1" applyFont="1" applyFill="1" applyBorder="1" applyAlignment="1" applyProtection="1">
      <alignment horizontal="justify" vertical="center" wrapText="1"/>
      <protection hidden="1"/>
    </xf>
    <xf numFmtId="0" fontId="56"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locked="0" hidden="1"/>
    </xf>
    <xf numFmtId="0" fontId="55" fillId="0" borderId="77" xfId="0" applyFont="1" applyBorder="1" applyAlignment="1" applyProtection="1">
      <alignment horizontal="justify" vertical="center" wrapText="1"/>
      <protection hidden="1"/>
    </xf>
    <xf numFmtId="0" fontId="55" fillId="0" borderId="78" xfId="0" applyFont="1" applyBorder="1" applyAlignment="1" applyProtection="1">
      <alignment horizontal="justify" vertical="center" wrapText="1"/>
      <protection hidden="1"/>
    </xf>
    <xf numFmtId="0" fontId="63" fillId="0" borderId="79" xfId="0" applyFont="1" applyBorder="1" applyAlignment="1" applyProtection="1">
      <alignment horizontal="justify" vertical="center" wrapText="1"/>
      <protection hidden="1"/>
    </xf>
    <xf numFmtId="0" fontId="63" fillId="0" borderId="15" xfId="0" applyFont="1" applyBorder="1" applyAlignment="1" applyProtection="1">
      <alignment horizontal="justify" vertical="center" wrapText="1"/>
      <protection hidden="1"/>
    </xf>
    <xf numFmtId="0" fontId="55" fillId="0" borderId="47" xfId="0" applyFont="1" applyBorder="1" applyAlignment="1" applyProtection="1">
      <alignment horizontal="justify" vertical="center" wrapText="1"/>
      <protection hidden="1"/>
    </xf>
    <xf numFmtId="0" fontId="55" fillId="0" borderId="14" xfId="0" applyFont="1" applyBorder="1" applyAlignment="1" applyProtection="1">
      <alignment horizontal="justify" vertical="center" wrapText="1"/>
      <protection hidden="1"/>
    </xf>
    <xf numFmtId="0" fontId="55" fillId="0" borderId="48" xfId="0" applyFont="1" applyBorder="1" applyAlignment="1" applyProtection="1">
      <alignment horizontal="justify" vertical="center" wrapText="1"/>
      <protection hidden="1"/>
    </xf>
    <xf numFmtId="0" fontId="55" fillId="0" borderId="16" xfId="0" applyFont="1" applyBorder="1" applyAlignment="1" applyProtection="1">
      <alignment horizontal="justify" vertical="center" wrapText="1"/>
      <protection hidden="1"/>
    </xf>
    <xf numFmtId="0" fontId="55" fillId="0" borderId="17" xfId="0" applyFont="1" applyBorder="1" applyAlignment="1" applyProtection="1">
      <alignment horizontal="justify" vertical="center" wrapText="1"/>
      <protection hidden="1"/>
    </xf>
    <xf numFmtId="14" fontId="68" fillId="17" borderId="49" xfId="0" applyNumberFormat="1" applyFont="1" applyFill="1" applyBorder="1" applyAlignment="1" applyProtection="1">
      <alignment horizontal="justify" vertical="center" wrapText="1"/>
      <protection hidden="1"/>
    </xf>
    <xf numFmtId="0" fontId="68" fillId="17" borderId="49" xfId="0" applyFont="1" applyFill="1" applyBorder="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55" fillId="0" borderId="81" xfId="0" applyFont="1" applyBorder="1" applyAlignment="1" applyProtection="1">
      <alignment horizontal="justify" vertical="center"/>
      <protection hidden="1"/>
    </xf>
    <xf numFmtId="0" fontId="55" fillId="0" borderId="10" xfId="0" applyFont="1" applyBorder="1" applyAlignment="1" applyProtection="1">
      <alignment horizontal="justify" vertical="center"/>
      <protection hidden="1"/>
    </xf>
    <xf numFmtId="0" fontId="55" fillId="0" borderId="82" xfId="0" applyFont="1" applyBorder="1" applyAlignment="1" applyProtection="1">
      <alignment horizontal="justify" vertical="center"/>
      <protection hidden="1"/>
    </xf>
    <xf numFmtId="0" fontId="55" fillId="0" borderId="83" xfId="0" applyFont="1" applyBorder="1" applyAlignment="1" applyProtection="1">
      <alignment horizontal="justify" vertical="center"/>
      <protection hidden="1"/>
    </xf>
    <xf numFmtId="0" fontId="55" fillId="0" borderId="26" xfId="0" applyFont="1" applyBorder="1" applyAlignment="1" applyProtection="1">
      <alignment horizontal="justify" vertical="center"/>
      <protection hidden="1"/>
    </xf>
    <xf numFmtId="0" fontId="55" fillId="0" borderId="84" xfId="0" applyFont="1" applyBorder="1" applyAlignment="1" applyProtection="1">
      <alignment horizontal="justify" vertical="center"/>
      <protection hidden="1"/>
    </xf>
    <xf numFmtId="0" fontId="55" fillId="0" borderId="85" xfId="0" applyFont="1" applyBorder="1" applyAlignment="1" applyProtection="1">
      <alignment horizontal="justify" vertical="center"/>
      <protection hidden="1"/>
    </xf>
    <xf numFmtId="0" fontId="55" fillId="0" borderId="23" xfId="0" applyFont="1" applyBorder="1" applyAlignment="1" applyProtection="1">
      <alignment horizontal="justify" vertical="center"/>
      <protection hidden="1"/>
    </xf>
    <xf numFmtId="0" fontId="55" fillId="0" borderId="86" xfId="0" applyFont="1" applyBorder="1" applyAlignment="1" applyProtection="1">
      <alignment horizontal="justify" vertical="center"/>
      <protection hidden="1"/>
    </xf>
    <xf numFmtId="0" fontId="55" fillId="0" borderId="87" xfId="0" applyFont="1" applyBorder="1" applyAlignment="1" applyProtection="1">
      <alignment horizontal="justify" vertical="center" wrapText="1"/>
      <protection hidden="1"/>
    </xf>
    <xf numFmtId="0" fontId="55" fillId="0" borderId="88" xfId="0" applyFont="1" applyBorder="1" applyAlignment="1" applyProtection="1">
      <alignment horizontal="justify" vertical="center" wrapText="1"/>
      <protection hidden="1"/>
    </xf>
    <xf numFmtId="0" fontId="55" fillId="0" borderId="89" xfId="0" applyFont="1" applyBorder="1" applyAlignment="1" applyProtection="1">
      <alignment horizontal="justify" vertical="center" wrapText="1"/>
      <protection hidden="1"/>
    </xf>
    <xf numFmtId="0" fontId="55" fillId="0" borderId="87" xfId="0" applyFont="1" applyBorder="1" applyAlignment="1" applyProtection="1">
      <alignment horizontal="justify" vertical="center"/>
      <protection hidden="1"/>
    </xf>
    <xf numFmtId="0" fontId="55" fillId="0" borderId="88" xfId="0" applyFont="1" applyBorder="1" applyAlignment="1" applyProtection="1">
      <alignment horizontal="justify" vertical="center"/>
      <protection hidden="1"/>
    </xf>
    <xf numFmtId="0" fontId="55" fillId="0" borderId="89" xfId="0" applyFont="1" applyBorder="1" applyAlignment="1" applyProtection="1">
      <alignment horizontal="justify" vertical="center"/>
      <protection hidden="1"/>
    </xf>
    <xf numFmtId="0" fontId="70"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locked="0"/>
    </xf>
    <xf numFmtId="0" fontId="69" fillId="20" borderId="49" xfId="0" applyFont="1" applyFill="1" applyBorder="1" applyAlignment="1" applyProtection="1">
      <alignment horizontal="center" vertical="center" wrapText="1"/>
      <protection locked="0" hidden="1"/>
    </xf>
    <xf numFmtId="0" fontId="55" fillId="0" borderId="85"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81"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2" xfId="0" applyFont="1" applyBorder="1" applyAlignment="1" applyProtection="1">
      <alignment horizontal="center" vertical="center"/>
      <protection hidden="1"/>
    </xf>
    <xf numFmtId="0" fontId="55" fillId="0" borderId="83"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5" fillId="0" borderId="87"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87" xfId="0" applyFont="1" applyBorder="1" applyAlignment="1" applyProtection="1">
      <alignment horizontal="center" vertical="center" wrapText="1"/>
      <protection hidden="1"/>
    </xf>
    <xf numFmtId="0" fontId="55" fillId="0" borderId="88" xfId="0" applyFont="1" applyBorder="1" applyAlignment="1" applyProtection="1">
      <alignment horizontal="center" vertical="center" wrapText="1"/>
      <protection hidden="1"/>
    </xf>
    <xf numFmtId="0" fontId="55" fillId="0" borderId="89" xfId="0" applyFont="1" applyBorder="1" applyAlignment="1" applyProtection="1">
      <alignment horizontal="center" vertical="center" wrapText="1"/>
      <protection hidden="1"/>
    </xf>
    <xf numFmtId="0" fontId="55" fillId="0" borderId="77" xfId="0" applyFont="1" applyBorder="1" applyAlignment="1" applyProtection="1">
      <alignment horizontal="center" vertical="center" wrapText="1"/>
      <protection hidden="1"/>
    </xf>
    <xf numFmtId="0" fontId="55" fillId="0" borderId="78" xfId="0" applyFont="1" applyBorder="1" applyAlignment="1" applyProtection="1">
      <alignment horizontal="center" vertical="center" wrapText="1"/>
      <protection hidden="1"/>
    </xf>
    <xf numFmtId="0" fontId="63" fillId="0" borderId="79" xfId="0" applyFont="1" applyBorder="1" applyAlignment="1" applyProtection="1">
      <alignment horizontal="left" vertical="center" wrapText="1"/>
      <protection hidden="1"/>
    </xf>
    <xf numFmtId="0" fontId="63"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68" fillId="18" borderId="49" xfId="0" applyNumberFormat="1" applyFont="1" applyFill="1" applyBorder="1" applyAlignment="1" applyProtection="1">
      <alignment horizontal="center" vertical="center" wrapText="1"/>
      <protection hidden="1"/>
    </xf>
    <xf numFmtId="0" fontId="68"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7"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69"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85" xfId="0" applyFont="1" applyBorder="1" applyAlignment="1">
      <alignment horizontal="center" vertical="center"/>
    </xf>
    <xf numFmtId="0" fontId="55" fillId="0" borderId="23" xfId="0" applyFont="1" applyBorder="1" applyAlignment="1">
      <alignment horizontal="center" vertical="center"/>
    </xf>
    <xf numFmtId="0" fontId="55" fillId="0" borderId="86" xfId="0" applyFont="1" applyBorder="1" applyAlignment="1">
      <alignment horizontal="center" vertical="center"/>
    </xf>
    <xf numFmtId="0" fontId="55" fillId="0" borderId="81" xfId="0" applyFont="1" applyBorder="1" applyAlignment="1">
      <alignment horizontal="center" vertical="center"/>
    </xf>
    <xf numFmtId="0" fontId="55" fillId="0" borderId="10" xfId="0" applyFont="1" applyBorder="1" applyAlignment="1">
      <alignment horizontal="center" vertical="center"/>
    </xf>
    <xf numFmtId="0" fontId="55" fillId="0" borderId="82" xfId="0" applyFont="1" applyBorder="1" applyAlignment="1">
      <alignment horizontal="center" vertical="center"/>
    </xf>
    <xf numFmtId="0" fontId="55" fillId="0" borderId="83" xfId="0" applyFont="1" applyBorder="1" applyAlignment="1">
      <alignment horizontal="center" vertical="center"/>
    </xf>
    <xf numFmtId="0" fontId="55" fillId="0" borderId="26" xfId="0" applyFont="1" applyBorder="1" applyAlignment="1">
      <alignment horizontal="center" vertical="center"/>
    </xf>
    <xf numFmtId="0" fontId="55" fillId="0" borderId="84" xfId="0" applyFont="1" applyBorder="1" applyAlignment="1">
      <alignment horizontal="center" vertical="center"/>
    </xf>
    <xf numFmtId="0" fontId="55" fillId="0" borderId="87"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87" xfId="0" applyFont="1" applyBorder="1" applyAlignment="1">
      <alignment horizontal="center" vertical="center" wrapText="1"/>
    </xf>
    <xf numFmtId="0" fontId="55" fillId="0" borderId="88" xfId="0" applyFont="1" applyBorder="1" applyAlignment="1">
      <alignment horizontal="center" vertical="center" wrapText="1"/>
    </xf>
    <xf numFmtId="0" fontId="55" fillId="0" borderId="89" xfId="0" applyFont="1" applyBorder="1" applyAlignment="1">
      <alignment horizontal="center" vertical="center" wrapText="1"/>
    </xf>
    <xf numFmtId="0" fontId="55" fillId="0" borderId="77" xfId="0" applyFont="1" applyBorder="1" applyAlignment="1">
      <alignment horizontal="center" vertical="center" wrapText="1"/>
    </xf>
    <xf numFmtId="0" fontId="55" fillId="0" borderId="78" xfId="0" applyFont="1" applyBorder="1" applyAlignment="1">
      <alignment horizontal="center" vertical="center" wrapText="1"/>
    </xf>
    <xf numFmtId="0" fontId="63" fillId="0" borderId="79" xfId="0" applyFont="1" applyBorder="1" applyAlignment="1">
      <alignment horizontal="left" vertical="center" wrapText="1"/>
    </xf>
    <xf numFmtId="0" fontId="63"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68" fillId="7" borderId="49" xfId="0" applyNumberFormat="1" applyFont="1" applyFill="1" applyBorder="1" applyAlignment="1">
      <alignment horizontal="center" vertical="center" wrapText="1"/>
    </xf>
    <xf numFmtId="0" fontId="68" fillId="7" borderId="49" xfId="0" applyFont="1" applyFill="1" applyBorder="1" applyAlignment="1">
      <alignment horizontal="center" vertical="center"/>
    </xf>
    <xf numFmtId="14" fontId="67"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58" xfId="0" applyFont="1" applyFill="1" applyBorder="1" applyAlignment="1">
      <alignment horizontal="center" vertical="center" wrapText="1" readingOrder="1"/>
    </xf>
    <xf numFmtId="0" fontId="50" fillId="10" borderId="59" xfId="0" applyFont="1" applyFill="1" applyBorder="1" applyAlignment="1">
      <alignment horizontal="center" vertical="center" wrapText="1" readingOrder="1"/>
    </xf>
    <xf numFmtId="0" fontId="50" fillId="10" borderId="60" xfId="0" applyFont="1" applyFill="1" applyBorder="1" applyAlignment="1">
      <alignment horizontal="center" vertical="center" wrapText="1" readingOrder="1"/>
    </xf>
    <xf numFmtId="0" fontId="50" fillId="10" borderId="61"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2" xfId="0" applyFont="1" applyFill="1" applyBorder="1" applyAlignment="1">
      <alignment horizontal="center" vertical="center" wrapText="1" readingOrder="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9" borderId="58" xfId="0" applyFont="1" applyFill="1" applyBorder="1" applyAlignment="1">
      <alignment horizontal="center" vertical="center" wrapText="1" readingOrder="1"/>
    </xf>
    <xf numFmtId="0" fontId="50" fillId="9" borderId="59" xfId="0" applyFont="1" applyFill="1" applyBorder="1" applyAlignment="1">
      <alignment horizontal="center" vertical="center" wrapText="1" readingOrder="1"/>
    </xf>
    <xf numFmtId="0" fontId="50" fillId="9" borderId="60" xfId="0" applyFont="1" applyFill="1" applyBorder="1" applyAlignment="1">
      <alignment horizontal="center" vertical="center" wrapText="1" readingOrder="1"/>
    </xf>
    <xf numFmtId="0" fontId="50" fillId="9" borderId="61"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2"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11" borderId="58" xfId="0" applyFont="1" applyFill="1" applyBorder="1" applyAlignment="1">
      <alignment horizontal="center" vertical="center" wrapText="1" readingOrder="1"/>
    </xf>
    <xf numFmtId="0" fontId="50" fillId="11" borderId="59" xfId="0" applyFont="1" applyFill="1" applyBorder="1" applyAlignment="1">
      <alignment horizontal="center" vertical="center" wrapText="1" readingOrder="1"/>
    </xf>
    <xf numFmtId="0" fontId="50" fillId="11" borderId="60" xfId="0" applyFont="1" applyFill="1" applyBorder="1" applyAlignment="1">
      <alignment horizontal="center" vertical="center" wrapText="1" readingOrder="1"/>
    </xf>
    <xf numFmtId="0" fontId="50" fillId="11" borderId="61"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2"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4" borderId="58" xfId="0" applyFont="1" applyFill="1" applyBorder="1" applyAlignment="1">
      <alignment horizontal="center" vertical="center" wrapText="1" readingOrder="1"/>
    </xf>
    <xf numFmtId="0" fontId="50" fillId="4" borderId="59" xfId="0" applyFont="1" applyFill="1" applyBorder="1" applyAlignment="1">
      <alignment horizontal="center" vertical="center" wrapText="1" readingOrder="1"/>
    </xf>
    <xf numFmtId="0" fontId="50" fillId="4" borderId="60" xfId="0" applyFont="1" applyFill="1" applyBorder="1" applyAlignment="1">
      <alignment horizontal="center" vertical="center" wrapText="1" readingOrder="1"/>
    </xf>
    <xf numFmtId="0" fontId="50" fillId="4" borderId="61"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2"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58" xfId="0" applyFont="1" applyFill="1" applyBorder="1" applyAlignment="1">
      <alignment horizontal="center" vertical="center" wrapText="1" readingOrder="1"/>
    </xf>
    <xf numFmtId="0" fontId="51" fillId="10" borderId="59" xfId="0" applyFont="1" applyFill="1" applyBorder="1" applyAlignment="1">
      <alignment horizontal="center" vertical="center" wrapText="1" readingOrder="1"/>
    </xf>
    <xf numFmtId="0" fontId="51" fillId="10" borderId="60" xfId="0" applyFont="1" applyFill="1" applyBorder="1" applyAlignment="1">
      <alignment horizontal="center" vertical="center" wrapText="1" readingOrder="1"/>
    </xf>
    <xf numFmtId="0" fontId="51" fillId="10" borderId="61"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2" xfId="0" applyFont="1" applyFill="1" applyBorder="1" applyAlignment="1">
      <alignment horizontal="center" vertical="center" wrapText="1" readingOrder="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58" xfId="0" applyFont="1" applyFill="1" applyBorder="1" applyAlignment="1">
      <alignment horizontal="center" vertical="center" wrapText="1" readingOrder="1"/>
    </xf>
    <xf numFmtId="0" fontId="51" fillId="4" borderId="59" xfId="0" applyFont="1" applyFill="1" applyBorder="1" applyAlignment="1">
      <alignment horizontal="center" vertical="center" wrapText="1" readingOrder="1"/>
    </xf>
    <xf numFmtId="0" fontId="51" fillId="4" borderId="60" xfId="0" applyFont="1" applyFill="1" applyBorder="1" applyAlignment="1">
      <alignment horizontal="center" vertical="center" wrapText="1" readingOrder="1"/>
    </xf>
    <xf numFmtId="0" fontId="51" fillId="4" borderId="61"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2"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9" borderId="58" xfId="0" applyFont="1" applyFill="1" applyBorder="1" applyAlignment="1">
      <alignment horizontal="center" vertical="center" wrapText="1" readingOrder="1"/>
    </xf>
    <xf numFmtId="0" fontId="51" fillId="9" borderId="59" xfId="0" applyFont="1" applyFill="1" applyBorder="1" applyAlignment="1">
      <alignment horizontal="center" vertical="center" wrapText="1" readingOrder="1"/>
    </xf>
    <xf numFmtId="0" fontId="51" fillId="9" borderId="60" xfId="0" applyFont="1" applyFill="1" applyBorder="1" applyAlignment="1">
      <alignment horizontal="center" vertical="center" wrapText="1" readingOrder="1"/>
    </xf>
    <xf numFmtId="0" fontId="51" fillId="9" borderId="61"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2"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11" borderId="58" xfId="0" applyFont="1" applyFill="1" applyBorder="1" applyAlignment="1">
      <alignment horizontal="center" vertical="center" wrapText="1" readingOrder="1"/>
    </xf>
    <xf numFmtId="0" fontId="51" fillId="11" borderId="59" xfId="0" applyFont="1" applyFill="1" applyBorder="1" applyAlignment="1">
      <alignment horizontal="center" vertical="center" wrapText="1" readingOrder="1"/>
    </xf>
    <xf numFmtId="0" fontId="51" fillId="11" borderId="60" xfId="0" applyFont="1" applyFill="1" applyBorder="1" applyAlignment="1">
      <alignment horizontal="center" vertical="center" wrapText="1" readingOrder="1"/>
    </xf>
    <xf numFmtId="0" fontId="51" fillId="11" borderId="61"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2"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7" fillId="19" borderId="49" xfId="0" applyNumberFormat="1" applyFont="1" applyFill="1" applyBorder="1" applyAlignment="1">
      <alignment horizontal="center" vertical="center" wrapText="1"/>
    </xf>
    <xf numFmtId="14" fontId="68" fillId="19" borderId="49" xfId="0" applyNumberFormat="1" applyFont="1" applyFill="1" applyBorder="1" applyAlignment="1">
      <alignment horizontal="center" vertical="center" wrapText="1"/>
    </xf>
    <xf numFmtId="0" fontId="68"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7" fillId="16" borderId="49" xfId="0" applyNumberFormat="1" applyFont="1" applyFill="1" applyBorder="1" applyAlignment="1">
      <alignment horizontal="center" vertical="center" wrapText="1"/>
    </xf>
    <xf numFmtId="14" fontId="68" fillId="16" borderId="49" xfId="0" applyNumberFormat="1" applyFont="1" applyFill="1" applyBorder="1" applyAlignment="1">
      <alignment horizontal="center" vertical="center" wrapText="1"/>
    </xf>
    <xf numFmtId="0" fontId="68" fillId="16" borderId="49" xfId="0" applyFont="1" applyFill="1" applyBorder="1" applyAlignment="1">
      <alignment horizontal="center" vertical="center"/>
    </xf>
    <xf numFmtId="0" fontId="66"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98">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pivotCacheDefinition" Target="pivotCache/pivotCacheDefinition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2170957</xdr:colOff>
      <xdr:row>4</xdr:row>
      <xdr:rowOff>484909</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i%20unidad/HOMIL%20-NCR/ADMINISTRACI&#211;N%20DE%20RIESGOS/2024/RIESGOS%202024/Mapa_de_Riesgos_por_Proceso_2024/MR_Gesti&#243;n_Human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Mapa_de_Riesgos_Tecnolog&#237;as_de_la_Informaci&#243;n_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8"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197" dataDxfId="196">
  <autoFilter ref="B209:C219"/>
  <tableColumns count="2">
    <tableColumn id="1" name="Criterios" dataDxfId="195"/>
    <tableColumn id="2" name="Subcriterios" dataDxfId="194"/>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326" t="s">
        <v>0</v>
      </c>
      <c r="C2" s="327"/>
      <c r="D2" s="327"/>
      <c r="E2" s="327"/>
      <c r="F2" s="327"/>
      <c r="G2" s="327"/>
      <c r="H2" s="328"/>
    </row>
    <row r="3" spans="2:8" x14ac:dyDescent="0.25">
      <c r="B3" s="70"/>
      <c r="C3" s="71"/>
      <c r="D3" s="71"/>
      <c r="E3" s="71"/>
      <c r="F3" s="71"/>
      <c r="G3" s="71"/>
      <c r="H3" s="72"/>
    </row>
    <row r="4" spans="2:8" ht="63" customHeight="1" x14ac:dyDescent="0.25">
      <c r="B4" s="329" t="s">
        <v>1</v>
      </c>
      <c r="C4" s="330"/>
      <c r="D4" s="330"/>
      <c r="E4" s="330"/>
      <c r="F4" s="330"/>
      <c r="G4" s="330"/>
      <c r="H4" s="331"/>
    </row>
    <row r="5" spans="2:8" ht="63" customHeight="1" x14ac:dyDescent="0.25">
      <c r="B5" s="332"/>
      <c r="C5" s="333"/>
      <c r="D5" s="333"/>
      <c r="E5" s="333"/>
      <c r="F5" s="333"/>
      <c r="G5" s="333"/>
      <c r="H5" s="334"/>
    </row>
    <row r="6" spans="2:8" ht="16.5" x14ac:dyDescent="0.25">
      <c r="B6" s="335" t="s">
        <v>2</v>
      </c>
      <c r="C6" s="336"/>
      <c r="D6" s="336"/>
      <c r="E6" s="336"/>
      <c r="F6" s="336"/>
      <c r="G6" s="336"/>
      <c r="H6" s="337"/>
    </row>
    <row r="7" spans="2:8" ht="95.25" customHeight="1" x14ac:dyDescent="0.25">
      <c r="B7" s="345" t="s">
        <v>3</v>
      </c>
      <c r="C7" s="346"/>
      <c r="D7" s="346"/>
      <c r="E7" s="346"/>
      <c r="F7" s="346"/>
      <c r="G7" s="346"/>
      <c r="H7" s="347"/>
    </row>
    <row r="8" spans="2:8" ht="16.5" x14ac:dyDescent="0.25">
      <c r="B8" s="105"/>
      <c r="C8" s="106"/>
      <c r="D8" s="106"/>
      <c r="E8" s="106"/>
      <c r="F8" s="106"/>
      <c r="G8" s="106"/>
      <c r="H8" s="107"/>
    </row>
    <row r="9" spans="2:8" ht="16.5" customHeight="1" x14ac:dyDescent="0.25">
      <c r="B9" s="338" t="s">
        <v>4</v>
      </c>
      <c r="C9" s="339"/>
      <c r="D9" s="339"/>
      <c r="E9" s="339"/>
      <c r="F9" s="339"/>
      <c r="G9" s="339"/>
      <c r="H9" s="340"/>
    </row>
    <row r="10" spans="2:8" ht="44.25" customHeight="1" x14ac:dyDescent="0.25">
      <c r="B10" s="338"/>
      <c r="C10" s="339"/>
      <c r="D10" s="339"/>
      <c r="E10" s="339"/>
      <c r="F10" s="339"/>
      <c r="G10" s="339"/>
      <c r="H10" s="340"/>
    </row>
    <row r="11" spans="2:8" ht="15.75" thickBot="1" x14ac:dyDescent="0.3">
      <c r="B11" s="94"/>
      <c r="C11" s="97"/>
      <c r="D11" s="102"/>
      <c r="E11" s="103"/>
      <c r="F11" s="103"/>
      <c r="G11" s="104"/>
      <c r="H11" s="98"/>
    </row>
    <row r="12" spans="2:8" ht="15.75" thickTop="1" x14ac:dyDescent="0.25">
      <c r="B12" s="94"/>
      <c r="C12" s="341" t="s">
        <v>5</v>
      </c>
      <c r="D12" s="342"/>
      <c r="E12" s="343" t="s">
        <v>6</v>
      </c>
      <c r="F12" s="344"/>
      <c r="G12" s="97"/>
      <c r="H12" s="98"/>
    </row>
    <row r="13" spans="2:8" ht="35.25" customHeight="1" x14ac:dyDescent="0.25">
      <c r="B13" s="94"/>
      <c r="C13" s="322" t="s">
        <v>7</v>
      </c>
      <c r="D13" s="323"/>
      <c r="E13" s="324" t="s">
        <v>8</v>
      </c>
      <c r="F13" s="325"/>
      <c r="G13" s="97"/>
      <c r="H13" s="98"/>
    </row>
    <row r="14" spans="2:8" ht="17.25" customHeight="1" x14ac:dyDescent="0.25">
      <c r="B14" s="94"/>
      <c r="C14" s="322" t="s">
        <v>9</v>
      </c>
      <c r="D14" s="323"/>
      <c r="E14" s="324" t="s">
        <v>10</v>
      </c>
      <c r="F14" s="325"/>
      <c r="G14" s="97"/>
      <c r="H14" s="98"/>
    </row>
    <row r="15" spans="2:8" ht="19.5" customHeight="1" x14ac:dyDescent="0.25">
      <c r="B15" s="94"/>
      <c r="C15" s="322" t="s">
        <v>11</v>
      </c>
      <c r="D15" s="323"/>
      <c r="E15" s="324" t="s">
        <v>12</v>
      </c>
      <c r="F15" s="325"/>
      <c r="G15" s="97"/>
      <c r="H15" s="98"/>
    </row>
    <row r="16" spans="2:8" ht="69.75" customHeight="1" x14ac:dyDescent="0.25">
      <c r="B16" s="94"/>
      <c r="C16" s="322" t="s">
        <v>13</v>
      </c>
      <c r="D16" s="323"/>
      <c r="E16" s="324" t="s">
        <v>14</v>
      </c>
      <c r="F16" s="325"/>
      <c r="G16" s="97"/>
      <c r="H16" s="98"/>
    </row>
    <row r="17" spans="2:8" ht="34.5" customHeight="1" x14ac:dyDescent="0.25">
      <c r="B17" s="94"/>
      <c r="C17" s="311" t="s">
        <v>15</v>
      </c>
      <c r="D17" s="312"/>
      <c r="E17" s="309" t="s">
        <v>16</v>
      </c>
      <c r="F17" s="310"/>
      <c r="G17" s="97"/>
      <c r="H17" s="98"/>
    </row>
    <row r="18" spans="2:8" ht="27.75" customHeight="1" x14ac:dyDescent="0.25">
      <c r="B18" s="94"/>
      <c r="C18" s="311" t="s">
        <v>17</v>
      </c>
      <c r="D18" s="312"/>
      <c r="E18" s="309" t="s">
        <v>18</v>
      </c>
      <c r="F18" s="310"/>
      <c r="G18" s="97"/>
      <c r="H18" s="98"/>
    </row>
    <row r="19" spans="2:8" ht="28.5" customHeight="1" x14ac:dyDescent="0.25">
      <c r="B19" s="94"/>
      <c r="C19" s="311" t="s">
        <v>19</v>
      </c>
      <c r="D19" s="312"/>
      <c r="E19" s="309" t="s">
        <v>20</v>
      </c>
      <c r="F19" s="310"/>
      <c r="G19" s="97"/>
      <c r="H19" s="98"/>
    </row>
    <row r="20" spans="2:8" ht="72.75" customHeight="1" x14ac:dyDescent="0.25">
      <c r="B20" s="94"/>
      <c r="C20" s="311" t="s">
        <v>21</v>
      </c>
      <c r="D20" s="312"/>
      <c r="E20" s="309" t="s">
        <v>22</v>
      </c>
      <c r="F20" s="310"/>
      <c r="G20" s="97"/>
      <c r="H20" s="98"/>
    </row>
    <row r="21" spans="2:8" ht="64.5" customHeight="1" x14ac:dyDescent="0.25">
      <c r="B21" s="94"/>
      <c r="C21" s="311" t="s">
        <v>23</v>
      </c>
      <c r="D21" s="312"/>
      <c r="E21" s="309" t="s">
        <v>24</v>
      </c>
      <c r="F21" s="310"/>
      <c r="G21" s="97"/>
      <c r="H21" s="98"/>
    </row>
    <row r="22" spans="2:8" ht="71.25" customHeight="1" x14ac:dyDescent="0.25">
      <c r="B22" s="94"/>
      <c r="C22" s="311" t="s">
        <v>25</v>
      </c>
      <c r="D22" s="312"/>
      <c r="E22" s="309" t="s">
        <v>26</v>
      </c>
      <c r="F22" s="310"/>
      <c r="G22" s="97"/>
      <c r="H22" s="98"/>
    </row>
    <row r="23" spans="2:8" ht="55.5" customHeight="1" x14ac:dyDescent="0.25">
      <c r="B23" s="94"/>
      <c r="C23" s="316" t="s">
        <v>27</v>
      </c>
      <c r="D23" s="317"/>
      <c r="E23" s="309" t="s">
        <v>28</v>
      </c>
      <c r="F23" s="310"/>
      <c r="G23" s="97"/>
      <c r="H23" s="98"/>
    </row>
    <row r="24" spans="2:8" ht="42" customHeight="1" x14ac:dyDescent="0.25">
      <c r="B24" s="94"/>
      <c r="C24" s="316" t="s">
        <v>29</v>
      </c>
      <c r="D24" s="317"/>
      <c r="E24" s="309" t="s">
        <v>30</v>
      </c>
      <c r="F24" s="310"/>
      <c r="G24" s="97"/>
      <c r="H24" s="98"/>
    </row>
    <row r="25" spans="2:8" ht="59.25" customHeight="1" x14ac:dyDescent="0.25">
      <c r="B25" s="94"/>
      <c r="C25" s="316" t="s">
        <v>31</v>
      </c>
      <c r="D25" s="317"/>
      <c r="E25" s="309" t="s">
        <v>32</v>
      </c>
      <c r="F25" s="310"/>
      <c r="G25" s="97"/>
      <c r="H25" s="98"/>
    </row>
    <row r="26" spans="2:8" ht="23.25" customHeight="1" x14ac:dyDescent="0.25">
      <c r="B26" s="94"/>
      <c r="C26" s="316" t="s">
        <v>33</v>
      </c>
      <c r="D26" s="317"/>
      <c r="E26" s="309" t="s">
        <v>34</v>
      </c>
      <c r="F26" s="310"/>
      <c r="G26" s="97"/>
      <c r="H26" s="98"/>
    </row>
    <row r="27" spans="2:8" ht="30.75" customHeight="1" x14ac:dyDescent="0.25">
      <c r="B27" s="94"/>
      <c r="C27" s="316" t="s">
        <v>35</v>
      </c>
      <c r="D27" s="317"/>
      <c r="E27" s="309" t="s">
        <v>36</v>
      </c>
      <c r="F27" s="310"/>
      <c r="G27" s="97"/>
      <c r="H27" s="98"/>
    </row>
    <row r="28" spans="2:8" ht="35.25" customHeight="1" x14ac:dyDescent="0.25">
      <c r="B28" s="94"/>
      <c r="C28" s="316" t="s">
        <v>37</v>
      </c>
      <c r="D28" s="317"/>
      <c r="E28" s="309" t="s">
        <v>38</v>
      </c>
      <c r="F28" s="310"/>
      <c r="G28" s="97"/>
      <c r="H28" s="98"/>
    </row>
    <row r="29" spans="2:8" ht="33" customHeight="1" x14ac:dyDescent="0.25">
      <c r="B29" s="94"/>
      <c r="C29" s="316" t="s">
        <v>37</v>
      </c>
      <c r="D29" s="317"/>
      <c r="E29" s="309" t="s">
        <v>38</v>
      </c>
      <c r="F29" s="310"/>
      <c r="G29" s="97"/>
      <c r="H29" s="98"/>
    </row>
    <row r="30" spans="2:8" ht="30" customHeight="1" x14ac:dyDescent="0.25">
      <c r="B30" s="94"/>
      <c r="C30" s="316" t="s">
        <v>39</v>
      </c>
      <c r="D30" s="317"/>
      <c r="E30" s="309" t="s">
        <v>40</v>
      </c>
      <c r="F30" s="310"/>
      <c r="G30" s="97"/>
      <c r="H30" s="98"/>
    </row>
    <row r="31" spans="2:8" ht="35.25" customHeight="1" x14ac:dyDescent="0.25">
      <c r="B31" s="94"/>
      <c r="C31" s="316" t="s">
        <v>41</v>
      </c>
      <c r="D31" s="317"/>
      <c r="E31" s="309" t="s">
        <v>42</v>
      </c>
      <c r="F31" s="310"/>
      <c r="G31" s="97"/>
      <c r="H31" s="98"/>
    </row>
    <row r="32" spans="2:8" ht="31.5" customHeight="1" x14ac:dyDescent="0.25">
      <c r="B32" s="94"/>
      <c r="C32" s="316" t="s">
        <v>43</v>
      </c>
      <c r="D32" s="317"/>
      <c r="E32" s="309" t="s">
        <v>44</v>
      </c>
      <c r="F32" s="310"/>
      <c r="G32" s="97"/>
      <c r="H32" s="98"/>
    </row>
    <row r="33" spans="2:8" ht="35.25" customHeight="1" x14ac:dyDescent="0.25">
      <c r="B33" s="94"/>
      <c r="C33" s="316" t="s">
        <v>45</v>
      </c>
      <c r="D33" s="317"/>
      <c r="E33" s="309" t="s">
        <v>46</v>
      </c>
      <c r="F33" s="310"/>
      <c r="G33" s="97"/>
      <c r="H33" s="98"/>
    </row>
    <row r="34" spans="2:8" ht="59.25" customHeight="1" x14ac:dyDescent="0.25">
      <c r="B34" s="94"/>
      <c r="C34" s="316" t="s">
        <v>47</v>
      </c>
      <c r="D34" s="317"/>
      <c r="E34" s="309" t="s">
        <v>48</v>
      </c>
      <c r="F34" s="310"/>
      <c r="G34" s="97"/>
      <c r="H34" s="98"/>
    </row>
    <row r="35" spans="2:8" ht="29.25" customHeight="1" x14ac:dyDescent="0.25">
      <c r="B35" s="94"/>
      <c r="C35" s="316" t="s">
        <v>49</v>
      </c>
      <c r="D35" s="317"/>
      <c r="E35" s="309" t="s">
        <v>50</v>
      </c>
      <c r="F35" s="310"/>
      <c r="G35" s="97"/>
      <c r="H35" s="98"/>
    </row>
    <row r="36" spans="2:8" ht="82.5" customHeight="1" x14ac:dyDescent="0.25">
      <c r="B36" s="94"/>
      <c r="C36" s="316" t="s">
        <v>51</v>
      </c>
      <c r="D36" s="317"/>
      <c r="E36" s="309" t="s">
        <v>52</v>
      </c>
      <c r="F36" s="310"/>
      <c r="G36" s="97"/>
      <c r="H36" s="98"/>
    </row>
    <row r="37" spans="2:8" ht="46.5" customHeight="1" x14ac:dyDescent="0.25">
      <c r="B37" s="94"/>
      <c r="C37" s="316" t="s">
        <v>53</v>
      </c>
      <c r="D37" s="317"/>
      <c r="E37" s="309" t="s">
        <v>54</v>
      </c>
      <c r="F37" s="310"/>
      <c r="G37" s="97"/>
      <c r="H37" s="98"/>
    </row>
    <row r="38" spans="2:8" ht="6.75" customHeight="1" thickBot="1" x14ac:dyDescent="0.3">
      <c r="B38" s="94"/>
      <c r="C38" s="318"/>
      <c r="D38" s="319"/>
      <c r="E38" s="320"/>
      <c r="F38" s="321"/>
      <c r="G38" s="97"/>
      <c r="H38" s="98"/>
    </row>
    <row r="39" spans="2:8" ht="15.75" thickTop="1" x14ac:dyDescent="0.25">
      <c r="B39" s="94"/>
      <c r="C39" s="95"/>
      <c r="D39" s="95"/>
      <c r="E39" s="96"/>
      <c r="F39" s="96"/>
      <c r="G39" s="97"/>
      <c r="H39" s="98"/>
    </row>
    <row r="40" spans="2:8" ht="21" customHeight="1" x14ac:dyDescent="0.25">
      <c r="B40" s="313" t="s">
        <v>55</v>
      </c>
      <c r="C40" s="314"/>
      <c r="D40" s="314"/>
      <c r="E40" s="314"/>
      <c r="F40" s="314"/>
      <c r="G40" s="314"/>
      <c r="H40" s="315"/>
    </row>
    <row r="41" spans="2:8" ht="20.25" customHeight="1" x14ac:dyDescent="0.25">
      <c r="B41" s="313" t="s">
        <v>56</v>
      </c>
      <c r="C41" s="314"/>
      <c r="D41" s="314"/>
      <c r="E41" s="314"/>
      <c r="F41" s="314"/>
      <c r="G41" s="314"/>
      <c r="H41" s="315"/>
    </row>
    <row r="42" spans="2:8" ht="20.25" customHeight="1" x14ac:dyDescent="0.25">
      <c r="B42" s="313" t="s">
        <v>57</v>
      </c>
      <c r="C42" s="314"/>
      <c r="D42" s="314"/>
      <c r="E42" s="314"/>
      <c r="F42" s="314"/>
      <c r="G42" s="314"/>
      <c r="H42" s="315"/>
    </row>
    <row r="43" spans="2:8" ht="20.25" customHeight="1" x14ac:dyDescent="0.25">
      <c r="B43" s="313" t="s">
        <v>58</v>
      </c>
      <c r="C43" s="314"/>
      <c r="D43" s="314"/>
      <c r="E43" s="314"/>
      <c r="F43" s="314"/>
      <c r="G43" s="314"/>
      <c r="H43" s="315"/>
    </row>
    <row r="44" spans="2:8" x14ac:dyDescent="0.25">
      <c r="B44" s="313" t="s">
        <v>59</v>
      </c>
      <c r="C44" s="314"/>
      <c r="D44" s="314"/>
      <c r="E44" s="314"/>
      <c r="F44" s="314"/>
      <c r="G44" s="314"/>
      <c r="H44" s="315"/>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253"/>
  <sheetViews>
    <sheetView tabSelected="1" view="pageBreakPreview" topLeftCell="A76" zoomScale="55" zoomScaleNormal="40" zoomScaleSheetLayoutView="55" zoomScalePageLayoutView="10" workbookViewId="0">
      <selection activeCell="A78" sqref="A78:A79"/>
    </sheetView>
  </sheetViews>
  <sheetFormatPr baseColWidth="10" defaultColWidth="11.42578125" defaultRowHeight="69" customHeight="1" x14ac:dyDescent="0.35"/>
  <cols>
    <col min="1" max="1" width="8.42578125" style="184" customWidth="1"/>
    <col min="2" max="2" width="22.28515625" style="181" customWidth="1"/>
    <col min="3" max="3" width="27.85546875" style="200" customWidth="1"/>
    <col min="4" max="4" width="40.140625" style="200" customWidth="1"/>
    <col min="5" max="5" width="28.28515625" style="184" customWidth="1"/>
    <col min="6" max="6" width="40.5703125" style="184" customWidth="1"/>
    <col min="7" max="7" width="50.42578125" style="184" customWidth="1"/>
    <col min="8" max="8" width="71.42578125" style="179" customWidth="1"/>
    <col min="9" max="12" width="18.42578125" style="179" customWidth="1"/>
    <col min="13" max="13" width="30.5703125" style="201" customWidth="1"/>
    <col min="14" max="14" width="32.85546875" style="201" customWidth="1"/>
    <col min="15" max="15" width="24.5703125" style="179" customWidth="1"/>
    <col min="16" max="16" width="27.85546875" style="179" customWidth="1"/>
    <col min="17" max="17" width="11.5703125" style="179" customWidth="1"/>
    <col min="18" max="19" width="34.5703125" style="179" customWidth="1"/>
    <col min="20" max="20" width="27.85546875" style="179" customWidth="1"/>
    <col min="21" max="21" width="10" style="179" customWidth="1"/>
    <col min="22" max="22" width="27.85546875" style="179" customWidth="1"/>
    <col min="23" max="23" width="11.85546875" style="203" customWidth="1"/>
    <col min="24" max="24" width="178" style="214" customWidth="1"/>
    <col min="25" max="25" width="21.85546875" style="179" customWidth="1"/>
    <col min="26" max="31" width="8.42578125" style="179" customWidth="1"/>
    <col min="32" max="32" width="24.7109375" style="179" customWidth="1"/>
    <col min="33" max="38" width="16.7109375" style="179" customWidth="1"/>
    <col min="39" max="39" width="56.140625" style="179" customWidth="1"/>
    <col min="40" max="40" width="31.7109375" style="179" customWidth="1"/>
    <col min="41" max="41" width="36.85546875" style="179" customWidth="1"/>
    <col min="42" max="42" width="31.42578125" style="179" customWidth="1"/>
    <col min="43" max="44" width="35.140625" style="179" customWidth="1"/>
    <col min="45" max="16384" width="11.42578125" style="179"/>
  </cols>
  <sheetData>
    <row r="1" spans="1:76" ht="67.5" customHeight="1" thickBot="1" x14ac:dyDescent="0.4">
      <c r="A1" s="410" t="s">
        <v>60</v>
      </c>
      <c r="B1" s="411"/>
      <c r="C1" s="411"/>
      <c r="D1" s="411"/>
      <c r="E1" s="411"/>
      <c r="F1" s="411"/>
      <c r="G1" s="411"/>
      <c r="H1" s="405" t="s">
        <v>61</v>
      </c>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5"/>
      <c r="AN1" s="405"/>
      <c r="AO1" s="405"/>
      <c r="AP1" s="399" t="s">
        <v>62</v>
      </c>
      <c r="AQ1" s="399"/>
      <c r="AR1" s="400"/>
    </row>
    <row r="2" spans="1:76" ht="27" thickTop="1" thickBot="1" x14ac:dyDescent="0.4">
      <c r="A2" s="407"/>
      <c r="B2" s="363"/>
      <c r="C2" s="363"/>
      <c r="D2" s="363"/>
      <c r="E2" s="363"/>
      <c r="F2" s="363"/>
      <c r="G2" s="363"/>
      <c r="H2" s="351" t="s">
        <v>63</v>
      </c>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c r="AM2" s="351"/>
      <c r="AN2" s="351"/>
      <c r="AO2" s="351"/>
      <c r="AP2" s="401"/>
      <c r="AQ2" s="401"/>
      <c r="AR2" s="402"/>
    </row>
    <row r="3" spans="1:76" ht="27" thickTop="1" thickBot="1" x14ac:dyDescent="0.4">
      <c r="A3" s="407"/>
      <c r="B3" s="363"/>
      <c r="C3" s="363"/>
      <c r="D3" s="363"/>
      <c r="E3" s="363"/>
      <c r="F3" s="363"/>
      <c r="G3" s="363"/>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401" t="s">
        <v>64</v>
      </c>
      <c r="AQ3" s="401"/>
      <c r="AR3" s="402"/>
    </row>
    <row r="4" spans="1:76" ht="27" thickTop="1" thickBot="1" x14ac:dyDescent="0.4">
      <c r="A4" s="407"/>
      <c r="B4" s="363"/>
      <c r="C4" s="363"/>
      <c r="D4" s="363"/>
      <c r="E4" s="363"/>
      <c r="F4" s="363"/>
      <c r="G4" s="363"/>
      <c r="H4" s="351" t="s">
        <v>65</v>
      </c>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401" t="s">
        <v>66</v>
      </c>
      <c r="AQ4" s="401"/>
      <c r="AR4" s="402"/>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row>
    <row r="5" spans="1:76" ht="72.75" customHeight="1" thickTop="1" thickBot="1" x14ac:dyDescent="0.4">
      <c r="A5" s="408"/>
      <c r="B5" s="409"/>
      <c r="C5" s="409"/>
      <c r="D5" s="409"/>
      <c r="E5" s="409"/>
      <c r="F5" s="409"/>
      <c r="G5" s="409"/>
      <c r="H5" s="406" t="s">
        <v>67</v>
      </c>
      <c r="I5" s="406"/>
      <c r="J5" s="406"/>
      <c r="K5" s="406"/>
      <c r="L5" s="406"/>
      <c r="M5" s="406"/>
      <c r="N5" s="406"/>
      <c r="O5" s="406"/>
      <c r="P5" s="406"/>
      <c r="Q5" s="406"/>
      <c r="R5" s="406"/>
      <c r="S5" s="406"/>
      <c r="T5" s="406"/>
      <c r="U5" s="406"/>
      <c r="V5" s="406"/>
      <c r="W5" s="406"/>
      <c r="X5" s="406"/>
      <c r="Y5" s="406"/>
      <c r="Z5" s="406"/>
      <c r="AA5" s="406"/>
      <c r="AB5" s="406"/>
      <c r="AC5" s="406"/>
      <c r="AD5" s="406"/>
      <c r="AE5" s="406"/>
      <c r="AF5" s="406"/>
      <c r="AG5" s="406"/>
      <c r="AH5" s="406"/>
      <c r="AI5" s="406"/>
      <c r="AJ5" s="406"/>
      <c r="AK5" s="406"/>
      <c r="AL5" s="406"/>
      <c r="AM5" s="406"/>
      <c r="AN5" s="406"/>
      <c r="AO5" s="406"/>
      <c r="AP5" s="403" t="s">
        <v>68</v>
      </c>
      <c r="AQ5" s="403"/>
      <c r="AR5" s="404"/>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row>
    <row r="6" spans="1:76" ht="26.25" thickBot="1" x14ac:dyDescent="0.4">
      <c r="A6" s="181"/>
      <c r="C6" s="182"/>
      <c r="D6" s="182"/>
      <c r="E6" s="236"/>
      <c r="F6" s="181"/>
      <c r="G6" s="181"/>
      <c r="H6" s="180"/>
      <c r="I6" s="180"/>
      <c r="J6" s="180"/>
      <c r="K6" s="180"/>
      <c r="L6" s="180"/>
      <c r="M6" s="183"/>
      <c r="N6" s="183"/>
      <c r="O6" s="180"/>
      <c r="P6" s="180"/>
      <c r="Q6" s="180"/>
      <c r="R6" s="180"/>
      <c r="S6" s="180"/>
      <c r="T6" s="180"/>
      <c r="U6" s="180"/>
      <c r="V6" s="180"/>
      <c r="W6" s="202"/>
      <c r="X6" s="164"/>
      <c r="Y6" s="180"/>
      <c r="Z6" s="180"/>
      <c r="AA6" s="180"/>
      <c r="AB6" s="180"/>
      <c r="AC6" s="180"/>
      <c r="AD6" s="180"/>
      <c r="AE6" s="180"/>
      <c r="AF6" s="180"/>
      <c r="AG6" s="180"/>
      <c r="AH6" s="180"/>
      <c r="AI6" s="180"/>
      <c r="AJ6" s="180"/>
      <c r="AK6" s="180"/>
      <c r="AL6" s="180"/>
      <c r="AM6" s="180"/>
      <c r="AN6" s="180"/>
      <c r="AO6" s="441"/>
      <c r="AP6" s="441"/>
      <c r="AQ6" s="441"/>
      <c r="AR6" s="441"/>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row>
    <row r="7" spans="1:76" ht="108" customHeight="1" thickBot="1" x14ac:dyDescent="0.4">
      <c r="A7" s="420" t="s">
        <v>69</v>
      </c>
      <c r="B7" s="421"/>
      <c r="C7" s="421"/>
      <c r="D7" s="421"/>
      <c r="E7" s="421"/>
      <c r="F7" s="426" t="s">
        <v>1215</v>
      </c>
      <c r="G7" s="427"/>
      <c r="H7" s="427"/>
      <c r="I7" s="427"/>
      <c r="J7" s="427"/>
      <c r="K7" s="427"/>
      <c r="L7" s="427"/>
      <c r="M7" s="427"/>
      <c r="N7" s="427"/>
      <c r="O7" s="427"/>
      <c r="P7" s="427"/>
      <c r="Q7" s="427"/>
      <c r="R7" s="427"/>
      <c r="S7" s="427"/>
      <c r="T7" s="427"/>
      <c r="U7" s="427"/>
      <c r="V7" s="428"/>
      <c r="W7" s="434"/>
      <c r="X7" s="434"/>
      <c r="Y7" s="434"/>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row>
    <row r="8" spans="1:76" ht="57.75" customHeight="1" thickTop="1" thickBot="1" x14ac:dyDescent="0.4">
      <c r="A8" s="422" t="s">
        <v>70</v>
      </c>
      <c r="B8" s="423"/>
      <c r="C8" s="423"/>
      <c r="D8" s="423"/>
      <c r="E8" s="423"/>
      <c r="F8" s="429" t="s">
        <v>980</v>
      </c>
      <c r="G8" s="429"/>
      <c r="H8" s="429"/>
      <c r="I8" s="429"/>
      <c r="J8" s="429"/>
      <c r="K8" s="429"/>
      <c r="L8" s="429"/>
      <c r="M8" s="429"/>
      <c r="N8" s="429"/>
      <c r="O8" s="429"/>
      <c r="P8" s="429"/>
      <c r="Q8" s="429"/>
      <c r="R8" s="429"/>
      <c r="S8" s="429"/>
      <c r="T8" s="429"/>
      <c r="U8" s="429"/>
      <c r="V8" s="430"/>
      <c r="W8" s="202"/>
      <c r="X8" s="164"/>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0"/>
      <c r="BW8" s="180"/>
      <c r="BX8" s="180"/>
    </row>
    <row r="9" spans="1:76" ht="75.75" customHeight="1" thickTop="1" thickBot="1" x14ac:dyDescent="0.4">
      <c r="A9" s="424" t="s">
        <v>71</v>
      </c>
      <c r="B9" s="425"/>
      <c r="C9" s="425"/>
      <c r="D9" s="425"/>
      <c r="E9" s="425"/>
      <c r="F9" s="393" t="s">
        <v>941</v>
      </c>
      <c r="G9" s="393"/>
      <c r="H9" s="393"/>
      <c r="I9" s="393"/>
      <c r="J9" s="393"/>
      <c r="K9" s="393"/>
      <c r="L9" s="393"/>
      <c r="M9" s="393"/>
      <c r="N9" s="393"/>
      <c r="O9" s="393"/>
      <c r="P9" s="393"/>
      <c r="Q9" s="393"/>
      <c r="R9" s="393"/>
      <c r="S9" s="393"/>
      <c r="T9" s="393"/>
      <c r="U9" s="393"/>
      <c r="V9" s="394"/>
      <c r="W9" s="202"/>
      <c r="X9" s="164"/>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c r="BB9" s="180"/>
      <c r="BC9" s="180"/>
      <c r="BD9" s="180"/>
      <c r="BE9" s="180"/>
      <c r="BF9" s="180"/>
      <c r="BG9" s="180"/>
      <c r="BH9" s="180"/>
      <c r="BI9" s="180"/>
      <c r="BJ9" s="180"/>
      <c r="BK9" s="180"/>
      <c r="BL9" s="180"/>
      <c r="BM9" s="180"/>
      <c r="BN9" s="180"/>
      <c r="BO9" s="180"/>
      <c r="BP9" s="180"/>
      <c r="BQ9" s="180"/>
      <c r="BR9" s="180"/>
      <c r="BS9" s="180"/>
      <c r="BT9" s="180"/>
      <c r="BU9" s="180"/>
      <c r="BV9" s="180"/>
      <c r="BW9" s="180"/>
      <c r="BX9" s="180"/>
    </row>
    <row r="10" spans="1:76" s="176" customFormat="1" ht="57.75" customHeight="1" thickBot="1" x14ac:dyDescent="0.45">
      <c r="A10" s="416" t="s">
        <v>72</v>
      </c>
      <c r="B10" s="417"/>
      <c r="C10" s="417"/>
      <c r="D10" s="417"/>
      <c r="E10" s="417"/>
      <c r="F10" s="417"/>
      <c r="G10" s="417"/>
      <c r="H10" s="417"/>
      <c r="I10" s="417"/>
      <c r="J10" s="417"/>
      <c r="K10" s="417"/>
      <c r="L10" s="417"/>
      <c r="M10" s="417"/>
      <c r="N10" s="417"/>
      <c r="O10" s="417"/>
      <c r="P10" s="418" t="s">
        <v>73</v>
      </c>
      <c r="Q10" s="418"/>
      <c r="R10" s="418"/>
      <c r="S10" s="418"/>
      <c r="T10" s="418"/>
      <c r="U10" s="418"/>
      <c r="V10" s="418"/>
      <c r="W10" s="419" t="s">
        <v>74</v>
      </c>
      <c r="X10" s="419"/>
      <c r="Y10" s="419"/>
      <c r="Z10" s="419"/>
      <c r="AA10" s="419"/>
      <c r="AB10" s="419"/>
      <c r="AC10" s="419"/>
      <c r="AD10" s="419"/>
      <c r="AE10" s="419"/>
      <c r="AF10" s="437" t="s">
        <v>75</v>
      </c>
      <c r="AG10" s="437"/>
      <c r="AH10" s="437"/>
      <c r="AI10" s="437"/>
      <c r="AJ10" s="437"/>
      <c r="AK10" s="437"/>
      <c r="AL10" s="437"/>
      <c r="AM10" s="439" t="s">
        <v>76</v>
      </c>
      <c r="AN10" s="439"/>
      <c r="AO10" s="439"/>
      <c r="AP10" s="439"/>
      <c r="AQ10" s="439"/>
      <c r="AR10" s="440"/>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row>
    <row r="11" spans="1:76" s="176" customFormat="1" ht="70.5" customHeight="1" thickTop="1" thickBot="1" x14ac:dyDescent="0.45">
      <c r="A11" s="431" t="s">
        <v>77</v>
      </c>
      <c r="B11" s="397" t="s">
        <v>78</v>
      </c>
      <c r="C11" s="397" t="s">
        <v>7</v>
      </c>
      <c r="D11" s="397" t="s">
        <v>966</v>
      </c>
      <c r="E11" s="398" t="s">
        <v>15</v>
      </c>
      <c r="F11" s="397" t="s">
        <v>17</v>
      </c>
      <c r="G11" s="397" t="s">
        <v>19</v>
      </c>
      <c r="H11" s="398" t="s">
        <v>21</v>
      </c>
      <c r="I11" s="432" t="s">
        <v>79</v>
      </c>
      <c r="J11" s="433"/>
      <c r="K11" s="433"/>
      <c r="L11" s="433"/>
      <c r="M11" s="397" t="s">
        <v>23</v>
      </c>
      <c r="N11" s="397" t="s">
        <v>80</v>
      </c>
      <c r="O11" s="397" t="s">
        <v>81</v>
      </c>
      <c r="P11" s="396" t="s">
        <v>82</v>
      </c>
      <c r="Q11" s="395" t="s">
        <v>83</v>
      </c>
      <c r="R11" s="396" t="s">
        <v>84</v>
      </c>
      <c r="S11" s="396" t="s">
        <v>85</v>
      </c>
      <c r="T11" s="396" t="s">
        <v>86</v>
      </c>
      <c r="U11" s="395" t="s">
        <v>83</v>
      </c>
      <c r="V11" s="396" t="s">
        <v>29</v>
      </c>
      <c r="W11" s="443" t="s">
        <v>87</v>
      </c>
      <c r="X11" s="436" t="s">
        <v>985</v>
      </c>
      <c r="Y11" s="436" t="s">
        <v>33</v>
      </c>
      <c r="Z11" s="436" t="s">
        <v>88</v>
      </c>
      <c r="AA11" s="436"/>
      <c r="AB11" s="436"/>
      <c r="AC11" s="436"/>
      <c r="AD11" s="436"/>
      <c r="AE11" s="436"/>
      <c r="AF11" s="435" t="s">
        <v>89</v>
      </c>
      <c r="AG11" s="435" t="s">
        <v>90</v>
      </c>
      <c r="AH11" s="435" t="s">
        <v>83</v>
      </c>
      <c r="AI11" s="435" t="s">
        <v>91</v>
      </c>
      <c r="AJ11" s="435" t="s">
        <v>83</v>
      </c>
      <c r="AK11" s="435" t="s">
        <v>92</v>
      </c>
      <c r="AL11" s="435" t="s">
        <v>49</v>
      </c>
      <c r="AM11" s="438" t="s">
        <v>986</v>
      </c>
      <c r="AN11" s="438" t="s">
        <v>93</v>
      </c>
      <c r="AO11" s="438" t="s">
        <v>94</v>
      </c>
      <c r="AP11" s="438" t="s">
        <v>95</v>
      </c>
      <c r="AQ11" s="438" t="s">
        <v>1099</v>
      </c>
      <c r="AR11" s="442" t="s">
        <v>53</v>
      </c>
      <c r="AS11" s="175"/>
      <c r="AT11" s="175"/>
      <c r="AU11" s="175"/>
      <c r="AV11" s="175"/>
      <c r="AW11" s="175"/>
      <c r="AX11" s="175"/>
      <c r="AY11" s="175"/>
      <c r="AZ11" s="175"/>
      <c r="BA11" s="175"/>
      <c r="BB11" s="175"/>
      <c r="BC11" s="175"/>
      <c r="BD11" s="175"/>
      <c r="BE11" s="175"/>
      <c r="BF11" s="175"/>
      <c r="BG11" s="175"/>
      <c r="BH11" s="175"/>
      <c r="BI11" s="175"/>
      <c r="BJ11" s="175"/>
      <c r="BK11" s="175"/>
      <c r="BL11" s="175"/>
      <c r="BM11" s="175"/>
      <c r="BN11" s="175"/>
      <c r="BO11" s="175"/>
      <c r="BP11" s="175"/>
      <c r="BQ11" s="175"/>
      <c r="BR11" s="175"/>
      <c r="BS11" s="175"/>
      <c r="BT11" s="175"/>
      <c r="BU11" s="175"/>
      <c r="BV11" s="175"/>
      <c r="BW11" s="175"/>
      <c r="BX11" s="175"/>
    </row>
    <row r="12" spans="1:76" s="178" customFormat="1" ht="207.75" customHeight="1" thickTop="1" thickBot="1" x14ac:dyDescent="0.3">
      <c r="A12" s="431"/>
      <c r="B12" s="397"/>
      <c r="C12" s="397"/>
      <c r="D12" s="397"/>
      <c r="E12" s="398"/>
      <c r="F12" s="397"/>
      <c r="G12" s="397"/>
      <c r="H12" s="398"/>
      <c r="I12" s="204" t="s">
        <v>96</v>
      </c>
      <c r="J12" s="204" t="s">
        <v>97</v>
      </c>
      <c r="K12" s="205" t="s">
        <v>98</v>
      </c>
      <c r="L12" s="204" t="s">
        <v>99</v>
      </c>
      <c r="M12" s="397"/>
      <c r="N12" s="397"/>
      <c r="O12" s="397"/>
      <c r="P12" s="396"/>
      <c r="Q12" s="395"/>
      <c r="R12" s="396"/>
      <c r="S12" s="396"/>
      <c r="T12" s="395"/>
      <c r="U12" s="395"/>
      <c r="V12" s="396"/>
      <c r="W12" s="443"/>
      <c r="X12" s="436"/>
      <c r="Y12" s="436"/>
      <c r="Z12" s="206" t="s">
        <v>100</v>
      </c>
      <c r="AA12" s="206" t="s">
        <v>101</v>
      </c>
      <c r="AB12" s="206" t="s">
        <v>102</v>
      </c>
      <c r="AC12" s="206" t="s">
        <v>103</v>
      </c>
      <c r="AD12" s="206" t="s">
        <v>104</v>
      </c>
      <c r="AE12" s="206" t="s">
        <v>105</v>
      </c>
      <c r="AF12" s="435"/>
      <c r="AG12" s="435"/>
      <c r="AH12" s="435"/>
      <c r="AI12" s="435"/>
      <c r="AJ12" s="435"/>
      <c r="AK12" s="435"/>
      <c r="AL12" s="435"/>
      <c r="AM12" s="438"/>
      <c r="AN12" s="438"/>
      <c r="AO12" s="438"/>
      <c r="AP12" s="438"/>
      <c r="AQ12" s="438"/>
      <c r="AR12" s="442"/>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row>
    <row r="13" spans="1:76" s="191" customFormat="1" ht="174" customHeight="1" thickTop="1" thickBot="1" x14ac:dyDescent="0.3">
      <c r="A13" s="352">
        <v>1</v>
      </c>
      <c r="B13" s="369" t="s">
        <v>471</v>
      </c>
      <c r="C13" s="357" t="s">
        <v>265</v>
      </c>
      <c r="D13" s="357" t="s">
        <v>977</v>
      </c>
      <c r="E13" s="357" t="s">
        <v>240</v>
      </c>
      <c r="F13" s="375" t="s">
        <v>472</v>
      </c>
      <c r="G13" s="375" t="s">
        <v>473</v>
      </c>
      <c r="H13" s="374" t="s">
        <v>1104</v>
      </c>
      <c r="I13" s="362" t="s">
        <v>474</v>
      </c>
      <c r="J13" s="362" t="s">
        <v>474</v>
      </c>
      <c r="K13" s="362" t="s">
        <v>474</v>
      </c>
      <c r="L13" s="362" t="s">
        <v>474</v>
      </c>
      <c r="M13" s="357" t="s">
        <v>239</v>
      </c>
      <c r="N13" s="357"/>
      <c r="O13" s="363">
        <v>5000</v>
      </c>
      <c r="P13" s="364" t="str">
        <f>IF(O13&lt;=0,"",IF(O13&lt;=2,"Muy Baja",IF(O13&lt;=24,"Baja",IF(O13&lt;=500,"Media",IF(O13&lt;=5000,"Alta","Muy Alta")))))</f>
        <v>Alta</v>
      </c>
      <c r="Q13" s="365">
        <f>IF(P13="","",IF(P13="Muy Baja",0.2,IF(P13="Baja",0.4,IF(P13="Media",0.6,IF(P13="Alta",0.8,IF(P13="Muy Alta",1,))))))</f>
        <v>0.8</v>
      </c>
      <c r="R13" s="365" t="s">
        <v>187</v>
      </c>
      <c r="S13" s="365"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364"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365">
        <f ca="1">IF(T13="","",IF(T13="Leve",0.2,IF(T13="Menor",0.4,IF(T13="Moderado",0.6,IF(T13="Mayor",0.8,IF(T13="Catastrófico",1,))))))</f>
        <v>0.4</v>
      </c>
      <c r="V13" s="351"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33">
        <v>1</v>
      </c>
      <c r="X13" s="207" t="s">
        <v>987</v>
      </c>
      <c r="Y13" s="230" t="str">
        <f>IF(OR(Z13="Preventivo",Z13="Detectivo"),"Probabilidad",IF(Z13="Correctivo","Impacto",""))</f>
        <v>Probabilidad</v>
      </c>
      <c r="Z13" s="185" t="s">
        <v>208</v>
      </c>
      <c r="AA13" s="185" t="s">
        <v>216</v>
      </c>
      <c r="AB13" s="186" t="str">
        <f>IF(AND(Z13="Preventivo",AA13="Automático"),"50%",IF(AND(Z13="Preventivo",AA13="Manual"),"40%",IF(AND(Z13="Detectivo",AA13="Automático"),"40%",IF(AND(Z13="Detectivo",AA13="Manual"),"30%",IF(AND(Z13="Correctivo",AA13="Automático"),"35%",IF(AND(Z13="Correctivo",AA13="Manual"),"25%",""))))))</f>
        <v>40%</v>
      </c>
      <c r="AC13" s="185" t="s">
        <v>219</v>
      </c>
      <c r="AD13" s="185" t="s">
        <v>224</v>
      </c>
      <c r="AE13" s="185" t="s">
        <v>228</v>
      </c>
      <c r="AF13" s="187">
        <f>IFERROR(IF(Y13="Probabilidad",(Q13-(+Q13*AB13)),IF(Y13="Impacto",Q13,"")),"")</f>
        <v>0.48</v>
      </c>
      <c r="AG13" s="188" t="str">
        <f>IFERROR(IF(AF13="","",IF(AF13&lt;=0.2,"Muy Baja",IF(AF13&lt;=0.4,"Baja",IF(AF13&lt;=0.6,"Media",IF(AF13&lt;=0.8,"Alta","Muy Alta"))))),"")</f>
        <v>Media</v>
      </c>
      <c r="AH13" s="186">
        <f>+AF13</f>
        <v>0.48</v>
      </c>
      <c r="AI13" s="188" t="str">
        <f ca="1">IFERROR(IF(AJ13="","",IF(AJ13&lt;=0.2,"Leve",IF(AJ13&lt;=0.4,"Menor",IF(AJ13&lt;=0.6,"Moderado",IF(AJ13&lt;=0.8,"Mayor","Catastrófico"))))),"")</f>
        <v>Menor</v>
      </c>
      <c r="AJ13" s="186">
        <f ca="1">IFERROR(IF(Y13="Impacto",(U13-(+U13*AB13)),IF(Y13="Probabilidad",U13,"")),"")</f>
        <v>0.4</v>
      </c>
      <c r="AK13" s="189"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185" t="s">
        <v>255</v>
      </c>
      <c r="AM13" s="227"/>
      <c r="AN13" s="230"/>
      <c r="AO13" s="228"/>
      <c r="AP13" s="228"/>
      <c r="AQ13" s="227"/>
      <c r="AR13" s="229"/>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row>
    <row r="14" spans="1:76" s="191" customFormat="1" ht="174" customHeight="1" thickTop="1" thickBot="1" x14ac:dyDescent="0.3">
      <c r="A14" s="352"/>
      <c r="B14" s="369"/>
      <c r="C14" s="357"/>
      <c r="D14" s="357"/>
      <c r="E14" s="357"/>
      <c r="F14" s="375"/>
      <c r="G14" s="375"/>
      <c r="H14" s="374"/>
      <c r="I14" s="362"/>
      <c r="J14" s="362"/>
      <c r="K14" s="362"/>
      <c r="L14" s="362"/>
      <c r="M14" s="357"/>
      <c r="N14" s="357"/>
      <c r="O14" s="363"/>
      <c r="P14" s="364"/>
      <c r="Q14" s="365"/>
      <c r="R14" s="365"/>
      <c r="S14" s="365">
        <f ca="1">IF(NOT(ISERROR(MATCH(R14,_xlfn.ANCHORARRAY(H17),0))),Q19&amp;"Por favor no seleccionar los criterios de impacto",R14)</f>
        <v>0</v>
      </c>
      <c r="T14" s="364"/>
      <c r="U14" s="365"/>
      <c r="V14" s="351"/>
      <c r="W14" s="233">
        <v>2</v>
      </c>
      <c r="X14" s="208" t="s">
        <v>475</v>
      </c>
      <c r="Y14" s="230" t="str">
        <f t="shared" ref="Y14:Y15" si="0">IF(OR(Z14="Preventivo",Z14="Detectivo"),"Probabilidad",IF(Z14="Correctivo","Impacto",""))</f>
        <v>Probabilidad</v>
      </c>
      <c r="Z14" s="185" t="s">
        <v>208</v>
      </c>
      <c r="AA14" s="185" t="s">
        <v>216</v>
      </c>
      <c r="AB14" s="186" t="str">
        <f t="shared" ref="AB14:AB41" si="1">IF(AND(Z14="Preventivo",AA14="Automático"),"50%",IF(AND(Z14="Preventivo",AA14="Manual"),"40%",IF(AND(Z14="Detectivo",AA14="Automático"),"40%",IF(AND(Z14="Detectivo",AA14="Manual"),"30%",IF(AND(Z14="Correctivo",AA14="Automático"),"35%",IF(AND(Z14="Correctivo",AA14="Manual"),"25%",""))))))</f>
        <v>40%</v>
      </c>
      <c r="AC14" s="185" t="s">
        <v>219</v>
      </c>
      <c r="AD14" s="185" t="s">
        <v>224</v>
      </c>
      <c r="AE14" s="185" t="s">
        <v>228</v>
      </c>
      <c r="AF14" s="187">
        <f>IFERROR(IF(AND(Y13="Probabilidad",Y14="Probabilidad"),(AH13-(+AH13*AB14)),IF(Y14="Probabilidad",(Q13-(+Q13*AB14)),IF(Y14="Impacto",AH13,""))),"")</f>
        <v>0.28799999999999998</v>
      </c>
      <c r="AG14" s="188" t="str">
        <f t="shared" ref="AG14:AG15" si="2">IFERROR(IF(AF14="","",IF(AF14&lt;=0.2,"Muy Baja",IF(AF14&lt;=0.4,"Baja",IF(AF14&lt;=0.6,"Media",IF(AF14&lt;=0.8,"Alta","Muy Alta"))))),"")</f>
        <v>Baja</v>
      </c>
      <c r="AH14" s="186">
        <f t="shared" ref="AH14:AH15" si="3">+AF14</f>
        <v>0.28799999999999998</v>
      </c>
      <c r="AI14" s="188" t="str">
        <f t="shared" ref="AI14:AI15" ca="1" si="4">IFERROR(IF(AJ14="","",IF(AJ14&lt;=0.2,"Leve",IF(AJ14&lt;=0.4,"Menor",IF(AJ14&lt;=0.6,"Moderado",IF(AJ14&lt;=0.8,"Mayor","Catastrófico"))))),"")</f>
        <v>Menor</v>
      </c>
      <c r="AJ14" s="186">
        <f ca="1">IFERROR(IF(AND(Y13="Impacto",Y14="Impacto"),(AJ13-(+AJ13*AB14)),IF(Y14="Impacto",(U13-(+U13*AB14)),IF(Y14="Probabilidad",AJ13,""))),"")</f>
        <v>0.4</v>
      </c>
      <c r="AK14" s="189" t="str">
        <f t="shared" ref="AK14:AK15"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185" t="s">
        <v>255</v>
      </c>
      <c r="AM14" s="227"/>
      <c r="AN14" s="230"/>
      <c r="AO14" s="228"/>
      <c r="AP14" s="228"/>
      <c r="AQ14" s="227"/>
      <c r="AR14" s="229"/>
      <c r="AS14" s="190"/>
      <c r="AT14" s="190"/>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0"/>
      <c r="BS14" s="190"/>
      <c r="BT14" s="190"/>
      <c r="BU14" s="190"/>
      <c r="BV14" s="190"/>
      <c r="BW14" s="190"/>
      <c r="BX14" s="190"/>
    </row>
    <row r="15" spans="1:76" s="191" customFormat="1" ht="126.75" customHeight="1" thickTop="1" thickBot="1" x14ac:dyDescent="0.3">
      <c r="A15" s="352">
        <v>2</v>
      </c>
      <c r="B15" s="369" t="s">
        <v>476</v>
      </c>
      <c r="C15" s="357" t="s">
        <v>265</v>
      </c>
      <c r="D15" s="357" t="s">
        <v>978</v>
      </c>
      <c r="E15" s="357" t="s">
        <v>240</v>
      </c>
      <c r="F15" s="375" t="s">
        <v>477</v>
      </c>
      <c r="G15" s="375" t="s">
        <v>478</v>
      </c>
      <c r="H15" s="374" t="s">
        <v>1105</v>
      </c>
      <c r="I15" s="362" t="s">
        <v>474</v>
      </c>
      <c r="J15" s="362" t="s">
        <v>474</v>
      </c>
      <c r="K15" s="362" t="s">
        <v>474</v>
      </c>
      <c r="L15" s="362" t="s">
        <v>474</v>
      </c>
      <c r="M15" s="357" t="s">
        <v>239</v>
      </c>
      <c r="N15" s="357"/>
      <c r="O15" s="363">
        <v>500</v>
      </c>
      <c r="P15" s="364" t="str">
        <f>IF(O15&lt;=0,"",IF(O15&lt;=2,"Muy Baja",IF(O15&lt;=24,"Baja",IF(O15&lt;=500,"Media",IF(O15&lt;=5000,"Alta","Muy Alta")))))</f>
        <v>Media</v>
      </c>
      <c r="Q15" s="365">
        <f>IF(P15="","",IF(P15="Muy Baja",0.2,IF(P15="Baja",0.4,IF(P15="Media",0.6,IF(P15="Alta",0.8,IF(P15="Muy Alta",1,))))))</f>
        <v>0.6</v>
      </c>
      <c r="R15" s="365" t="s">
        <v>190</v>
      </c>
      <c r="S15" s="365" t="str">
        <f ca="1">IF(NOT(ISERROR(MATCH(R15,'Tabla Impacto'!$B$221:$B$223,0))),'Tabla Impacto'!$F$223&amp;"Por favor no seleccionar los criterios de impacto(Afectación Económica o presupuestal y Pérdida Reputacional)",R15)</f>
        <v>El riesgo afecta la imagen de la entidad con algunos usuarios de relevancia frente al logro de los objetivos</v>
      </c>
      <c r="T15" s="364" t="str">
        <f ca="1">+IF(OR(S15='[1]Tabla Impacto'!$C$11,S15='[1]Tabla Impacto'!$D$11),"Leve",IF(OR(S15='[1]Tabla Impacto'!$C$12,S15='[1]Tabla Impacto'!$D$12),"Menor",IF(OR(S15='[1]Tabla Impacto'!$C$13,S15='[1]Tabla Impacto'!$D$13),"Moderado",IF(OR(S15='[1]Tabla Impacto'!$C$14,S15='[1]Tabla Impacto'!$D$14),"Mayor",IF(OR(S15='[1]Tabla Impacto'!$C$15,S15='[1]Tabla Impacto'!$D$15),"Catastrófico","")))))</f>
        <v>Moderado</v>
      </c>
      <c r="U15" s="365">
        <f t="shared" ref="U15" ca="1" si="6">IF(T15="","",IF(T15="Leve",0.2,IF(T15="Menor",0.4,IF(T15="Moderado",0.6,IF(T15="Mayor",0.8,IF(T15="Catastrófico",1,))))))</f>
        <v>0.6</v>
      </c>
      <c r="V15" s="351" t="str">
        <f t="shared" ref="V15" ca="1" si="7">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33">
        <v>1</v>
      </c>
      <c r="X15" s="207" t="s">
        <v>479</v>
      </c>
      <c r="Y15" s="230" t="str">
        <f t="shared" si="0"/>
        <v>Probabilidad</v>
      </c>
      <c r="Z15" s="185" t="s">
        <v>208</v>
      </c>
      <c r="AA15" s="185" t="s">
        <v>216</v>
      </c>
      <c r="AB15" s="186" t="str">
        <f t="shared" si="1"/>
        <v>40%</v>
      </c>
      <c r="AC15" s="185" t="s">
        <v>219</v>
      </c>
      <c r="AD15" s="185" t="s">
        <v>224</v>
      </c>
      <c r="AE15" s="185" t="s">
        <v>228</v>
      </c>
      <c r="AF15" s="187">
        <f>IFERROR(IF(Y15="Probabilidad",(Q15-(+Q15*AB15)),IF(Y15="Impacto",Q15,"")),"")</f>
        <v>0.36</v>
      </c>
      <c r="AG15" s="188" t="str">
        <f t="shared" si="2"/>
        <v>Baja</v>
      </c>
      <c r="AH15" s="186">
        <f t="shared" si="3"/>
        <v>0.36</v>
      </c>
      <c r="AI15" s="188" t="str">
        <f t="shared" ca="1" si="4"/>
        <v>Moderado</v>
      </c>
      <c r="AJ15" s="186">
        <f t="shared" ref="AJ15" ca="1" si="8">IFERROR(IF(Y15="Impacto",(U15-(+U15*AB15)),IF(Y15="Probabilidad",U15,"")),"")</f>
        <v>0.6</v>
      </c>
      <c r="AK15" s="189" t="str">
        <f t="shared" ca="1" si="5"/>
        <v>Moderado</v>
      </c>
      <c r="AL15" s="185" t="s">
        <v>255</v>
      </c>
      <c r="AM15" s="227"/>
      <c r="AN15" s="230"/>
      <c r="AO15" s="228"/>
      <c r="AP15" s="228"/>
      <c r="AQ15" s="227"/>
      <c r="AR15" s="229"/>
      <c r="AS15" s="190"/>
      <c r="AT15" s="190"/>
      <c r="AU15" s="190"/>
      <c r="AV15" s="190"/>
      <c r="AW15" s="190"/>
      <c r="AX15" s="190"/>
      <c r="AY15" s="190"/>
      <c r="AZ15" s="190"/>
      <c r="BA15" s="190"/>
      <c r="BB15" s="190"/>
      <c r="BC15" s="190"/>
      <c r="BD15" s="190"/>
      <c r="BE15" s="190"/>
      <c r="BF15" s="190"/>
      <c r="BG15" s="190"/>
      <c r="BH15" s="190"/>
      <c r="BI15" s="190"/>
      <c r="BJ15" s="190"/>
      <c r="BK15" s="190"/>
      <c r="BL15" s="190"/>
      <c r="BM15" s="190"/>
      <c r="BN15" s="190"/>
      <c r="BO15" s="190"/>
      <c r="BP15" s="190"/>
      <c r="BQ15" s="190"/>
      <c r="BR15" s="190"/>
      <c r="BS15" s="190"/>
      <c r="BT15" s="190"/>
      <c r="BU15" s="190"/>
      <c r="BV15" s="190"/>
      <c r="BW15" s="190"/>
      <c r="BX15" s="190"/>
    </row>
    <row r="16" spans="1:76" s="191" customFormat="1" ht="144" customHeight="1" thickTop="1" thickBot="1" x14ac:dyDescent="0.3">
      <c r="A16" s="352"/>
      <c r="B16" s="369"/>
      <c r="C16" s="357"/>
      <c r="D16" s="357"/>
      <c r="E16" s="357"/>
      <c r="F16" s="375"/>
      <c r="G16" s="375"/>
      <c r="H16" s="374"/>
      <c r="I16" s="362"/>
      <c r="J16" s="362"/>
      <c r="K16" s="362"/>
      <c r="L16" s="362"/>
      <c r="M16" s="357"/>
      <c r="N16" s="357"/>
      <c r="O16" s="363"/>
      <c r="P16" s="364"/>
      <c r="Q16" s="365"/>
      <c r="R16" s="365"/>
      <c r="S16" s="365">
        <f ca="1">IF(NOT(ISERROR(MATCH(R16,_xlfn.ANCHORARRAY(H20),0))),#REF!&amp;"Por favor no seleccionar los criterios de impacto",R16)</f>
        <v>0</v>
      </c>
      <c r="T16" s="364"/>
      <c r="U16" s="365"/>
      <c r="V16" s="351"/>
      <c r="W16" s="233">
        <v>2</v>
      </c>
      <c r="X16" s="207" t="s">
        <v>480</v>
      </c>
      <c r="Y16" s="230" t="str">
        <f t="shared" ref="Y16:Y22" si="9">IF(OR(Z16="Preventivo",Z16="Detectivo"),"Probabilidad",IF(Z16="Correctivo","Impacto",""))</f>
        <v>Probabilidad</v>
      </c>
      <c r="Z16" s="185" t="s">
        <v>208</v>
      </c>
      <c r="AA16" s="185" t="s">
        <v>216</v>
      </c>
      <c r="AB16" s="186" t="str">
        <f t="shared" si="1"/>
        <v>40%</v>
      </c>
      <c r="AC16" s="185" t="s">
        <v>219</v>
      </c>
      <c r="AD16" s="185" t="s">
        <v>224</v>
      </c>
      <c r="AE16" s="185" t="s">
        <v>228</v>
      </c>
      <c r="AF16" s="187">
        <f>IFERROR(IF(AND(Y15="Probabilidad",Y16="Probabilidad"),(AH15-(+AH15*AB16)),IF(Y16="Probabilidad",(Q15-(+Q15*AB16)),IF(Y16="Impacto",AH15,""))),"")</f>
        <v>0.216</v>
      </c>
      <c r="AG16" s="188" t="str">
        <f t="shared" ref="AG16:AG22" si="10">IFERROR(IF(AF16="","",IF(AF16&lt;=0.2,"Muy Baja",IF(AF16&lt;=0.4,"Baja",IF(AF16&lt;=0.6,"Media",IF(AF16&lt;=0.8,"Alta","Muy Alta"))))),"")</f>
        <v>Baja</v>
      </c>
      <c r="AH16" s="186">
        <f t="shared" ref="AH16:AH22" si="11">+AF16</f>
        <v>0.216</v>
      </c>
      <c r="AI16" s="188" t="str">
        <f t="shared" ref="AI16:AI22" ca="1" si="12">IFERROR(IF(AJ16="","",IF(AJ16&lt;=0.2,"Leve",IF(AJ16&lt;=0.4,"Menor",IF(AJ16&lt;=0.6,"Moderado",IF(AJ16&lt;=0.8,"Mayor","Catastrófico"))))),"")</f>
        <v>Moderado</v>
      </c>
      <c r="AJ16" s="186">
        <f t="shared" ref="AJ16" ca="1" si="13">IFERROR(IF(AND(Y15="Impacto",Y16="Impacto"),(AJ15-(+AJ15*AB16)),IF(Y16="Impacto",(U15-(+U15*AB16)),IF(Y16="Probabilidad",AJ15,""))),"")</f>
        <v>0.6</v>
      </c>
      <c r="AK16" s="189" t="str">
        <f t="shared" ref="AK16:AK22" ca="1" si="14">IFERROR(IF(OR(AND(AG16="Muy Baja",AI16="Leve"),AND(AG16="Muy Baja",AI16="Menor"),AND(AG16="Baja",AI16="Leve")),"Bajo",IF(OR(AND(AG16="Muy baja",AI16="Moderado"),AND(AG16="Baja",AI16="Menor"),AND(AG16="Baja",AI16="Moderado"),AND(AG16="Media",AI16="Leve"),AND(AG16="Media",AI16="Menor"),AND(AG16="Media",AI16="Moderado"),AND(AG16="Alta",AI16="Leve"),AND(AG16="Alta",AI16="Menor")),"Moderado",IF(OR(AND(AG16="Muy Baja",AI16="Mayor"),AND(AG16="Baja",AI16="Mayor"),AND(AG16="Media",AI16="Mayor"),AND(AG16="Alta",AI16="Moderado"),AND(AG16="Alta",AI16="Mayor"),AND(AG16="Muy Alta",AI16="Leve"),AND(AG16="Muy Alta",AI16="Menor"),AND(AG16="Muy Alta",AI16="Moderado"),AND(AG16="Muy Alta",AI16="Mayor")),"Alto",IF(OR(AND(AG16="Muy Baja",AI16="Catastrófico"),AND(AG16="Baja",AI16="Catastrófico"),AND(AG16="Media",AI16="Catastrófico"),AND(AG16="Alta",AI16="Catastrófico"),AND(AG16="Muy Alta",AI16="Catastrófico")),"Extremo","")))),"")</f>
        <v>Moderado</v>
      </c>
      <c r="AL16" s="185" t="s">
        <v>255</v>
      </c>
      <c r="AM16" s="227"/>
      <c r="AN16" s="230"/>
      <c r="AO16" s="228"/>
      <c r="AP16" s="228"/>
      <c r="AQ16" s="227"/>
      <c r="AR16" s="229"/>
      <c r="AS16" s="190"/>
      <c r="AT16" s="190"/>
      <c r="AU16" s="190"/>
      <c r="AV16" s="190"/>
      <c r="AW16" s="190"/>
      <c r="AX16" s="190"/>
      <c r="AY16" s="190"/>
      <c r="AZ16" s="190"/>
      <c r="BA16" s="190"/>
      <c r="BB16" s="190"/>
      <c r="BC16" s="190"/>
      <c r="BD16" s="190"/>
      <c r="BE16" s="190"/>
      <c r="BF16" s="190"/>
      <c r="BG16" s="190"/>
      <c r="BH16" s="190"/>
      <c r="BI16" s="190"/>
      <c r="BJ16" s="190"/>
      <c r="BK16" s="190"/>
      <c r="BL16" s="190"/>
      <c r="BM16" s="190"/>
      <c r="BN16" s="190"/>
      <c r="BO16" s="190"/>
      <c r="BP16" s="190"/>
      <c r="BQ16" s="190"/>
      <c r="BR16" s="190"/>
      <c r="BS16" s="190"/>
      <c r="BT16" s="190"/>
      <c r="BU16" s="190"/>
      <c r="BV16" s="190"/>
      <c r="BW16" s="190"/>
      <c r="BX16" s="190"/>
    </row>
    <row r="17" spans="1:76" s="191" customFormat="1" ht="238.5" customHeight="1" thickTop="1" thickBot="1" x14ac:dyDescent="0.3">
      <c r="A17" s="352">
        <v>3</v>
      </c>
      <c r="B17" s="369" t="s">
        <v>481</v>
      </c>
      <c r="C17" s="357" t="s">
        <v>266</v>
      </c>
      <c r="D17" s="357" t="s">
        <v>482</v>
      </c>
      <c r="E17" s="357" t="s">
        <v>240</v>
      </c>
      <c r="F17" s="375" t="s">
        <v>483</v>
      </c>
      <c r="G17" s="375" t="s">
        <v>484</v>
      </c>
      <c r="H17" s="374" t="s">
        <v>1106</v>
      </c>
      <c r="I17" s="362" t="s">
        <v>474</v>
      </c>
      <c r="J17" s="362" t="s">
        <v>474</v>
      </c>
      <c r="K17" s="362" t="s">
        <v>474</v>
      </c>
      <c r="L17" s="362" t="s">
        <v>474</v>
      </c>
      <c r="M17" s="357" t="s">
        <v>239</v>
      </c>
      <c r="N17" s="357"/>
      <c r="O17" s="363">
        <v>1</v>
      </c>
      <c r="P17" s="364" t="str">
        <f>IF(O17&lt;=0,"",IF(O17&lt;=2,"Muy Baja",IF(O17&lt;=24,"Baja",IF(O17&lt;=500,"Media",IF(O17&lt;=5000,"Alta","Muy Alta")))))</f>
        <v>Muy Baja</v>
      </c>
      <c r="Q17" s="365">
        <f>IF(P17="","",IF(P17="Muy Baja",0.2,IF(P17="Baja",0.4,IF(P17="Media",0.6,IF(P17="Alta",0.8,IF(P17="Muy Alta",1,))))))</f>
        <v>0.2</v>
      </c>
      <c r="R17" s="365" t="s">
        <v>192</v>
      </c>
      <c r="S17" s="365" t="str">
        <f ca="1">IF(NOT(ISERROR(MATCH(R17,'Tabla Impacto'!$B$221:$B$223,0))),'Tabla Impacto'!$F$223&amp;"Por favor no seleccionar los criterios de impacto(Afectación Económica o presupuestal y Pérdida Reputacional)",R17)</f>
        <v xml:space="preserve">Entre 100 y 500 SMLMV </v>
      </c>
      <c r="T17" s="364" t="str">
        <f ca="1">+IF(OR(S17='[1]Tabla Impacto'!$C$11,S17='[1]Tabla Impacto'!$D$11),"Leve",IF(OR(S17='[1]Tabla Impacto'!$C$12,S17='[1]Tabla Impacto'!$D$12),"Menor",IF(OR(S17='[1]Tabla Impacto'!$C$13,S17='[1]Tabla Impacto'!$D$13),"Moderado",IF(OR(S17='[1]Tabla Impacto'!$C$14,S17='[1]Tabla Impacto'!$D$14),"Mayor",IF(OR(S17='[1]Tabla Impacto'!$C$15,S17='[1]Tabla Impacto'!$D$15),"Catastrófico","")))))</f>
        <v>Mayor</v>
      </c>
      <c r="U17" s="365">
        <f t="shared" ref="U17" ca="1" si="15">IF(T17="","",IF(T17="Leve",0.2,IF(T17="Menor",0.4,IF(T17="Moderado",0.6,IF(T17="Mayor",0.8,IF(T17="Catastrófico",1,))))))</f>
        <v>0.8</v>
      </c>
      <c r="V17" s="351" t="str">
        <f t="shared" ref="V17" ca="1" si="16">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33">
        <v>1</v>
      </c>
      <c r="X17" s="207" t="s">
        <v>485</v>
      </c>
      <c r="Y17" s="230" t="str">
        <f t="shared" si="9"/>
        <v>Probabilidad</v>
      </c>
      <c r="Z17" s="185" t="s">
        <v>208</v>
      </c>
      <c r="AA17" s="185" t="s">
        <v>216</v>
      </c>
      <c r="AB17" s="186" t="str">
        <f t="shared" si="1"/>
        <v>40%</v>
      </c>
      <c r="AC17" s="185" t="s">
        <v>219</v>
      </c>
      <c r="AD17" s="185" t="s">
        <v>224</v>
      </c>
      <c r="AE17" s="185" t="s">
        <v>228</v>
      </c>
      <c r="AF17" s="187">
        <f>IFERROR(IF(Y17="Probabilidad",(Q17-(+Q17*AB17)),IF(Y17="Impacto",Q17,"")),"")</f>
        <v>0.12</v>
      </c>
      <c r="AG17" s="188" t="str">
        <f t="shared" si="10"/>
        <v>Muy Baja</v>
      </c>
      <c r="AH17" s="186">
        <f t="shared" si="11"/>
        <v>0.12</v>
      </c>
      <c r="AI17" s="188" t="str">
        <f t="shared" ca="1" si="12"/>
        <v>Mayor</v>
      </c>
      <c r="AJ17" s="186">
        <f t="shared" ref="AJ17" ca="1" si="17">IFERROR(IF(Y17="Impacto",(U17-(+U17*AB17)),IF(Y17="Probabilidad",U17,"")),"")</f>
        <v>0.8</v>
      </c>
      <c r="AK17" s="189" t="str">
        <f t="shared" ca="1" si="14"/>
        <v>Alto</v>
      </c>
      <c r="AL17" s="185" t="s">
        <v>262</v>
      </c>
      <c r="AM17" s="227" t="s">
        <v>488</v>
      </c>
      <c r="AN17" s="227" t="s">
        <v>489</v>
      </c>
      <c r="AO17" s="228" t="s">
        <v>490</v>
      </c>
      <c r="AP17" s="228" t="s">
        <v>490</v>
      </c>
      <c r="AQ17" s="227" t="s">
        <v>491</v>
      </c>
      <c r="AR17" s="229" t="s">
        <v>259</v>
      </c>
      <c r="AS17" s="190"/>
      <c r="AT17" s="190"/>
      <c r="AU17" s="190"/>
      <c r="AV17" s="190"/>
      <c r="AW17" s="190"/>
      <c r="AX17" s="190"/>
      <c r="AY17" s="190"/>
      <c r="AZ17" s="190"/>
      <c r="BA17" s="190"/>
      <c r="BB17" s="190"/>
      <c r="BC17" s="190"/>
      <c r="BD17" s="190"/>
      <c r="BE17" s="190"/>
      <c r="BF17" s="190"/>
      <c r="BG17" s="190"/>
      <c r="BH17" s="190"/>
      <c r="BI17" s="190"/>
      <c r="BJ17" s="190"/>
      <c r="BK17" s="190"/>
      <c r="BL17" s="190"/>
      <c r="BM17" s="190"/>
      <c r="BN17" s="190"/>
      <c r="BO17" s="190"/>
      <c r="BP17" s="190"/>
      <c r="BQ17" s="190"/>
      <c r="BR17" s="190"/>
      <c r="BS17" s="190"/>
      <c r="BT17" s="190"/>
      <c r="BU17" s="190"/>
      <c r="BV17" s="190"/>
      <c r="BW17" s="190"/>
      <c r="BX17" s="190"/>
    </row>
    <row r="18" spans="1:76" s="191" customFormat="1" ht="214.5" customHeight="1" thickTop="1" thickBot="1" x14ac:dyDescent="0.3">
      <c r="A18" s="352"/>
      <c r="B18" s="369"/>
      <c r="C18" s="357"/>
      <c r="D18" s="357"/>
      <c r="E18" s="357"/>
      <c r="F18" s="375"/>
      <c r="G18" s="375"/>
      <c r="H18" s="374"/>
      <c r="I18" s="362"/>
      <c r="J18" s="362"/>
      <c r="K18" s="362"/>
      <c r="L18" s="362"/>
      <c r="M18" s="357"/>
      <c r="N18" s="357"/>
      <c r="O18" s="363"/>
      <c r="P18" s="364"/>
      <c r="Q18" s="365"/>
      <c r="R18" s="365"/>
      <c r="S18" s="365">
        <f ca="1">IF(NOT(ISERROR(MATCH(R18,_xlfn.ANCHORARRAY(H22),0))),Q24&amp;"Por favor no seleccionar los criterios de impacto",R18)</f>
        <v>0</v>
      </c>
      <c r="T18" s="364"/>
      <c r="U18" s="365"/>
      <c r="V18" s="351"/>
      <c r="W18" s="233">
        <v>2</v>
      </c>
      <c r="X18" s="207" t="s">
        <v>486</v>
      </c>
      <c r="Y18" s="230" t="str">
        <f t="shared" si="9"/>
        <v>Probabilidad</v>
      </c>
      <c r="Z18" s="185" t="s">
        <v>208</v>
      </c>
      <c r="AA18" s="185" t="s">
        <v>216</v>
      </c>
      <c r="AB18" s="186" t="str">
        <f t="shared" si="1"/>
        <v>40%</v>
      </c>
      <c r="AC18" s="185" t="s">
        <v>219</v>
      </c>
      <c r="AD18" s="185" t="s">
        <v>224</v>
      </c>
      <c r="AE18" s="185" t="s">
        <v>228</v>
      </c>
      <c r="AF18" s="187">
        <f>IFERROR(IF(AND(Y17="Probabilidad",Y18="Probabilidad"),(AH17-(+AH17*AB18)),IF(Y18="Probabilidad",(Q17-(+Q17*AB18)),IF(Y18="Impacto",AH17,""))),"")</f>
        <v>7.1999999999999995E-2</v>
      </c>
      <c r="AG18" s="188" t="str">
        <f t="shared" si="10"/>
        <v>Muy Baja</v>
      </c>
      <c r="AH18" s="186">
        <f t="shared" si="11"/>
        <v>7.1999999999999995E-2</v>
      </c>
      <c r="AI18" s="188" t="str">
        <f t="shared" ca="1" si="12"/>
        <v>Mayor</v>
      </c>
      <c r="AJ18" s="186">
        <f t="shared" ref="AJ18" ca="1" si="18">IFERROR(IF(AND(Y17="Impacto",Y18="Impacto"),(AJ17-(+AJ17*AB18)),IF(Y18="Impacto",(U17-(+U17*AB18)),IF(Y18="Probabilidad",AJ17,""))),"")</f>
        <v>0.8</v>
      </c>
      <c r="AK18" s="189" t="str">
        <f t="shared" ca="1" si="14"/>
        <v>Alto</v>
      </c>
      <c r="AL18" s="185" t="s">
        <v>262</v>
      </c>
      <c r="AM18" s="227" t="s">
        <v>492</v>
      </c>
      <c r="AN18" s="227" t="s">
        <v>489</v>
      </c>
      <c r="AO18" s="228" t="s">
        <v>493</v>
      </c>
      <c r="AP18" s="228" t="s">
        <v>493</v>
      </c>
      <c r="AQ18" s="227" t="s">
        <v>494</v>
      </c>
      <c r="AR18" s="229" t="s">
        <v>259</v>
      </c>
      <c r="AS18" s="190"/>
      <c r="AT18" s="190"/>
      <c r="AU18" s="190"/>
      <c r="AV18" s="190"/>
      <c r="AW18" s="190"/>
      <c r="AX18" s="190"/>
      <c r="AY18" s="190"/>
      <c r="AZ18" s="190"/>
      <c r="BA18" s="190"/>
      <c r="BB18" s="190"/>
      <c r="BC18" s="190"/>
      <c r="BD18" s="190"/>
      <c r="BE18" s="190"/>
      <c r="BF18" s="190"/>
      <c r="BG18" s="190"/>
      <c r="BH18" s="190"/>
      <c r="BI18" s="190"/>
      <c r="BJ18" s="190"/>
      <c r="BK18" s="190"/>
      <c r="BL18" s="190"/>
      <c r="BM18" s="190"/>
      <c r="BN18" s="190"/>
      <c r="BO18" s="190"/>
      <c r="BP18" s="190"/>
      <c r="BQ18" s="190"/>
      <c r="BR18" s="190"/>
      <c r="BS18" s="190"/>
      <c r="BT18" s="190"/>
      <c r="BU18" s="190"/>
      <c r="BV18" s="190"/>
      <c r="BW18" s="190"/>
      <c r="BX18" s="190"/>
    </row>
    <row r="19" spans="1:76" s="191" customFormat="1" ht="129.75" thickTop="1" thickBot="1" x14ac:dyDescent="0.3">
      <c r="A19" s="352"/>
      <c r="B19" s="369"/>
      <c r="C19" s="357"/>
      <c r="D19" s="357"/>
      <c r="E19" s="357"/>
      <c r="F19" s="375"/>
      <c r="G19" s="375"/>
      <c r="H19" s="374"/>
      <c r="I19" s="362"/>
      <c r="J19" s="362"/>
      <c r="K19" s="362"/>
      <c r="L19" s="362"/>
      <c r="M19" s="357"/>
      <c r="N19" s="357"/>
      <c r="O19" s="363"/>
      <c r="P19" s="364"/>
      <c r="Q19" s="365"/>
      <c r="R19" s="365"/>
      <c r="S19" s="365">
        <f ca="1">IF(NOT(ISERROR(MATCH(R19,_xlfn.ANCHORARRAY(H23),0))),#REF!&amp;"Por favor no seleccionar los criterios de impacto",R19)</f>
        <v>0</v>
      </c>
      <c r="T19" s="364"/>
      <c r="U19" s="365"/>
      <c r="V19" s="351"/>
      <c r="W19" s="233">
        <v>3</v>
      </c>
      <c r="X19" s="207" t="s">
        <v>487</v>
      </c>
      <c r="Y19" s="230" t="str">
        <f t="shared" si="9"/>
        <v>Probabilidad</v>
      </c>
      <c r="Z19" s="185" t="s">
        <v>208</v>
      </c>
      <c r="AA19" s="185" t="s">
        <v>216</v>
      </c>
      <c r="AB19" s="186" t="str">
        <f t="shared" si="1"/>
        <v>40%</v>
      </c>
      <c r="AC19" s="185" t="s">
        <v>219</v>
      </c>
      <c r="AD19" s="185" t="s">
        <v>224</v>
      </c>
      <c r="AE19" s="185" t="s">
        <v>228</v>
      </c>
      <c r="AF19" s="187">
        <f t="shared" ref="AF19" si="19">IFERROR(IF(AND(Y18="Probabilidad",Y19="Probabilidad"),(AH18-(+AH18*AB19)),IF(Y19="Probabilidad",(Q18-(+Q18*AB19)),IF(Y19="Impacto",AH18,""))),"")</f>
        <v>4.3199999999999995E-2</v>
      </c>
      <c r="AG19" s="188" t="str">
        <f t="shared" si="10"/>
        <v>Muy Baja</v>
      </c>
      <c r="AH19" s="186">
        <f t="shared" si="11"/>
        <v>4.3199999999999995E-2</v>
      </c>
      <c r="AI19" s="188" t="str">
        <f t="shared" ca="1" si="12"/>
        <v>Mayor</v>
      </c>
      <c r="AJ19" s="186">
        <f t="shared" ref="AJ19" ca="1" si="20">IFERROR(IF(AND(Y18="Impacto",Y19="Impacto"),(AJ18-(+AJ18*AB19)),IF(AND(Y18="Probabilidad",Y19="Impacto"),(AJ17-(+AJ17*AB19)),IF(Y19="Probabilidad",AJ18,""))),"")</f>
        <v>0.8</v>
      </c>
      <c r="AK19" s="189" t="str">
        <f t="shared" ca="1" si="14"/>
        <v>Alto</v>
      </c>
      <c r="AL19" s="185" t="s">
        <v>262</v>
      </c>
      <c r="AM19" s="227"/>
      <c r="AN19" s="230"/>
      <c r="AO19" s="228"/>
      <c r="AP19" s="228"/>
      <c r="AQ19" s="227"/>
      <c r="AR19" s="229"/>
      <c r="AS19" s="190"/>
      <c r="AT19" s="190"/>
      <c r="AU19" s="190"/>
      <c r="AV19" s="190"/>
      <c r="AW19" s="190"/>
      <c r="AX19" s="190"/>
      <c r="AY19" s="190"/>
      <c r="AZ19" s="190"/>
      <c r="BA19" s="190"/>
      <c r="BB19" s="190"/>
      <c r="BC19" s="190"/>
      <c r="BD19" s="190"/>
      <c r="BE19" s="190"/>
      <c r="BF19" s="190"/>
      <c r="BG19" s="190"/>
      <c r="BH19" s="190"/>
      <c r="BI19" s="190"/>
      <c r="BJ19" s="190"/>
      <c r="BK19" s="190"/>
      <c r="BL19" s="190"/>
      <c r="BM19" s="190"/>
      <c r="BN19" s="190"/>
      <c r="BO19" s="190"/>
      <c r="BP19" s="190"/>
      <c r="BQ19" s="190"/>
      <c r="BR19" s="190"/>
      <c r="BS19" s="190"/>
      <c r="BT19" s="190"/>
      <c r="BU19" s="190"/>
      <c r="BV19" s="190"/>
      <c r="BW19" s="190"/>
      <c r="BX19" s="190"/>
    </row>
    <row r="20" spans="1:76" s="191" customFormat="1" ht="331.5" customHeight="1" thickTop="1" thickBot="1" x14ac:dyDescent="0.3">
      <c r="A20" s="352">
        <v>4</v>
      </c>
      <c r="B20" s="369" t="s">
        <v>495</v>
      </c>
      <c r="C20" s="357" t="s">
        <v>266</v>
      </c>
      <c r="D20" s="357" t="s">
        <v>482</v>
      </c>
      <c r="E20" s="357" t="s">
        <v>240</v>
      </c>
      <c r="F20" s="375" t="s">
        <v>496</v>
      </c>
      <c r="G20" s="375" t="s">
        <v>497</v>
      </c>
      <c r="H20" s="374" t="s">
        <v>1107</v>
      </c>
      <c r="I20" s="362" t="s">
        <v>474</v>
      </c>
      <c r="J20" s="362" t="s">
        <v>474</v>
      </c>
      <c r="K20" s="362" t="s">
        <v>474</v>
      </c>
      <c r="L20" s="362" t="s">
        <v>474</v>
      </c>
      <c r="M20" s="357" t="s">
        <v>239</v>
      </c>
      <c r="N20" s="357"/>
      <c r="O20" s="363">
        <v>12</v>
      </c>
      <c r="P20" s="364" t="str">
        <f>IF(O20&lt;=0,"",IF(O20&lt;=2,"Muy Baja",IF(O20&lt;=24,"Baja",IF(O20&lt;=500,"Media",IF(O20&lt;=5000,"Alta","Muy Alta")))))</f>
        <v>Baja</v>
      </c>
      <c r="Q20" s="365">
        <f>IF(P20="","",IF(P20="Muy Baja",0.2,IF(P20="Baja",0.4,IF(P20="Media",0.6,IF(P20="Alta",0.8,IF(P20="Muy Alta",1,))))))</f>
        <v>0.4</v>
      </c>
      <c r="R20" s="365" t="s">
        <v>190</v>
      </c>
      <c r="S20" s="365" t="str">
        <f ca="1">IF(NOT(ISERROR(MATCH(R20,'Tabla Impacto'!$B$221:$B$223,0))),'Tabla Impacto'!$F$223&amp;"Por favor no seleccionar los criterios de impacto(Afectación Económica o presupuestal y Pérdida Reputacional)",R20)</f>
        <v>El riesgo afecta la imagen de la entidad con algunos usuarios de relevancia frente al logro de los objetivos</v>
      </c>
      <c r="T20" s="364" t="str">
        <f ca="1">+IF(OR(S20='[1]Tabla Impacto'!$C$11,S20='[1]Tabla Impacto'!$D$11),"Leve",IF(OR(S20='[1]Tabla Impacto'!$C$12,S20='[1]Tabla Impacto'!$D$12),"Menor",IF(OR(S20='[1]Tabla Impacto'!$C$13,S20='[1]Tabla Impacto'!$D$13),"Moderado",IF(OR(S20='[1]Tabla Impacto'!$C$14,S20='[1]Tabla Impacto'!$D$14),"Mayor",IF(OR(S20='[1]Tabla Impacto'!$C$15,S20='[1]Tabla Impacto'!$D$15),"Catastrófico","")))))</f>
        <v>Moderado</v>
      </c>
      <c r="U20" s="365">
        <f t="shared" ref="U20" ca="1" si="21">IF(T20="","",IF(T20="Leve",0.2,IF(T20="Menor",0.4,IF(T20="Moderado",0.6,IF(T20="Mayor",0.8,IF(T20="Catastrófico",1,))))))</f>
        <v>0.6</v>
      </c>
      <c r="V20" s="351" t="str">
        <f t="shared" ref="V20" ca="1" si="22">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33">
        <v>1</v>
      </c>
      <c r="X20" s="207" t="s">
        <v>1189</v>
      </c>
      <c r="Y20" s="230" t="str">
        <f t="shared" si="9"/>
        <v>Probabilidad</v>
      </c>
      <c r="Z20" s="185" t="s">
        <v>210</v>
      </c>
      <c r="AA20" s="185" t="s">
        <v>216</v>
      </c>
      <c r="AB20" s="186" t="str">
        <f t="shared" si="1"/>
        <v>30%</v>
      </c>
      <c r="AC20" s="185" t="s">
        <v>219</v>
      </c>
      <c r="AD20" s="185" t="s">
        <v>224</v>
      </c>
      <c r="AE20" s="185" t="s">
        <v>228</v>
      </c>
      <c r="AF20" s="187">
        <f>IFERROR(IF(Y20="Probabilidad",(Q20-(+Q20*AB20)),IF(Y20="Impacto",Q20,"")),"")</f>
        <v>0.28000000000000003</v>
      </c>
      <c r="AG20" s="188" t="str">
        <f t="shared" si="10"/>
        <v>Baja</v>
      </c>
      <c r="AH20" s="186">
        <f t="shared" si="11"/>
        <v>0.28000000000000003</v>
      </c>
      <c r="AI20" s="188" t="str">
        <f t="shared" ca="1" si="12"/>
        <v>Moderado</v>
      </c>
      <c r="AJ20" s="186">
        <f t="shared" ref="AJ20" ca="1" si="23">IFERROR(IF(Y20="Impacto",(U20-(+U20*AB20)),IF(Y20="Probabilidad",U20,"")),"")</f>
        <v>0.6</v>
      </c>
      <c r="AK20" s="189" t="str">
        <f t="shared" ca="1" si="14"/>
        <v>Moderado</v>
      </c>
      <c r="AL20" s="185" t="s">
        <v>255</v>
      </c>
      <c r="AM20" s="227"/>
      <c r="AN20" s="230"/>
      <c r="AO20" s="228"/>
      <c r="AP20" s="228"/>
      <c r="AQ20" s="227"/>
      <c r="AR20" s="229"/>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row>
    <row r="21" spans="1:76" s="191" customFormat="1" ht="331.5" customHeight="1" thickTop="1" thickBot="1" x14ac:dyDescent="0.3">
      <c r="A21" s="352"/>
      <c r="B21" s="369"/>
      <c r="C21" s="357"/>
      <c r="D21" s="357"/>
      <c r="E21" s="357"/>
      <c r="F21" s="375"/>
      <c r="G21" s="375"/>
      <c r="H21" s="374"/>
      <c r="I21" s="362"/>
      <c r="J21" s="362"/>
      <c r="K21" s="362"/>
      <c r="L21" s="362"/>
      <c r="M21" s="357"/>
      <c r="N21" s="357"/>
      <c r="O21" s="363"/>
      <c r="P21" s="364"/>
      <c r="Q21" s="365"/>
      <c r="R21" s="365"/>
      <c r="S21" s="365">
        <f ca="1">IF(NOT(ISERROR(MATCH(R21,_xlfn.ANCHORARRAY(H25),0))),#REF!&amp;"Por favor no seleccionar los criterios de impacto",R21)</f>
        <v>0</v>
      </c>
      <c r="T21" s="364"/>
      <c r="U21" s="365"/>
      <c r="V21" s="351"/>
      <c r="W21" s="233">
        <v>2</v>
      </c>
      <c r="X21" s="207" t="s">
        <v>1190</v>
      </c>
      <c r="Y21" s="230" t="str">
        <f t="shared" si="9"/>
        <v>Probabilidad</v>
      </c>
      <c r="Z21" s="185" t="s">
        <v>210</v>
      </c>
      <c r="AA21" s="185" t="s">
        <v>216</v>
      </c>
      <c r="AB21" s="186" t="str">
        <f t="shared" si="1"/>
        <v>30%</v>
      </c>
      <c r="AC21" s="185" t="s">
        <v>219</v>
      </c>
      <c r="AD21" s="185" t="s">
        <v>224</v>
      </c>
      <c r="AE21" s="185" t="s">
        <v>228</v>
      </c>
      <c r="AF21" s="187">
        <f>IFERROR(IF(AND(Y20="Probabilidad",Y21="Probabilidad"),(AH20-(+AH20*AB21)),IF(Y21="Probabilidad",(Q20-(+Q20*AB21)),IF(Y21="Impacto",AH20,""))),"")</f>
        <v>0.19600000000000001</v>
      </c>
      <c r="AG21" s="188" t="str">
        <f t="shared" si="10"/>
        <v>Muy Baja</v>
      </c>
      <c r="AH21" s="186">
        <f t="shared" si="11"/>
        <v>0.19600000000000001</v>
      </c>
      <c r="AI21" s="188" t="str">
        <f t="shared" ca="1" si="12"/>
        <v>Moderado</v>
      </c>
      <c r="AJ21" s="186">
        <f t="shared" ref="AJ21" ca="1" si="24">IFERROR(IF(AND(Y20="Impacto",Y21="Impacto"),(AJ20-(+AJ20*AB21)),IF(Y21="Impacto",(U20-(+U20*AB21)),IF(Y21="Probabilidad",AJ20,""))),"")</f>
        <v>0.6</v>
      </c>
      <c r="AK21" s="189" t="str">
        <f t="shared" ca="1" si="14"/>
        <v>Moderado</v>
      </c>
      <c r="AL21" s="185" t="s">
        <v>255</v>
      </c>
      <c r="AM21" s="227"/>
      <c r="AN21" s="230"/>
      <c r="AO21" s="228"/>
      <c r="AP21" s="228"/>
      <c r="AQ21" s="227"/>
      <c r="AR21" s="229"/>
      <c r="AS21" s="190"/>
      <c r="AT21" s="190"/>
      <c r="AU21" s="190"/>
      <c r="AV21" s="190"/>
      <c r="AW21" s="190"/>
      <c r="AX21" s="190"/>
      <c r="AY21" s="190"/>
      <c r="AZ21" s="190"/>
      <c r="BA21" s="190"/>
      <c r="BB21" s="190"/>
      <c r="BC21" s="190"/>
      <c r="BD21" s="190"/>
      <c r="BE21" s="190"/>
      <c r="BF21" s="190"/>
      <c r="BG21" s="190"/>
      <c r="BH21" s="190"/>
      <c r="BI21" s="190"/>
      <c r="BJ21" s="190"/>
      <c r="BK21" s="190"/>
      <c r="BL21" s="190"/>
      <c r="BM21" s="190"/>
      <c r="BN21" s="190"/>
      <c r="BO21" s="190"/>
      <c r="BP21" s="190"/>
      <c r="BQ21" s="190"/>
      <c r="BR21" s="190"/>
      <c r="BS21" s="190"/>
      <c r="BT21" s="190"/>
      <c r="BU21" s="190"/>
      <c r="BV21" s="190"/>
      <c r="BW21" s="190"/>
      <c r="BX21" s="190"/>
    </row>
    <row r="22" spans="1:76" s="191" customFormat="1" ht="147.75" customHeight="1" thickTop="1" thickBot="1" x14ac:dyDescent="0.3">
      <c r="A22" s="352">
        <v>5</v>
      </c>
      <c r="B22" s="369" t="s">
        <v>498</v>
      </c>
      <c r="C22" s="357" t="s">
        <v>266</v>
      </c>
      <c r="D22" s="357" t="s">
        <v>482</v>
      </c>
      <c r="E22" s="357" t="s">
        <v>238</v>
      </c>
      <c r="F22" s="375" t="s">
        <v>499</v>
      </c>
      <c r="G22" s="375" t="s">
        <v>500</v>
      </c>
      <c r="H22" s="374" t="s">
        <v>1108</v>
      </c>
      <c r="I22" s="362" t="s">
        <v>474</v>
      </c>
      <c r="J22" s="362" t="s">
        <v>474</v>
      </c>
      <c r="K22" s="362" t="s">
        <v>474</v>
      </c>
      <c r="L22" s="362" t="s">
        <v>474</v>
      </c>
      <c r="M22" s="357" t="s">
        <v>239</v>
      </c>
      <c r="N22" s="357"/>
      <c r="O22" s="363">
        <v>1</v>
      </c>
      <c r="P22" s="364" t="str">
        <f>IF(O22&lt;=0,"",IF(O22&lt;=2,"Muy Baja",IF(O22&lt;=24,"Baja",IF(O22&lt;=500,"Media",IF(O22&lt;=5000,"Alta","Muy Alta")))))</f>
        <v>Muy Baja</v>
      </c>
      <c r="Q22" s="365">
        <f>IF(P22="","",IF(P22="Muy Baja",0.2,IF(P22="Baja",0.4,IF(P22="Media",0.6,IF(P22="Alta",0.8,IF(P22="Muy Alta",1,))))))</f>
        <v>0.2</v>
      </c>
      <c r="R22" s="365" t="s">
        <v>193</v>
      </c>
      <c r="S22" s="365" t="str">
        <f ca="1">IF(NOT(ISERROR(MATCH(R22,'Tabla Impacto'!$B$221:$B$223,0))),'Tabla Impacto'!$F$223&amp;"Por favor no seleccionar los criterios de impacto(Afectación Económica o presupuestal y Pérdida Reputacional)",R22)</f>
        <v>El riesgo afecta la imagen de de la entidad con efecto publicitario sostenido a nivel de sector administrativo, nivel departamental o municipal</v>
      </c>
      <c r="T22" s="364" t="str">
        <f ca="1">+IF(OR(S22='[1]Tabla Impacto'!$C$11,S22='[1]Tabla Impacto'!$D$11),"Leve",IF(OR(S22='[1]Tabla Impacto'!$C$12,S22='[1]Tabla Impacto'!$D$12),"Menor",IF(OR(S22='[1]Tabla Impacto'!$C$13,S22='[1]Tabla Impacto'!$D$13),"Moderado",IF(OR(S22='[1]Tabla Impacto'!$C$14,S22='[1]Tabla Impacto'!$D$14),"Mayor",IF(OR(S22='[1]Tabla Impacto'!$C$15,S22='[1]Tabla Impacto'!$D$15),"Catastrófico","")))))</f>
        <v>Mayor</v>
      </c>
      <c r="U22" s="365">
        <f t="shared" ref="U22" ca="1" si="25">IF(T22="","",IF(T22="Leve",0.2,IF(T22="Menor",0.4,IF(T22="Moderado",0.6,IF(T22="Mayor",0.8,IF(T22="Catastrófico",1,))))))</f>
        <v>0.8</v>
      </c>
      <c r="V22" s="351" t="str">
        <f t="shared" ref="V22" ca="1" si="26">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33">
        <v>1</v>
      </c>
      <c r="X22" s="208" t="s">
        <v>501</v>
      </c>
      <c r="Y22" s="230" t="str">
        <f t="shared" si="9"/>
        <v>Probabilidad</v>
      </c>
      <c r="Z22" s="185" t="s">
        <v>208</v>
      </c>
      <c r="AA22" s="185" t="s">
        <v>216</v>
      </c>
      <c r="AB22" s="186" t="str">
        <f t="shared" si="1"/>
        <v>40%</v>
      </c>
      <c r="AC22" s="185" t="s">
        <v>222</v>
      </c>
      <c r="AD22" s="185" t="s">
        <v>224</v>
      </c>
      <c r="AE22" s="185" t="s">
        <v>228</v>
      </c>
      <c r="AF22" s="187">
        <f>IFERROR(IF(Y22="Probabilidad",(Q22-(+Q22*AB22)),IF(Y22="Impacto",Q22,"")),"")</f>
        <v>0.12</v>
      </c>
      <c r="AG22" s="188" t="str">
        <f t="shared" si="10"/>
        <v>Muy Baja</v>
      </c>
      <c r="AH22" s="186">
        <f t="shared" si="11"/>
        <v>0.12</v>
      </c>
      <c r="AI22" s="188" t="str">
        <f t="shared" ca="1" si="12"/>
        <v>Mayor</v>
      </c>
      <c r="AJ22" s="186">
        <f t="shared" ref="AJ22" ca="1" si="27">IFERROR(IF(Y22="Impacto",(U22-(+U22*AB22)),IF(Y22="Probabilidad",U22,"")),"")</f>
        <v>0.8</v>
      </c>
      <c r="AK22" s="189" t="str">
        <f t="shared" ca="1" si="14"/>
        <v>Alto</v>
      </c>
      <c r="AL22" s="185" t="s">
        <v>262</v>
      </c>
      <c r="AM22" s="357" t="s">
        <v>504</v>
      </c>
      <c r="AN22" s="357" t="s">
        <v>505</v>
      </c>
      <c r="AO22" s="377" t="s">
        <v>506</v>
      </c>
      <c r="AP22" s="377" t="s">
        <v>506</v>
      </c>
      <c r="AQ22" s="357" t="s">
        <v>507</v>
      </c>
      <c r="AR22" s="378" t="s">
        <v>259</v>
      </c>
      <c r="AS22" s="190"/>
      <c r="AT22" s="190"/>
      <c r="AU22" s="190"/>
      <c r="AV22" s="190"/>
      <c r="AW22" s="190"/>
      <c r="AX22" s="190"/>
      <c r="AY22" s="190"/>
      <c r="AZ22" s="190"/>
      <c r="BA22" s="190"/>
      <c r="BB22" s="190"/>
      <c r="BC22" s="190"/>
      <c r="BD22" s="190"/>
      <c r="BE22" s="190"/>
      <c r="BF22" s="190"/>
      <c r="BG22" s="190"/>
      <c r="BH22" s="190"/>
      <c r="BI22" s="190"/>
      <c r="BJ22" s="190"/>
      <c r="BK22" s="190"/>
      <c r="BL22" s="190"/>
      <c r="BM22" s="190"/>
      <c r="BN22" s="190"/>
      <c r="BO22" s="190"/>
      <c r="BP22" s="190"/>
      <c r="BQ22" s="190"/>
      <c r="BR22" s="190"/>
      <c r="BS22" s="190"/>
      <c r="BT22" s="190"/>
      <c r="BU22" s="190"/>
      <c r="BV22" s="190"/>
      <c r="BW22" s="190"/>
      <c r="BX22" s="190"/>
    </row>
    <row r="23" spans="1:76" s="191" customFormat="1" ht="165.75" customHeight="1" thickTop="1" thickBot="1" x14ac:dyDescent="0.3">
      <c r="A23" s="352"/>
      <c r="B23" s="369"/>
      <c r="C23" s="357"/>
      <c r="D23" s="357"/>
      <c r="E23" s="357"/>
      <c r="F23" s="375"/>
      <c r="G23" s="375"/>
      <c r="H23" s="374"/>
      <c r="I23" s="362"/>
      <c r="J23" s="362"/>
      <c r="K23" s="362"/>
      <c r="L23" s="362"/>
      <c r="M23" s="357"/>
      <c r="N23" s="357"/>
      <c r="O23" s="363"/>
      <c r="P23" s="364"/>
      <c r="Q23" s="365"/>
      <c r="R23" s="365"/>
      <c r="S23" s="365">
        <f ca="1">IF(NOT(ISERROR(MATCH(R23,_xlfn.ANCHORARRAY(I27),0))),#REF!&amp;"Por favor no seleccionar los criterios de impacto",R23)</f>
        <v>0</v>
      </c>
      <c r="T23" s="364"/>
      <c r="U23" s="365"/>
      <c r="V23" s="351"/>
      <c r="W23" s="233">
        <v>2</v>
      </c>
      <c r="X23" s="208" t="s">
        <v>502</v>
      </c>
      <c r="Y23" s="230" t="str">
        <f t="shared" ref="Y23:Y43" si="28">IF(OR(Z23="Preventivo",Z23="Detectivo"),"Probabilidad",IF(Z23="Correctivo","Impacto",""))</f>
        <v>Probabilidad</v>
      </c>
      <c r="Z23" s="185" t="s">
        <v>208</v>
      </c>
      <c r="AA23" s="185" t="s">
        <v>216</v>
      </c>
      <c r="AB23" s="186" t="str">
        <f t="shared" si="1"/>
        <v>40%</v>
      </c>
      <c r="AC23" s="185" t="s">
        <v>222</v>
      </c>
      <c r="AD23" s="185" t="s">
        <v>224</v>
      </c>
      <c r="AE23" s="185" t="s">
        <v>228</v>
      </c>
      <c r="AF23" s="187">
        <f>IFERROR(IF(AND(Y22="Probabilidad",Y23="Probabilidad"),(AH22-(+AH22*AB23)),IF(Y23="Probabilidad",(Q22-(+Q22*AB23)),IF(Y23="Impacto",AH22,""))),"")</f>
        <v>7.1999999999999995E-2</v>
      </c>
      <c r="AG23" s="188" t="str">
        <f t="shared" ref="AG23:AG43" si="29">IFERROR(IF(AF23="","",IF(AF23&lt;=0.2,"Muy Baja",IF(AF23&lt;=0.4,"Baja",IF(AF23&lt;=0.6,"Media",IF(AF23&lt;=0.8,"Alta","Muy Alta"))))),"")</f>
        <v>Muy Baja</v>
      </c>
      <c r="AH23" s="186">
        <f t="shared" ref="AH23:AH43" si="30">+AF23</f>
        <v>7.1999999999999995E-2</v>
      </c>
      <c r="AI23" s="188" t="str">
        <f t="shared" ref="AI23:AI43" ca="1" si="31">IFERROR(IF(AJ23="","",IF(AJ23&lt;=0.2,"Leve",IF(AJ23&lt;=0.4,"Menor",IF(AJ23&lt;=0.6,"Moderado",IF(AJ23&lt;=0.8,"Mayor","Catastrófico"))))),"")</f>
        <v>Mayor</v>
      </c>
      <c r="AJ23" s="186">
        <f t="shared" ref="AJ23" ca="1" si="32">IFERROR(IF(AND(Y22="Impacto",Y23="Impacto"),(AJ22-(+AJ22*AB23)),IF(Y23="Impacto",(U22-(+U22*AB23)),IF(Y23="Probabilidad",AJ22,""))),"")</f>
        <v>0.8</v>
      </c>
      <c r="AK23" s="189" t="str">
        <f t="shared" ref="AK23:AK43" ca="1" si="33">IFERROR(IF(OR(AND(AG23="Muy Baja",AI23="Leve"),AND(AG23="Muy Baja",AI23="Menor"),AND(AG23="Baja",AI23="Leve")),"Bajo",IF(OR(AND(AG23="Muy baja",AI23="Moderado"),AND(AG23="Baja",AI23="Menor"),AND(AG23="Baja",AI23="Moderado"),AND(AG23="Media",AI23="Leve"),AND(AG23="Media",AI23="Menor"),AND(AG23="Media",AI23="Moderado"),AND(AG23="Alta",AI23="Leve"),AND(AG23="Alta",AI23="Menor")),"Moderado",IF(OR(AND(AG23="Muy Baja",AI23="Mayor"),AND(AG23="Baja",AI23="Mayor"),AND(AG23="Media",AI23="Mayor"),AND(AG23="Alta",AI23="Moderado"),AND(AG23="Alta",AI23="Mayor"),AND(AG23="Muy Alta",AI23="Leve"),AND(AG23="Muy Alta",AI23="Menor"),AND(AG23="Muy Alta",AI23="Moderado"),AND(AG23="Muy Alta",AI23="Mayor")),"Alto",IF(OR(AND(AG23="Muy Baja",AI23="Catastrófico"),AND(AG23="Baja",AI23="Catastrófico"),AND(AG23="Media",AI23="Catastrófico"),AND(AG23="Alta",AI23="Catastrófico"),AND(AG23="Muy Alta",AI23="Catastrófico")),"Extremo","")))),"")</f>
        <v>Alto</v>
      </c>
      <c r="AL23" s="185" t="s">
        <v>262</v>
      </c>
      <c r="AM23" s="357"/>
      <c r="AN23" s="357"/>
      <c r="AO23" s="377"/>
      <c r="AP23" s="377"/>
      <c r="AQ23" s="357"/>
      <c r="AR23" s="378"/>
      <c r="AS23" s="190"/>
      <c r="AT23" s="190"/>
      <c r="AU23" s="190"/>
      <c r="AV23" s="190"/>
      <c r="AW23" s="190"/>
      <c r="AX23" s="190"/>
      <c r="AY23" s="190"/>
      <c r="AZ23" s="190"/>
      <c r="BA23" s="190"/>
      <c r="BB23" s="190"/>
      <c r="BC23" s="190"/>
      <c r="BD23" s="190"/>
      <c r="BE23" s="190"/>
      <c r="BF23" s="190"/>
      <c r="BG23" s="190"/>
      <c r="BH23" s="190"/>
      <c r="BI23" s="190"/>
      <c r="BJ23" s="190"/>
      <c r="BK23" s="190"/>
      <c r="BL23" s="190"/>
      <c r="BM23" s="190"/>
      <c r="BN23" s="190"/>
      <c r="BO23" s="190"/>
      <c r="BP23" s="190"/>
      <c r="BQ23" s="190"/>
      <c r="BR23" s="190"/>
      <c r="BS23" s="190"/>
      <c r="BT23" s="190"/>
      <c r="BU23" s="190"/>
      <c r="BV23" s="190"/>
      <c r="BW23" s="190"/>
      <c r="BX23" s="190"/>
    </row>
    <row r="24" spans="1:76" s="191" customFormat="1" ht="147" customHeight="1" thickTop="1" thickBot="1" x14ac:dyDescent="0.3">
      <c r="A24" s="352"/>
      <c r="B24" s="369"/>
      <c r="C24" s="357"/>
      <c r="D24" s="357"/>
      <c r="E24" s="357"/>
      <c r="F24" s="375"/>
      <c r="G24" s="375"/>
      <c r="H24" s="374"/>
      <c r="I24" s="362"/>
      <c r="J24" s="362"/>
      <c r="K24" s="362"/>
      <c r="L24" s="362"/>
      <c r="M24" s="357"/>
      <c r="N24" s="357"/>
      <c r="O24" s="363"/>
      <c r="P24" s="364"/>
      <c r="Q24" s="365"/>
      <c r="R24" s="365"/>
      <c r="S24" s="365">
        <f ca="1">IF(NOT(ISERROR(MATCH(R24,_xlfn.ANCHORARRAY(I28),0))),#REF!&amp;"Por favor no seleccionar los criterios de impacto",R24)</f>
        <v>0</v>
      </c>
      <c r="T24" s="364"/>
      <c r="U24" s="365"/>
      <c r="V24" s="351"/>
      <c r="W24" s="233">
        <v>3</v>
      </c>
      <c r="X24" s="208" t="s">
        <v>503</v>
      </c>
      <c r="Y24" s="230" t="str">
        <f t="shared" si="28"/>
        <v>Probabilidad</v>
      </c>
      <c r="Z24" s="185" t="s">
        <v>208</v>
      </c>
      <c r="AA24" s="185" t="s">
        <v>216</v>
      </c>
      <c r="AB24" s="186" t="str">
        <f t="shared" si="1"/>
        <v>40%</v>
      </c>
      <c r="AC24" s="185" t="s">
        <v>222</v>
      </c>
      <c r="AD24" s="185" t="s">
        <v>224</v>
      </c>
      <c r="AE24" s="185" t="s">
        <v>228</v>
      </c>
      <c r="AF24" s="187">
        <f t="shared" ref="AF24" si="34">IFERROR(IF(AND(Y23="Probabilidad",Y24="Probabilidad"),(AH23-(+AH23*AB24)),IF(Y24="Probabilidad",(Q23-(+Q23*AB24)),IF(Y24="Impacto",AH23,""))),"")</f>
        <v>4.3199999999999995E-2</v>
      </c>
      <c r="AG24" s="188" t="str">
        <f t="shared" si="29"/>
        <v>Muy Baja</v>
      </c>
      <c r="AH24" s="186">
        <f t="shared" si="30"/>
        <v>4.3199999999999995E-2</v>
      </c>
      <c r="AI24" s="188" t="str">
        <f t="shared" ca="1" si="31"/>
        <v>Mayor</v>
      </c>
      <c r="AJ24" s="186">
        <f t="shared" ref="AJ24" ca="1" si="35">IFERROR(IF(AND(Y23="Impacto",Y24="Impacto"),(AJ23-(+AJ23*AB24)),IF(AND(Y23="Probabilidad",Y24="Impacto"),(AJ22-(+AJ22*AB24)),IF(Y24="Probabilidad",AJ23,""))),"")</f>
        <v>0.8</v>
      </c>
      <c r="AK24" s="189" t="str">
        <f t="shared" ca="1" si="33"/>
        <v>Alto</v>
      </c>
      <c r="AL24" s="185" t="s">
        <v>262</v>
      </c>
      <c r="AM24" s="357"/>
      <c r="AN24" s="357"/>
      <c r="AO24" s="377"/>
      <c r="AP24" s="377"/>
      <c r="AQ24" s="357"/>
      <c r="AR24" s="378"/>
      <c r="AS24" s="190"/>
      <c r="AT24" s="190"/>
      <c r="AU24" s="190"/>
      <c r="AV24" s="190"/>
      <c r="AW24" s="190"/>
      <c r="AX24" s="190"/>
      <c r="AY24" s="190"/>
      <c r="AZ24" s="190"/>
      <c r="BA24" s="190"/>
      <c r="BB24" s="190"/>
      <c r="BC24" s="190"/>
      <c r="BD24" s="190"/>
      <c r="BE24" s="190"/>
      <c r="BF24" s="190"/>
      <c r="BG24" s="190"/>
      <c r="BH24" s="190"/>
      <c r="BI24" s="190"/>
      <c r="BJ24" s="190"/>
      <c r="BK24" s="190"/>
      <c r="BL24" s="190"/>
      <c r="BM24" s="190"/>
      <c r="BN24" s="190"/>
      <c r="BO24" s="190"/>
      <c r="BP24" s="190"/>
      <c r="BQ24" s="190"/>
      <c r="BR24" s="190"/>
      <c r="BS24" s="190"/>
      <c r="BT24" s="190"/>
      <c r="BU24" s="190"/>
      <c r="BV24" s="190"/>
      <c r="BW24" s="190"/>
      <c r="BX24" s="190"/>
    </row>
    <row r="25" spans="1:76" s="191" customFormat="1" ht="244.5" customHeight="1" thickTop="1" thickBot="1" x14ac:dyDescent="0.3">
      <c r="A25" s="352">
        <v>6</v>
      </c>
      <c r="B25" s="369" t="s">
        <v>508</v>
      </c>
      <c r="C25" s="357" t="s">
        <v>266</v>
      </c>
      <c r="D25" s="357" t="s">
        <v>509</v>
      </c>
      <c r="E25" s="357" t="s">
        <v>240</v>
      </c>
      <c r="F25" s="375" t="s">
        <v>510</v>
      </c>
      <c r="G25" s="375" t="s">
        <v>511</v>
      </c>
      <c r="H25" s="374" t="s">
        <v>1109</v>
      </c>
      <c r="I25" s="362" t="s">
        <v>474</v>
      </c>
      <c r="J25" s="362" t="s">
        <v>474</v>
      </c>
      <c r="K25" s="362" t="s">
        <v>474</v>
      </c>
      <c r="L25" s="362" t="s">
        <v>474</v>
      </c>
      <c r="M25" s="357" t="s">
        <v>239</v>
      </c>
      <c r="N25" s="357"/>
      <c r="O25" s="363">
        <v>365</v>
      </c>
      <c r="P25" s="364" t="str">
        <f>IF(O25&lt;=0,"",IF(O25&lt;=2,"Muy Baja",IF(O25&lt;=24,"Baja",IF(O25&lt;=500,"Media",IF(O25&lt;=5000,"Alta","Muy Alta")))))</f>
        <v>Media</v>
      </c>
      <c r="Q25" s="365">
        <f>IF(P25="","",IF(P25="Muy Baja",0.2,IF(P25="Baja",0.4,IF(P25="Media",0.6,IF(P25="Alta",0.8,IF(P25="Muy Alta",1,))))))</f>
        <v>0.6</v>
      </c>
      <c r="R25" s="365" t="s">
        <v>190</v>
      </c>
      <c r="S25" s="365" t="str">
        <f ca="1">IF(NOT(ISERROR(MATCH(R25,'Tabla Impacto'!$B$221:$B$223,0))),'Tabla Impacto'!$F$223&amp;"Por favor no seleccionar los criterios de impacto(Afectación Económica o presupuestal y Pérdida Reputacional)",R25)</f>
        <v>El riesgo afecta la imagen de la entidad con algunos usuarios de relevancia frente al logro de los objetivos</v>
      </c>
      <c r="T25" s="364" t="str">
        <f ca="1">+IF(OR(S25='[1]Tabla Impacto'!$C$11,S25='[1]Tabla Impacto'!$D$11),"Leve",IF(OR(S25='[1]Tabla Impacto'!$C$12,S25='[1]Tabla Impacto'!$D$12),"Menor",IF(OR(S25='[1]Tabla Impacto'!$C$13,S25='[1]Tabla Impacto'!$D$13),"Moderado",IF(OR(S25='[1]Tabla Impacto'!$C$14,S25='[1]Tabla Impacto'!$D$14),"Mayor",IF(OR(S25='[1]Tabla Impacto'!$C$15,S25='[1]Tabla Impacto'!$D$15),"Catastrófico","")))))</f>
        <v>Moderado</v>
      </c>
      <c r="U25" s="365">
        <f t="shared" ref="U25" ca="1" si="36">IF(T25="","",IF(T25="Leve",0.2,IF(T25="Menor",0.4,IF(T25="Moderado",0.6,IF(T25="Mayor",0.8,IF(T25="Catastrófico",1,))))))</f>
        <v>0.6</v>
      </c>
      <c r="V25" s="351" t="str">
        <f t="shared" ref="V25" ca="1" si="37">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33">
        <v>1</v>
      </c>
      <c r="X25" s="207" t="s">
        <v>512</v>
      </c>
      <c r="Y25" s="230" t="str">
        <f t="shared" si="28"/>
        <v>Probabilidad</v>
      </c>
      <c r="Z25" s="185" t="s">
        <v>208</v>
      </c>
      <c r="AA25" s="185" t="s">
        <v>216</v>
      </c>
      <c r="AB25" s="186" t="str">
        <f t="shared" si="1"/>
        <v>40%</v>
      </c>
      <c r="AC25" s="185" t="s">
        <v>219</v>
      </c>
      <c r="AD25" s="185" t="s">
        <v>224</v>
      </c>
      <c r="AE25" s="185" t="s">
        <v>228</v>
      </c>
      <c r="AF25" s="187">
        <f t="shared" ref="AF25" si="38">IFERROR(IF(Y25="Probabilidad",(Q25-(+Q25*AB25)),IF(Y25="Impacto",Q25,"")),"")</f>
        <v>0.36</v>
      </c>
      <c r="AG25" s="188" t="str">
        <f t="shared" si="29"/>
        <v>Baja</v>
      </c>
      <c r="AH25" s="186">
        <f t="shared" si="30"/>
        <v>0.36</v>
      </c>
      <c r="AI25" s="188" t="str">
        <f t="shared" ca="1" si="31"/>
        <v>Moderado</v>
      </c>
      <c r="AJ25" s="186">
        <f t="shared" ref="AJ25" ca="1" si="39">IFERROR(IF(Y25="Impacto",(U25-(+U25*AB25)),IF(Y25="Probabilidad",U25,"")),"")</f>
        <v>0.6</v>
      </c>
      <c r="AK25" s="189" t="str">
        <f t="shared" ca="1" si="33"/>
        <v>Moderado</v>
      </c>
      <c r="AL25" s="185" t="s">
        <v>255</v>
      </c>
      <c r="AM25" s="227"/>
      <c r="AN25" s="230"/>
      <c r="AO25" s="228"/>
      <c r="AP25" s="228"/>
      <c r="AQ25" s="227"/>
      <c r="AR25" s="229"/>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c r="BO25" s="190"/>
      <c r="BP25" s="190"/>
      <c r="BQ25" s="190"/>
      <c r="BR25" s="190"/>
      <c r="BS25" s="190"/>
      <c r="BT25" s="190"/>
      <c r="BU25" s="190"/>
      <c r="BV25" s="190"/>
      <c r="BW25" s="190"/>
      <c r="BX25" s="190"/>
    </row>
    <row r="26" spans="1:76" s="191" customFormat="1" ht="244.5" customHeight="1" thickTop="1" thickBot="1" x14ac:dyDescent="0.3">
      <c r="A26" s="352"/>
      <c r="B26" s="369"/>
      <c r="C26" s="357"/>
      <c r="D26" s="357"/>
      <c r="E26" s="357"/>
      <c r="F26" s="375"/>
      <c r="G26" s="375"/>
      <c r="H26" s="374"/>
      <c r="I26" s="362"/>
      <c r="J26" s="362"/>
      <c r="K26" s="362"/>
      <c r="L26" s="362"/>
      <c r="M26" s="357"/>
      <c r="N26" s="357"/>
      <c r="O26" s="363"/>
      <c r="P26" s="364"/>
      <c r="Q26" s="365"/>
      <c r="R26" s="365"/>
      <c r="S26" s="365">
        <f ca="1">IF(NOT(ISERROR(MATCH(R26,_xlfn.ANCHORARRAY(H29),0))),Q31&amp;"Por favor no seleccionar los criterios de impacto",R26)</f>
        <v>0</v>
      </c>
      <c r="T26" s="364"/>
      <c r="U26" s="365"/>
      <c r="V26" s="351"/>
      <c r="W26" s="233">
        <v>2</v>
      </c>
      <c r="X26" s="207" t="s">
        <v>513</v>
      </c>
      <c r="Y26" s="230" t="str">
        <f t="shared" si="28"/>
        <v>Probabilidad</v>
      </c>
      <c r="Z26" s="185" t="s">
        <v>208</v>
      </c>
      <c r="AA26" s="185" t="s">
        <v>216</v>
      </c>
      <c r="AB26" s="186" t="str">
        <f t="shared" si="1"/>
        <v>40%</v>
      </c>
      <c r="AC26" s="185" t="s">
        <v>219</v>
      </c>
      <c r="AD26" s="185" t="s">
        <v>224</v>
      </c>
      <c r="AE26" s="185" t="s">
        <v>228</v>
      </c>
      <c r="AF26" s="187">
        <f t="shared" ref="AF26" si="40">IFERROR(IF(AND(Y25="Probabilidad",Y26="Probabilidad"),(AH25-(+AH25*AB26)),IF(Y26="Probabilidad",(Q25-(+Q25*AB26)),IF(Y26="Impacto",AH25,""))),"")</f>
        <v>0.216</v>
      </c>
      <c r="AG26" s="188" t="str">
        <f t="shared" si="29"/>
        <v>Baja</v>
      </c>
      <c r="AH26" s="186">
        <f t="shared" si="30"/>
        <v>0.216</v>
      </c>
      <c r="AI26" s="188" t="str">
        <f t="shared" ca="1" si="31"/>
        <v>Moderado</v>
      </c>
      <c r="AJ26" s="186">
        <f t="shared" ref="AJ26" ca="1" si="41">IFERROR(IF(AND(Y25="Impacto",Y26="Impacto"),(AJ25-(+AJ25*AB26)),IF(Y26="Impacto",(U25-(+U25*AB26)),IF(Y26="Probabilidad",AJ25,""))),"")</f>
        <v>0.6</v>
      </c>
      <c r="AK26" s="189" t="str">
        <f t="shared" ca="1" si="33"/>
        <v>Moderado</v>
      </c>
      <c r="AL26" s="185" t="s">
        <v>255</v>
      </c>
      <c r="AM26" s="227"/>
      <c r="AN26" s="230"/>
      <c r="AO26" s="228"/>
      <c r="AP26" s="228"/>
      <c r="AQ26" s="227"/>
      <c r="AR26" s="229"/>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c r="BO26" s="190"/>
      <c r="BP26" s="190"/>
      <c r="BQ26" s="190"/>
      <c r="BR26" s="190"/>
      <c r="BS26" s="190"/>
      <c r="BT26" s="190"/>
      <c r="BU26" s="190"/>
      <c r="BV26" s="190"/>
      <c r="BW26" s="190"/>
      <c r="BX26" s="190"/>
    </row>
    <row r="27" spans="1:76" s="191" customFormat="1" ht="136.5" customHeight="1" thickTop="1" thickBot="1" x14ac:dyDescent="0.3">
      <c r="A27" s="352">
        <v>7</v>
      </c>
      <c r="B27" s="369" t="s">
        <v>514</v>
      </c>
      <c r="C27" s="357" t="s">
        <v>266</v>
      </c>
      <c r="D27" s="357" t="s">
        <v>509</v>
      </c>
      <c r="E27" s="357" t="s">
        <v>240</v>
      </c>
      <c r="F27" s="357" t="s">
        <v>515</v>
      </c>
      <c r="G27" s="357" t="s">
        <v>1070</v>
      </c>
      <c r="H27" s="415" t="s">
        <v>1110</v>
      </c>
      <c r="I27" s="362" t="s">
        <v>474</v>
      </c>
      <c r="J27" s="362" t="s">
        <v>474</v>
      </c>
      <c r="K27" s="362" t="s">
        <v>474</v>
      </c>
      <c r="L27" s="362" t="s">
        <v>474</v>
      </c>
      <c r="M27" s="357" t="s">
        <v>239</v>
      </c>
      <c r="N27" s="357"/>
      <c r="O27" s="363">
        <v>365</v>
      </c>
      <c r="P27" s="364" t="str">
        <f>IF(O27&lt;=0,"",IF(O27&lt;=2,"Muy Baja",IF(O27&lt;=24,"Baja",IF(O27&lt;=500,"Media",IF(O27&lt;=5000,"Alta","Muy Alta")))))</f>
        <v>Media</v>
      </c>
      <c r="Q27" s="365">
        <f>IF(P27="","",IF(P27="Muy Baja",0.2,IF(P27="Baja",0.4,IF(P27="Media",0.6,IF(P27="Alta",0.8,IF(P27="Muy Alta",1,))))))</f>
        <v>0.6</v>
      </c>
      <c r="R27" s="365" t="s">
        <v>190</v>
      </c>
      <c r="S27" s="365" t="str">
        <f ca="1">IF(NOT(ISERROR(MATCH(R27,'Tabla Impacto'!$B$221:$B$223,0))),'Tabla Impacto'!$F$223&amp;"Por favor no seleccionar los criterios de impacto(Afectación Económica o presupuestal y Pérdida Reputacional)",R27)</f>
        <v>El riesgo afecta la imagen de la entidad con algunos usuarios de relevancia frente al logro de los objetivos</v>
      </c>
      <c r="T27" s="364" t="str">
        <f ca="1">+IF(OR(S27='[1]Tabla Impacto'!$C$11,S27='[1]Tabla Impacto'!$D$11),"Leve",IF(OR(S27='[1]Tabla Impacto'!$C$12,S27='[1]Tabla Impacto'!$D$12),"Menor",IF(OR(S27='[1]Tabla Impacto'!$C$13,S27='[1]Tabla Impacto'!$D$13),"Moderado",IF(OR(S27='[1]Tabla Impacto'!$C$14,S27='[1]Tabla Impacto'!$D$14),"Mayor",IF(OR(S27='[1]Tabla Impacto'!$C$15,S27='[1]Tabla Impacto'!$D$15),"Catastrófico","")))))</f>
        <v>Moderado</v>
      </c>
      <c r="U27" s="365">
        <f t="shared" ref="U27" ca="1" si="42">IF(T27="","",IF(T27="Leve",0.2,IF(T27="Menor",0.4,IF(T27="Moderado",0.6,IF(T27="Mayor",0.8,IF(T27="Catastrófico",1,))))))</f>
        <v>0.6</v>
      </c>
      <c r="V27" s="351" t="str">
        <f t="shared" ref="V27" ca="1" si="43">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33">
        <v>1</v>
      </c>
      <c r="X27" s="207" t="s">
        <v>516</v>
      </c>
      <c r="Y27" s="230" t="str">
        <f t="shared" si="28"/>
        <v>Probabilidad</v>
      </c>
      <c r="Z27" s="185" t="s">
        <v>208</v>
      </c>
      <c r="AA27" s="185" t="s">
        <v>216</v>
      </c>
      <c r="AB27" s="186" t="str">
        <f t="shared" si="1"/>
        <v>40%</v>
      </c>
      <c r="AC27" s="185" t="s">
        <v>219</v>
      </c>
      <c r="AD27" s="185" t="s">
        <v>224</v>
      </c>
      <c r="AE27" s="185" t="s">
        <v>228</v>
      </c>
      <c r="AF27" s="187">
        <f t="shared" ref="AF27" si="44">IFERROR(IF(Y27="Probabilidad",(Q27-(+Q27*AB27)),IF(Y27="Impacto",Q27,"")),"")</f>
        <v>0.36</v>
      </c>
      <c r="AG27" s="188" t="str">
        <f t="shared" si="29"/>
        <v>Baja</v>
      </c>
      <c r="AH27" s="186">
        <f t="shared" si="30"/>
        <v>0.36</v>
      </c>
      <c r="AI27" s="188" t="str">
        <f t="shared" ca="1" si="31"/>
        <v>Moderado</v>
      </c>
      <c r="AJ27" s="186">
        <f t="shared" ref="AJ27" ca="1" si="45">IFERROR(IF(Y27="Impacto",(U27-(+U27*AB27)),IF(Y27="Probabilidad",U27,"")),"")</f>
        <v>0.6</v>
      </c>
      <c r="AK27" s="189" t="str">
        <f t="shared" ca="1" si="33"/>
        <v>Moderado</v>
      </c>
      <c r="AL27" s="185" t="s">
        <v>255</v>
      </c>
      <c r="AM27" s="227"/>
      <c r="AN27" s="230"/>
      <c r="AO27" s="228"/>
      <c r="AP27" s="228"/>
      <c r="AQ27" s="227"/>
      <c r="AR27" s="229"/>
      <c r="AS27" s="190"/>
      <c r="AT27" s="190"/>
      <c r="AU27" s="190"/>
      <c r="AV27" s="190"/>
      <c r="AW27" s="190"/>
      <c r="AX27" s="190"/>
      <c r="AY27" s="190"/>
      <c r="AZ27" s="190"/>
      <c r="BA27" s="190"/>
      <c r="BB27" s="190"/>
      <c r="BC27" s="190"/>
      <c r="BD27" s="190"/>
      <c r="BE27" s="190"/>
      <c r="BF27" s="190"/>
      <c r="BG27" s="190"/>
      <c r="BH27" s="190"/>
      <c r="BI27" s="190"/>
      <c r="BJ27" s="190"/>
      <c r="BK27" s="190"/>
      <c r="BL27" s="190"/>
      <c r="BM27" s="190"/>
      <c r="BN27" s="190"/>
      <c r="BO27" s="190"/>
      <c r="BP27" s="190"/>
      <c r="BQ27" s="190"/>
      <c r="BR27" s="190"/>
      <c r="BS27" s="190"/>
      <c r="BT27" s="190"/>
      <c r="BU27" s="190"/>
      <c r="BV27" s="190"/>
      <c r="BW27" s="190"/>
      <c r="BX27" s="190"/>
    </row>
    <row r="28" spans="1:76" s="191" customFormat="1" ht="136.5" customHeight="1" thickTop="1" thickBot="1" x14ac:dyDescent="0.3">
      <c r="A28" s="352"/>
      <c r="B28" s="369"/>
      <c r="C28" s="357"/>
      <c r="D28" s="357"/>
      <c r="E28" s="357"/>
      <c r="F28" s="357"/>
      <c r="G28" s="357"/>
      <c r="H28" s="415"/>
      <c r="I28" s="362"/>
      <c r="J28" s="362"/>
      <c r="K28" s="362"/>
      <c r="L28" s="362"/>
      <c r="M28" s="357"/>
      <c r="N28" s="357"/>
      <c r="O28" s="363"/>
      <c r="P28" s="364"/>
      <c r="Q28" s="365"/>
      <c r="R28" s="365"/>
      <c r="S28" s="365">
        <f ca="1">IF(NOT(ISERROR(MATCH(R28,_xlfn.ANCHORARRAY(H33),0))),Q35&amp;"Por favor no seleccionar los criterios de impacto",R28)</f>
        <v>0</v>
      </c>
      <c r="T28" s="364"/>
      <c r="U28" s="365"/>
      <c r="V28" s="351"/>
      <c r="W28" s="233">
        <v>2</v>
      </c>
      <c r="X28" s="207" t="s">
        <v>517</v>
      </c>
      <c r="Y28" s="230" t="str">
        <f t="shared" si="28"/>
        <v>Probabilidad</v>
      </c>
      <c r="Z28" s="185" t="s">
        <v>208</v>
      </c>
      <c r="AA28" s="185" t="s">
        <v>216</v>
      </c>
      <c r="AB28" s="186" t="str">
        <f t="shared" si="1"/>
        <v>40%</v>
      </c>
      <c r="AC28" s="185" t="s">
        <v>219</v>
      </c>
      <c r="AD28" s="185" t="s">
        <v>224</v>
      </c>
      <c r="AE28" s="185" t="s">
        <v>228</v>
      </c>
      <c r="AF28" s="187">
        <f t="shared" ref="AF28" si="46">IFERROR(IF(AND(Y27="Probabilidad",Y28="Probabilidad"),(AH27-(+AH27*AB28)),IF(Y28="Probabilidad",(Q27-(+Q27*AB28)),IF(Y28="Impacto",AH27,""))),"")</f>
        <v>0.216</v>
      </c>
      <c r="AG28" s="188" t="str">
        <f t="shared" si="29"/>
        <v>Baja</v>
      </c>
      <c r="AH28" s="186">
        <f t="shared" si="30"/>
        <v>0.216</v>
      </c>
      <c r="AI28" s="188" t="str">
        <f t="shared" ca="1" si="31"/>
        <v>Moderado</v>
      </c>
      <c r="AJ28" s="186">
        <f t="shared" ref="AJ28" ca="1" si="47">IFERROR(IF(AND(Y27="Impacto",Y28="Impacto"),(AJ27-(+AJ27*AB28)),IF(Y28="Impacto",(U27-(+U27*AB28)),IF(Y28="Probabilidad",AJ27,""))),"")</f>
        <v>0.6</v>
      </c>
      <c r="AK28" s="189" t="str">
        <f t="shared" ca="1" si="33"/>
        <v>Moderado</v>
      </c>
      <c r="AL28" s="185" t="s">
        <v>255</v>
      </c>
      <c r="AM28" s="227"/>
      <c r="AN28" s="230"/>
      <c r="AO28" s="228"/>
      <c r="AP28" s="228"/>
      <c r="AQ28" s="227"/>
      <c r="AR28" s="229"/>
      <c r="AS28" s="190"/>
      <c r="AT28" s="190"/>
      <c r="AU28" s="190"/>
      <c r="AV28" s="190"/>
      <c r="AW28" s="190"/>
      <c r="AX28" s="190"/>
      <c r="AY28" s="190"/>
      <c r="AZ28" s="190"/>
      <c r="BA28" s="190"/>
      <c r="BB28" s="190"/>
      <c r="BC28" s="190"/>
      <c r="BD28" s="190"/>
      <c r="BE28" s="190"/>
      <c r="BF28" s="190"/>
      <c r="BG28" s="190"/>
      <c r="BH28" s="190"/>
      <c r="BI28" s="190"/>
      <c r="BJ28" s="190"/>
      <c r="BK28" s="190"/>
      <c r="BL28" s="190"/>
      <c r="BM28" s="190"/>
      <c r="BN28" s="190"/>
      <c r="BO28" s="190"/>
      <c r="BP28" s="190"/>
      <c r="BQ28" s="190"/>
      <c r="BR28" s="190"/>
      <c r="BS28" s="190"/>
      <c r="BT28" s="190"/>
      <c r="BU28" s="190"/>
      <c r="BV28" s="190"/>
      <c r="BW28" s="190"/>
      <c r="BX28" s="190"/>
    </row>
    <row r="29" spans="1:76" s="191" customFormat="1" ht="147" customHeight="1" thickTop="1" thickBot="1" x14ac:dyDescent="0.3">
      <c r="A29" s="352">
        <v>8</v>
      </c>
      <c r="B29" s="369" t="s">
        <v>518</v>
      </c>
      <c r="C29" s="357" t="s">
        <v>267</v>
      </c>
      <c r="D29" s="357" t="s">
        <v>1195</v>
      </c>
      <c r="E29" s="357" t="s">
        <v>240</v>
      </c>
      <c r="F29" s="375" t="s">
        <v>953</v>
      </c>
      <c r="G29" s="375" t="s">
        <v>519</v>
      </c>
      <c r="H29" s="374" t="s">
        <v>1111</v>
      </c>
      <c r="I29" s="362" t="s">
        <v>474</v>
      </c>
      <c r="J29" s="362" t="s">
        <v>474</v>
      </c>
      <c r="K29" s="362" t="s">
        <v>474</v>
      </c>
      <c r="L29" s="362" t="s">
        <v>474</v>
      </c>
      <c r="M29" s="357" t="s">
        <v>249</v>
      </c>
      <c r="N29" s="357" t="s">
        <v>520</v>
      </c>
      <c r="O29" s="363">
        <v>8640</v>
      </c>
      <c r="P29" s="364" t="str">
        <f>IF(O29&lt;=0,"",IF(O29&lt;=2,"Muy Baja",IF(O29&lt;=24,"Baja",IF(O29&lt;=500,"Media",IF(O29&lt;=5000,"Alta","Muy Alta")))))</f>
        <v>Muy Alta</v>
      </c>
      <c r="Q29" s="365">
        <f>IF(P29="","",IF(P29="Muy Baja",0.2,IF(P29="Baja",0.4,IF(P29="Media",0.6,IF(P29="Alta",0.8,IF(P29="Muy Alta",1,))))))</f>
        <v>1</v>
      </c>
      <c r="R29" s="365" t="s">
        <v>190</v>
      </c>
      <c r="S29" s="365" t="str">
        <f ca="1">IF(NOT(ISERROR(MATCH(R29,'Tabla Impacto'!$B$221:$B$223,0))),'Tabla Impacto'!$F$223&amp;"Por favor no seleccionar los criterios de impacto(Afectación Económica o presupuestal y Pérdida Reputacional)",R29)</f>
        <v>El riesgo afecta la imagen de la entidad con algunos usuarios de relevancia frente al logro de los objetivos</v>
      </c>
      <c r="T29" s="364" t="str">
        <f ca="1">+IF(OR(S29='[1]Tabla Impacto'!$C$11,S29='[1]Tabla Impacto'!$D$11),"Leve",IF(OR(S29='[1]Tabla Impacto'!$C$12,S29='[1]Tabla Impacto'!$D$12),"Menor",IF(OR(S29='[1]Tabla Impacto'!$C$13,S29='[1]Tabla Impacto'!$D$13),"Moderado",IF(OR(S29='[1]Tabla Impacto'!$C$14,S29='[1]Tabla Impacto'!$D$14),"Mayor",IF(OR(S29='[1]Tabla Impacto'!$C$15,S29='[1]Tabla Impacto'!$D$15),"Catastrófico","")))))</f>
        <v>Moderado</v>
      </c>
      <c r="U29" s="365">
        <f t="shared" ref="U29" ca="1" si="48">IF(T29="","",IF(T29="Leve",0.2,IF(T29="Menor",0.4,IF(T29="Moderado",0.6,IF(T29="Mayor",0.8,IF(T29="Catastrófico",1,))))))</f>
        <v>0.6</v>
      </c>
      <c r="V29" s="351" t="str">
        <f t="shared" ref="V29" ca="1" si="49">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33">
        <v>1</v>
      </c>
      <c r="X29" s="207" t="s">
        <v>1191</v>
      </c>
      <c r="Y29" s="230" t="str">
        <f t="shared" si="28"/>
        <v>Probabilidad</v>
      </c>
      <c r="Z29" s="185" t="s">
        <v>208</v>
      </c>
      <c r="AA29" s="185" t="s">
        <v>214</v>
      </c>
      <c r="AB29" s="186" t="str">
        <f t="shared" si="1"/>
        <v>50%</v>
      </c>
      <c r="AC29" s="185" t="s">
        <v>219</v>
      </c>
      <c r="AD29" s="185" t="s">
        <v>224</v>
      </c>
      <c r="AE29" s="185" t="s">
        <v>228</v>
      </c>
      <c r="AF29" s="187">
        <f t="shared" ref="AF29" si="50">IFERROR(IF(Y29="Probabilidad",(Q29-(+Q29*AB29)),IF(Y29="Impacto",Q29,"")),"")</f>
        <v>0.5</v>
      </c>
      <c r="AG29" s="188" t="str">
        <f t="shared" si="29"/>
        <v>Media</v>
      </c>
      <c r="AH29" s="186">
        <f t="shared" si="30"/>
        <v>0.5</v>
      </c>
      <c r="AI29" s="188" t="str">
        <f t="shared" ca="1" si="31"/>
        <v>Moderado</v>
      </c>
      <c r="AJ29" s="186">
        <f t="shared" ref="AJ29" ca="1" si="51">IFERROR(IF(Y29="Impacto",(U29-(+U29*AB29)),IF(Y29="Probabilidad",U29,"")),"")</f>
        <v>0.6</v>
      </c>
      <c r="AK29" s="189" t="str">
        <f t="shared" ca="1" si="33"/>
        <v>Moderado</v>
      </c>
      <c r="AL29" s="185" t="s">
        <v>255</v>
      </c>
      <c r="AM29" s="227"/>
      <c r="AN29" s="230"/>
      <c r="AO29" s="228"/>
      <c r="AP29" s="228"/>
      <c r="AQ29" s="227"/>
      <c r="AR29" s="229"/>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0"/>
      <c r="BW29" s="190"/>
      <c r="BX29" s="190"/>
    </row>
    <row r="30" spans="1:76" s="191" customFormat="1" ht="140.25" customHeight="1" thickTop="1" thickBot="1" x14ac:dyDescent="0.3">
      <c r="A30" s="352"/>
      <c r="B30" s="369"/>
      <c r="C30" s="357"/>
      <c r="D30" s="357"/>
      <c r="E30" s="357"/>
      <c r="F30" s="375"/>
      <c r="G30" s="375"/>
      <c r="H30" s="374"/>
      <c r="I30" s="362"/>
      <c r="J30" s="362"/>
      <c r="K30" s="362"/>
      <c r="L30" s="362"/>
      <c r="M30" s="357"/>
      <c r="N30" s="357"/>
      <c r="O30" s="363"/>
      <c r="P30" s="364"/>
      <c r="Q30" s="365"/>
      <c r="R30" s="365"/>
      <c r="S30" s="365">
        <f ca="1">IF(NOT(ISERROR(MATCH(R30,_xlfn.ANCHORARRAY(H38),0))),#REF!&amp;"Por favor no seleccionar los criterios de impacto",R30)</f>
        <v>0</v>
      </c>
      <c r="T30" s="364"/>
      <c r="U30" s="365"/>
      <c r="V30" s="351"/>
      <c r="W30" s="233">
        <v>2</v>
      </c>
      <c r="X30" s="207" t="s">
        <v>1192</v>
      </c>
      <c r="Y30" s="230" t="str">
        <f t="shared" si="28"/>
        <v>Probabilidad</v>
      </c>
      <c r="Z30" s="185" t="s">
        <v>208</v>
      </c>
      <c r="AA30" s="185" t="s">
        <v>216</v>
      </c>
      <c r="AB30" s="186" t="str">
        <f t="shared" si="1"/>
        <v>40%</v>
      </c>
      <c r="AC30" s="185" t="s">
        <v>219</v>
      </c>
      <c r="AD30" s="185" t="s">
        <v>224</v>
      </c>
      <c r="AE30" s="185" t="s">
        <v>228</v>
      </c>
      <c r="AF30" s="187">
        <f t="shared" ref="AF30:AF32" si="52">IFERROR(IF(AND(Y29="Probabilidad",Y30="Probabilidad"),(AH29-(+AH29*AB30)),IF(Y30="Probabilidad",(Q29-(+Q29*AB30)),IF(Y30="Impacto",AH29,""))),"")</f>
        <v>0.3</v>
      </c>
      <c r="AG30" s="188" t="str">
        <f t="shared" si="29"/>
        <v>Baja</v>
      </c>
      <c r="AH30" s="186">
        <f t="shared" si="30"/>
        <v>0.3</v>
      </c>
      <c r="AI30" s="188" t="str">
        <f t="shared" ca="1" si="31"/>
        <v>Moderado</v>
      </c>
      <c r="AJ30" s="186">
        <f t="shared" ref="AJ30" ca="1" si="53">IFERROR(IF(AND(Y29="Impacto",Y30="Impacto"),(AJ29-(+AJ29*AB30)),IF(Y30="Impacto",(U29-(+U29*AB30)),IF(Y30="Probabilidad",AJ29,""))),"")</f>
        <v>0.6</v>
      </c>
      <c r="AK30" s="189" t="str">
        <f t="shared" ca="1" si="33"/>
        <v>Moderado</v>
      </c>
      <c r="AL30" s="185" t="s">
        <v>255</v>
      </c>
      <c r="AM30" s="227"/>
      <c r="AN30" s="230"/>
      <c r="AO30" s="228"/>
      <c r="AP30" s="228"/>
      <c r="AQ30" s="227"/>
      <c r="AR30" s="229"/>
      <c r="AS30" s="190"/>
      <c r="AT30" s="190"/>
      <c r="AU30" s="190"/>
      <c r="AV30" s="190"/>
      <c r="AW30" s="190"/>
      <c r="AX30" s="190"/>
      <c r="AY30" s="190"/>
      <c r="AZ30" s="190"/>
      <c r="BA30" s="190"/>
      <c r="BB30" s="190"/>
      <c r="BC30" s="190"/>
      <c r="BD30" s="190"/>
      <c r="BE30" s="190"/>
      <c r="BF30" s="190"/>
      <c r="BG30" s="190"/>
      <c r="BH30" s="190"/>
      <c r="BI30" s="190"/>
      <c r="BJ30" s="190"/>
      <c r="BK30" s="190"/>
      <c r="BL30" s="190"/>
      <c r="BM30" s="190"/>
      <c r="BN30" s="190"/>
      <c r="BO30" s="190"/>
      <c r="BP30" s="190"/>
      <c r="BQ30" s="190"/>
      <c r="BR30" s="190"/>
      <c r="BS30" s="190"/>
      <c r="BT30" s="190"/>
      <c r="BU30" s="190"/>
      <c r="BV30" s="190"/>
      <c r="BW30" s="190"/>
      <c r="BX30" s="190"/>
    </row>
    <row r="31" spans="1:76" s="191" customFormat="1" ht="138.75" customHeight="1" thickTop="1" thickBot="1" x14ac:dyDescent="0.3">
      <c r="A31" s="352"/>
      <c r="B31" s="369"/>
      <c r="C31" s="357"/>
      <c r="D31" s="357"/>
      <c r="E31" s="357"/>
      <c r="F31" s="375"/>
      <c r="G31" s="375"/>
      <c r="H31" s="374"/>
      <c r="I31" s="362"/>
      <c r="J31" s="362"/>
      <c r="K31" s="362"/>
      <c r="L31" s="362"/>
      <c r="M31" s="357"/>
      <c r="N31" s="357"/>
      <c r="O31" s="363"/>
      <c r="P31" s="364"/>
      <c r="Q31" s="365"/>
      <c r="R31" s="365"/>
      <c r="S31" s="365">
        <f ca="1">IF(NOT(ISERROR(MATCH(R31,_xlfn.ANCHORARRAY(H39),0))),#REF!&amp;"Por favor no seleccionar los criterios de impacto",R31)</f>
        <v>0</v>
      </c>
      <c r="T31" s="364"/>
      <c r="U31" s="365"/>
      <c r="V31" s="351"/>
      <c r="W31" s="233">
        <v>3</v>
      </c>
      <c r="X31" s="207" t="s">
        <v>1193</v>
      </c>
      <c r="Y31" s="230" t="str">
        <f t="shared" si="28"/>
        <v>Probabilidad</v>
      </c>
      <c r="Z31" s="185" t="s">
        <v>208</v>
      </c>
      <c r="AA31" s="185" t="s">
        <v>216</v>
      </c>
      <c r="AB31" s="186" t="str">
        <f t="shared" si="1"/>
        <v>40%</v>
      </c>
      <c r="AC31" s="185" t="s">
        <v>219</v>
      </c>
      <c r="AD31" s="185" t="s">
        <v>224</v>
      </c>
      <c r="AE31" s="185" t="s">
        <v>228</v>
      </c>
      <c r="AF31" s="187">
        <f t="shared" si="52"/>
        <v>0.18</v>
      </c>
      <c r="AG31" s="188" t="str">
        <f t="shared" si="29"/>
        <v>Muy Baja</v>
      </c>
      <c r="AH31" s="186">
        <f t="shared" si="30"/>
        <v>0.18</v>
      </c>
      <c r="AI31" s="188" t="str">
        <f t="shared" ca="1" si="31"/>
        <v>Moderado</v>
      </c>
      <c r="AJ31" s="186">
        <f t="shared" ref="AJ31:AJ32" ca="1" si="54">IFERROR(IF(AND(Y30="Impacto",Y31="Impacto"),(AJ30-(+AJ30*AB31)),IF(AND(Y30="Probabilidad",Y31="Impacto"),(AJ29-(+AJ29*AB31)),IF(Y31="Probabilidad",AJ30,""))),"")</f>
        <v>0.6</v>
      </c>
      <c r="AK31" s="189" t="str">
        <f t="shared" ca="1" si="33"/>
        <v>Moderado</v>
      </c>
      <c r="AL31" s="185" t="s">
        <v>255</v>
      </c>
      <c r="AM31" s="227"/>
      <c r="AN31" s="230"/>
      <c r="AO31" s="228"/>
      <c r="AP31" s="228"/>
      <c r="AQ31" s="227"/>
      <c r="AR31" s="229"/>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row>
    <row r="32" spans="1:76" s="191" customFormat="1" ht="116.25" customHeight="1" thickTop="1" thickBot="1" x14ac:dyDescent="0.3">
      <c r="A32" s="352"/>
      <c r="B32" s="369"/>
      <c r="C32" s="357"/>
      <c r="D32" s="357"/>
      <c r="E32" s="357"/>
      <c r="F32" s="375"/>
      <c r="G32" s="375"/>
      <c r="H32" s="374"/>
      <c r="I32" s="362"/>
      <c r="J32" s="362"/>
      <c r="K32" s="362"/>
      <c r="L32" s="362"/>
      <c r="M32" s="357"/>
      <c r="N32" s="357"/>
      <c r="O32" s="363"/>
      <c r="P32" s="364"/>
      <c r="Q32" s="365"/>
      <c r="R32" s="365"/>
      <c r="S32" s="365">
        <f ca="1">IF(NOT(ISERROR(MATCH(R32,_xlfn.ANCHORARRAY(#REF!),0))),#REF!&amp;"Por favor no seleccionar los criterios de impacto",R32)</f>
        <v>0</v>
      </c>
      <c r="T32" s="364"/>
      <c r="U32" s="365"/>
      <c r="V32" s="351"/>
      <c r="W32" s="233">
        <v>4</v>
      </c>
      <c r="X32" s="207" t="s">
        <v>1194</v>
      </c>
      <c r="Y32" s="230" t="str">
        <f t="shared" si="28"/>
        <v>Impacto</v>
      </c>
      <c r="Z32" s="185" t="s">
        <v>212</v>
      </c>
      <c r="AA32" s="185" t="s">
        <v>216</v>
      </c>
      <c r="AB32" s="186" t="str">
        <f t="shared" si="1"/>
        <v>25%</v>
      </c>
      <c r="AC32" s="185" t="s">
        <v>219</v>
      </c>
      <c r="AD32" s="185" t="s">
        <v>226</v>
      </c>
      <c r="AE32" s="185" t="s">
        <v>228</v>
      </c>
      <c r="AF32" s="187">
        <f t="shared" si="52"/>
        <v>0.18</v>
      </c>
      <c r="AG32" s="188" t="str">
        <f t="shared" si="29"/>
        <v>Muy Baja</v>
      </c>
      <c r="AH32" s="186">
        <f t="shared" si="30"/>
        <v>0.18</v>
      </c>
      <c r="AI32" s="188" t="str">
        <f t="shared" ca="1" si="31"/>
        <v>Moderado</v>
      </c>
      <c r="AJ32" s="186">
        <f t="shared" ca="1" si="54"/>
        <v>0.44999999999999996</v>
      </c>
      <c r="AK32" s="189" t="str">
        <f t="shared" ca="1" si="33"/>
        <v>Moderado</v>
      </c>
      <c r="AL32" s="185" t="s">
        <v>255</v>
      </c>
      <c r="AM32" s="227"/>
      <c r="AN32" s="230"/>
      <c r="AO32" s="228"/>
      <c r="AP32" s="228"/>
      <c r="AQ32" s="227"/>
      <c r="AR32" s="229"/>
      <c r="AS32" s="190"/>
      <c r="AT32" s="190"/>
      <c r="AU32" s="190"/>
      <c r="AV32" s="190"/>
      <c r="AW32" s="190"/>
      <c r="AX32" s="190"/>
      <c r="AY32" s="190"/>
      <c r="AZ32" s="190"/>
      <c r="BA32" s="190"/>
      <c r="BB32" s="190"/>
      <c r="BC32" s="190"/>
      <c r="BD32" s="190"/>
      <c r="BE32" s="190"/>
      <c r="BF32" s="190"/>
      <c r="BG32" s="190"/>
      <c r="BH32" s="190"/>
      <c r="BI32" s="190"/>
      <c r="BJ32" s="190"/>
      <c r="BK32" s="190"/>
      <c r="BL32" s="190"/>
      <c r="BM32" s="190"/>
      <c r="BN32" s="190"/>
      <c r="BO32" s="190"/>
      <c r="BP32" s="190"/>
      <c r="BQ32" s="190"/>
      <c r="BR32" s="190"/>
      <c r="BS32" s="190"/>
      <c r="BT32" s="190"/>
      <c r="BU32" s="190"/>
      <c r="BV32" s="190"/>
      <c r="BW32" s="190"/>
      <c r="BX32" s="190"/>
    </row>
    <row r="33" spans="1:76" s="191" customFormat="1" ht="159.75" customHeight="1" thickTop="1" thickBot="1" x14ac:dyDescent="0.3">
      <c r="A33" s="352">
        <v>9</v>
      </c>
      <c r="B33" s="369" t="s">
        <v>521</v>
      </c>
      <c r="C33" s="357" t="s">
        <v>267</v>
      </c>
      <c r="D33" s="357" t="s">
        <v>1205</v>
      </c>
      <c r="E33" s="357" t="s">
        <v>238</v>
      </c>
      <c r="F33" s="375" t="s">
        <v>522</v>
      </c>
      <c r="G33" s="375" t="s">
        <v>523</v>
      </c>
      <c r="H33" s="374" t="s">
        <v>1112</v>
      </c>
      <c r="I33" s="362" t="s">
        <v>474</v>
      </c>
      <c r="J33" s="362" t="s">
        <v>474</v>
      </c>
      <c r="K33" s="362" t="s">
        <v>474</v>
      </c>
      <c r="L33" s="362" t="s">
        <v>474</v>
      </c>
      <c r="M33" s="357" t="s">
        <v>250</v>
      </c>
      <c r="N33" s="357" t="s">
        <v>520</v>
      </c>
      <c r="O33" s="363">
        <v>52</v>
      </c>
      <c r="P33" s="364" t="str">
        <f>IF(O33&lt;=0,"",IF(O33&lt;=2,"Muy Baja",IF(O33&lt;=24,"Baja",IF(O33&lt;=500,"Media",IF(O33&lt;=5000,"Alta","Muy Alta")))))</f>
        <v>Media</v>
      </c>
      <c r="Q33" s="365">
        <f>IF(P33="","",IF(P33="Muy Baja",0.2,IF(P33="Baja",0.4,IF(P33="Media",0.6,IF(P33="Alta",0.8,IF(P33="Muy Alta",1,))))))</f>
        <v>0.6</v>
      </c>
      <c r="R33" s="365" t="s">
        <v>196</v>
      </c>
      <c r="S33" s="365" t="str">
        <f ca="1">IF(NOT(ISERROR(MATCH(R33,'Tabla Impacto'!$B$221:$B$223,0))),'Tabla Impacto'!$F$223&amp;"Por favor no seleccionar los criterios de impacto(Afectación Económica o presupuestal y Pérdida Reputacional)",R33)</f>
        <v>El riesgo afecta la imagen de la entidad a nivel nacional, con efecto publicitarios sostenible a nivel país</v>
      </c>
      <c r="T33" s="364" t="str">
        <f ca="1">+IF(OR(S33='[1]Tabla Impacto'!$C$11,S33='[1]Tabla Impacto'!$D$11),"Leve",IF(OR(S33='[1]Tabla Impacto'!$C$12,S33='[1]Tabla Impacto'!$D$12),"Menor",IF(OR(S33='[1]Tabla Impacto'!$C$13,S33='[1]Tabla Impacto'!$D$13),"Moderado",IF(OR(S33='[1]Tabla Impacto'!$C$14,S33='[1]Tabla Impacto'!$D$14),"Mayor",IF(OR(S33='[1]Tabla Impacto'!$C$15,S33='[1]Tabla Impacto'!$D$15),"Catastrófico","")))))</f>
        <v>Catastrófico</v>
      </c>
      <c r="U33" s="365">
        <f t="shared" ref="U33" ca="1" si="55">IF(T33="","",IF(T33="Leve",0.2,IF(T33="Menor",0.4,IF(T33="Moderado",0.6,IF(T33="Mayor",0.8,IF(T33="Catastrófico",1,))))))</f>
        <v>1</v>
      </c>
      <c r="V33" s="351" t="str">
        <f t="shared" ref="V33" ca="1" si="56">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33">
        <v>1</v>
      </c>
      <c r="X33" s="207" t="s">
        <v>1198</v>
      </c>
      <c r="Y33" s="230" t="str">
        <f t="shared" si="28"/>
        <v>Probabilidad</v>
      </c>
      <c r="Z33" s="185" t="s">
        <v>208</v>
      </c>
      <c r="AA33" s="185" t="s">
        <v>216</v>
      </c>
      <c r="AB33" s="186" t="str">
        <f t="shared" si="1"/>
        <v>40%</v>
      </c>
      <c r="AC33" s="185" t="s">
        <v>219</v>
      </c>
      <c r="AD33" s="185" t="s">
        <v>224</v>
      </c>
      <c r="AE33" s="185" t="s">
        <v>228</v>
      </c>
      <c r="AF33" s="187">
        <f t="shared" ref="AF33" si="57">IFERROR(IF(Y33="Probabilidad",(Q33-(+Q33*AB33)),IF(Y33="Impacto",Q33,"")),"")</f>
        <v>0.36</v>
      </c>
      <c r="AG33" s="188" t="str">
        <f t="shared" si="29"/>
        <v>Baja</v>
      </c>
      <c r="AH33" s="186">
        <f t="shared" si="30"/>
        <v>0.36</v>
      </c>
      <c r="AI33" s="188" t="str">
        <f t="shared" ca="1" si="31"/>
        <v>Catastrófico</v>
      </c>
      <c r="AJ33" s="186">
        <f t="shared" ref="AJ33" ca="1" si="58">IFERROR(IF(Y33="Impacto",(U33-(+U33*AB33)),IF(Y33="Probabilidad",U33,"")),"")</f>
        <v>1</v>
      </c>
      <c r="AK33" s="189" t="str">
        <f t="shared" ca="1" si="33"/>
        <v>Extremo</v>
      </c>
      <c r="AL33" s="185" t="s">
        <v>262</v>
      </c>
      <c r="AM33" s="227" t="s">
        <v>525</v>
      </c>
      <c r="AN33" s="227" t="s">
        <v>526</v>
      </c>
      <c r="AO33" s="228" t="s">
        <v>979</v>
      </c>
      <c r="AP33" s="228" t="s">
        <v>527</v>
      </c>
      <c r="AQ33" s="227" t="s">
        <v>528</v>
      </c>
      <c r="AR33" s="229" t="s">
        <v>259</v>
      </c>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row>
    <row r="34" spans="1:76" s="191" customFormat="1" ht="159.75" customHeight="1" thickTop="1" thickBot="1" x14ac:dyDescent="0.3">
      <c r="A34" s="352"/>
      <c r="B34" s="369"/>
      <c r="C34" s="357"/>
      <c r="D34" s="357"/>
      <c r="E34" s="357"/>
      <c r="F34" s="375"/>
      <c r="G34" s="375"/>
      <c r="H34" s="374"/>
      <c r="I34" s="362"/>
      <c r="J34" s="362"/>
      <c r="K34" s="362"/>
      <c r="L34" s="362"/>
      <c r="M34" s="357"/>
      <c r="N34" s="357"/>
      <c r="O34" s="363"/>
      <c r="P34" s="364"/>
      <c r="Q34" s="365"/>
      <c r="R34" s="365"/>
      <c r="S34" s="365">
        <f ca="1">IF(NOT(ISERROR(MATCH(R34,_xlfn.ANCHORARRAY(H40),0))),#REF!&amp;"Por favor no seleccionar los criterios de impacto",R34)</f>
        <v>0</v>
      </c>
      <c r="T34" s="364"/>
      <c r="U34" s="365"/>
      <c r="V34" s="351"/>
      <c r="W34" s="233">
        <v>2</v>
      </c>
      <c r="X34" s="207" t="s">
        <v>1196</v>
      </c>
      <c r="Y34" s="230" t="str">
        <f t="shared" si="28"/>
        <v>Probabilidad</v>
      </c>
      <c r="Z34" s="185" t="s">
        <v>208</v>
      </c>
      <c r="AA34" s="185" t="s">
        <v>216</v>
      </c>
      <c r="AB34" s="186" t="str">
        <f t="shared" si="1"/>
        <v>40%</v>
      </c>
      <c r="AC34" s="185" t="s">
        <v>219</v>
      </c>
      <c r="AD34" s="185" t="s">
        <v>224</v>
      </c>
      <c r="AE34" s="185" t="s">
        <v>228</v>
      </c>
      <c r="AF34" s="187">
        <f>IFERROR(IF(AND(Y33="Probabilidad",Y34="Probabilidad"),(AH33-(+AH33*AB34)),IF(Y34="Probabilidad",(Q33-(+Q33*AB34)),IF(Y34="Impacto",AH33,""))),"")</f>
        <v>0.216</v>
      </c>
      <c r="AG34" s="188" t="str">
        <f t="shared" si="29"/>
        <v>Baja</v>
      </c>
      <c r="AH34" s="186">
        <f t="shared" si="30"/>
        <v>0.216</v>
      </c>
      <c r="AI34" s="188" t="str">
        <f t="shared" ca="1" si="31"/>
        <v>Catastrófico</v>
      </c>
      <c r="AJ34" s="186">
        <f ca="1">IFERROR(IF(AND(Y33="Impacto",Y34="Impacto"),(AJ33-(+AJ33*AB34)),IF(Y34="Impacto",(U33-(+U33*AB34)),IF(Y34="Probabilidad",AJ33,""))),"")</f>
        <v>1</v>
      </c>
      <c r="AK34" s="189" t="str">
        <f t="shared" ca="1" si="33"/>
        <v>Extremo</v>
      </c>
      <c r="AL34" s="185" t="s">
        <v>262</v>
      </c>
      <c r="AM34" s="227" t="s">
        <v>529</v>
      </c>
      <c r="AN34" s="227" t="s">
        <v>526</v>
      </c>
      <c r="AO34" s="228" t="s">
        <v>979</v>
      </c>
      <c r="AP34" s="228" t="s">
        <v>527</v>
      </c>
      <c r="AQ34" s="227" t="s">
        <v>530</v>
      </c>
      <c r="AR34" s="229" t="s">
        <v>259</v>
      </c>
      <c r="AS34" s="190"/>
      <c r="AT34" s="190"/>
      <c r="AU34" s="190"/>
      <c r="AV34" s="190"/>
      <c r="AW34" s="190"/>
      <c r="AX34" s="190"/>
      <c r="AY34" s="190"/>
      <c r="AZ34" s="190"/>
      <c r="BA34" s="190"/>
      <c r="BB34" s="190"/>
      <c r="BC34" s="190"/>
      <c r="BD34" s="190"/>
      <c r="BE34" s="190"/>
      <c r="BF34" s="190"/>
      <c r="BG34" s="190"/>
      <c r="BH34" s="190"/>
      <c r="BI34" s="190"/>
      <c r="BJ34" s="190"/>
      <c r="BK34" s="190"/>
      <c r="BL34" s="190"/>
      <c r="BM34" s="190"/>
      <c r="BN34" s="190"/>
      <c r="BO34" s="190"/>
      <c r="BP34" s="190"/>
      <c r="BQ34" s="190"/>
      <c r="BR34" s="190"/>
      <c r="BS34" s="190"/>
      <c r="BT34" s="190"/>
      <c r="BU34" s="190"/>
      <c r="BV34" s="190"/>
      <c r="BW34" s="190"/>
      <c r="BX34" s="190"/>
    </row>
    <row r="35" spans="1:76" s="191" customFormat="1" ht="151.5" customHeight="1" thickTop="1" thickBot="1" x14ac:dyDescent="0.3">
      <c r="A35" s="352"/>
      <c r="B35" s="369"/>
      <c r="C35" s="357"/>
      <c r="D35" s="357"/>
      <c r="E35" s="357"/>
      <c r="F35" s="375"/>
      <c r="G35" s="375"/>
      <c r="H35" s="374"/>
      <c r="I35" s="362"/>
      <c r="J35" s="362"/>
      <c r="K35" s="362"/>
      <c r="L35" s="362"/>
      <c r="M35" s="357"/>
      <c r="N35" s="357"/>
      <c r="O35" s="363"/>
      <c r="P35" s="364"/>
      <c r="Q35" s="365"/>
      <c r="R35" s="365"/>
      <c r="S35" s="365">
        <f ca="1">IF(NOT(ISERROR(MATCH(R35,_xlfn.ANCHORARRAY(H41),0))),#REF!&amp;"Por favor no seleccionar los criterios de impacto",R35)</f>
        <v>0</v>
      </c>
      <c r="T35" s="364"/>
      <c r="U35" s="365"/>
      <c r="V35" s="351"/>
      <c r="W35" s="233">
        <v>3</v>
      </c>
      <c r="X35" s="207" t="s">
        <v>524</v>
      </c>
      <c r="Y35" s="230" t="str">
        <f>IF(OR(Z35="Preventivo",Z35="Detectivo"),"Probabilidad",IF(Z35="Correctivo","Impacto",""))</f>
        <v>Probabilidad</v>
      </c>
      <c r="Z35" s="185" t="s">
        <v>210</v>
      </c>
      <c r="AA35" s="185" t="s">
        <v>216</v>
      </c>
      <c r="AB35" s="186" t="str">
        <f t="shared" si="1"/>
        <v>30%</v>
      </c>
      <c r="AC35" s="185" t="s">
        <v>219</v>
      </c>
      <c r="AD35" s="185" t="s">
        <v>224</v>
      </c>
      <c r="AE35" s="185" t="s">
        <v>228</v>
      </c>
      <c r="AF35" s="187">
        <f>IFERROR(IF(AND(Y34="Probabilidad",Y35="Probabilidad"),(AH34-(+AH34*AB35)),IF(Y35="Probabilidad",(Q34-(+Q34*AB35)),IF(Y35="Impacto",AH34,""))),"")</f>
        <v>0.1512</v>
      </c>
      <c r="AG35" s="188" t="str">
        <f t="shared" si="29"/>
        <v>Muy Baja</v>
      </c>
      <c r="AH35" s="186">
        <f t="shared" si="30"/>
        <v>0.1512</v>
      </c>
      <c r="AI35" s="188" t="str">
        <f t="shared" ca="1" si="31"/>
        <v>Catastrófico</v>
      </c>
      <c r="AJ35" s="186">
        <f ca="1">IFERROR(IF(AND(Y34="Impacto",Y35="Impacto"),(AJ34-(+AJ34*AB35)),IF(AND(Y34="Probabilidad",Y35="Impacto"),(AJ33-(+AJ33*AB35)),IF(Y35="Probabilidad",AJ34,""))),"")</f>
        <v>1</v>
      </c>
      <c r="AK35" s="189" t="str">
        <f t="shared" ca="1" si="33"/>
        <v>Extremo</v>
      </c>
      <c r="AL35" s="185" t="s">
        <v>262</v>
      </c>
      <c r="AM35" s="227"/>
      <c r="AN35" s="230"/>
      <c r="AO35" s="228"/>
      <c r="AP35" s="228"/>
      <c r="AQ35" s="227"/>
      <c r="AR35" s="229"/>
      <c r="AS35" s="190"/>
      <c r="AT35" s="190"/>
      <c r="AU35" s="190"/>
      <c r="AV35" s="190"/>
      <c r="AW35" s="190"/>
      <c r="AX35" s="190"/>
      <c r="AY35" s="190"/>
      <c r="AZ35" s="190"/>
      <c r="BA35" s="190"/>
      <c r="BB35" s="190"/>
      <c r="BC35" s="190"/>
      <c r="BD35" s="190"/>
      <c r="BE35" s="190"/>
      <c r="BF35" s="190"/>
      <c r="BG35" s="190"/>
      <c r="BH35" s="190"/>
      <c r="BI35" s="190"/>
      <c r="BJ35" s="190"/>
      <c r="BK35" s="190"/>
      <c r="BL35" s="190"/>
      <c r="BM35" s="190"/>
      <c r="BN35" s="190"/>
      <c r="BO35" s="190"/>
      <c r="BP35" s="190"/>
      <c r="BQ35" s="190"/>
      <c r="BR35" s="190"/>
      <c r="BS35" s="190"/>
      <c r="BT35" s="190"/>
      <c r="BU35" s="190"/>
      <c r="BV35" s="190"/>
      <c r="BW35" s="190"/>
      <c r="BX35" s="190"/>
    </row>
    <row r="36" spans="1:76" s="191" customFormat="1" ht="159.75" customHeight="1" thickTop="1" thickBot="1" x14ac:dyDescent="0.3">
      <c r="A36" s="352"/>
      <c r="B36" s="369"/>
      <c r="C36" s="357"/>
      <c r="D36" s="357"/>
      <c r="E36" s="357"/>
      <c r="F36" s="375"/>
      <c r="G36" s="375"/>
      <c r="H36" s="374"/>
      <c r="I36" s="362"/>
      <c r="J36" s="362"/>
      <c r="K36" s="362"/>
      <c r="L36" s="362"/>
      <c r="M36" s="357"/>
      <c r="N36" s="357"/>
      <c r="O36" s="363"/>
      <c r="P36" s="364"/>
      <c r="Q36" s="365"/>
      <c r="R36" s="365"/>
      <c r="S36" s="365">
        <f ca="1">IF(NOT(ISERROR(MATCH(R36,_xlfn.ANCHORARRAY(#REF!),0))),#REF!&amp;"Por favor no seleccionar los criterios de impacto",R36)</f>
        <v>0</v>
      </c>
      <c r="T36" s="364"/>
      <c r="U36" s="365"/>
      <c r="V36" s="351"/>
      <c r="W36" s="233">
        <v>4</v>
      </c>
      <c r="X36" s="207" t="s">
        <v>1197</v>
      </c>
      <c r="Y36" s="230" t="str">
        <f>IF(OR(Z36="Preventivo",Z36="Detectivo"),"Probabilidad",IF(Z36="Correctivo","Impacto",""))</f>
        <v>Probabilidad</v>
      </c>
      <c r="Z36" s="185" t="s">
        <v>208</v>
      </c>
      <c r="AA36" s="185" t="s">
        <v>214</v>
      </c>
      <c r="AB36" s="186" t="str">
        <f t="shared" si="1"/>
        <v>50%</v>
      </c>
      <c r="AC36" s="185" t="s">
        <v>219</v>
      </c>
      <c r="AD36" s="185" t="s">
        <v>224</v>
      </c>
      <c r="AE36" s="185" t="s">
        <v>228</v>
      </c>
      <c r="AF36" s="187">
        <f>IFERROR(IF(AND(Y35="Probabilidad",Y36="Probabilidad"),(AH35-(+AH35*AB36)),IF(Y36="Probabilidad",(Q35-(+Q35*AB36)),IF(Y36="Impacto",AH35,""))),"")</f>
        <v>7.5600000000000001E-2</v>
      </c>
      <c r="AG36" s="188" t="str">
        <f t="shared" si="29"/>
        <v>Muy Baja</v>
      </c>
      <c r="AH36" s="186">
        <f t="shared" si="30"/>
        <v>7.5600000000000001E-2</v>
      </c>
      <c r="AI36" s="188" t="str">
        <f t="shared" ca="1" si="31"/>
        <v>Catastrófico</v>
      </c>
      <c r="AJ36" s="186">
        <f ca="1">IFERROR(IF(AND(Y35="Impacto",Y36="Impacto"),(AJ35-(+AJ35*AB36)),IF(AND(Y35="Probabilidad",Y36="Impacto"),(AJ34-(+AJ34*AB36)),IF(Y36="Probabilidad",AJ35,""))),"")</f>
        <v>1</v>
      </c>
      <c r="AK36" s="189" t="str">
        <f t="shared" ca="1" si="33"/>
        <v>Extremo</v>
      </c>
      <c r="AL36" s="185" t="s">
        <v>262</v>
      </c>
      <c r="AM36" s="227"/>
      <c r="AN36" s="230"/>
      <c r="AO36" s="228"/>
      <c r="AP36" s="228"/>
      <c r="AQ36" s="227"/>
      <c r="AR36" s="229"/>
      <c r="AS36" s="190"/>
      <c r="AT36" s="190"/>
      <c r="AU36" s="190"/>
      <c r="AV36" s="190"/>
      <c r="AW36" s="190"/>
      <c r="AX36" s="190"/>
      <c r="AY36" s="190"/>
      <c r="AZ36" s="190"/>
      <c r="BA36" s="190"/>
      <c r="BB36" s="190"/>
      <c r="BC36" s="190"/>
      <c r="BD36" s="190"/>
      <c r="BE36" s="190"/>
      <c r="BF36" s="190"/>
      <c r="BG36" s="190"/>
      <c r="BH36" s="190"/>
      <c r="BI36" s="190"/>
      <c r="BJ36" s="190"/>
      <c r="BK36" s="190"/>
      <c r="BL36" s="190"/>
      <c r="BM36" s="190"/>
      <c r="BN36" s="190"/>
      <c r="BO36" s="190"/>
      <c r="BP36" s="190"/>
      <c r="BQ36" s="190"/>
      <c r="BR36" s="190"/>
      <c r="BS36" s="190"/>
      <c r="BT36" s="190"/>
      <c r="BU36" s="190"/>
      <c r="BV36" s="190"/>
      <c r="BW36" s="190"/>
      <c r="BX36" s="190"/>
    </row>
    <row r="37" spans="1:76" s="191" customFormat="1" ht="159.75" customHeight="1" thickTop="1" thickBot="1" x14ac:dyDescent="0.3">
      <c r="A37" s="352"/>
      <c r="B37" s="369"/>
      <c r="C37" s="357"/>
      <c r="D37" s="357"/>
      <c r="E37" s="357"/>
      <c r="F37" s="375"/>
      <c r="G37" s="375"/>
      <c r="H37" s="374"/>
      <c r="I37" s="362"/>
      <c r="J37" s="362"/>
      <c r="K37" s="362"/>
      <c r="L37" s="362"/>
      <c r="M37" s="357"/>
      <c r="N37" s="357"/>
      <c r="O37" s="363"/>
      <c r="P37" s="364"/>
      <c r="Q37" s="365"/>
      <c r="R37" s="365"/>
      <c r="S37" s="365">
        <f ca="1">IF(NOT(ISERROR(MATCH(R37,_xlfn.ANCHORARRAY(#REF!),0))),#REF!&amp;"Por favor no seleccionar los criterios de impacto",R37)</f>
        <v>0</v>
      </c>
      <c r="T37" s="364"/>
      <c r="U37" s="365"/>
      <c r="V37" s="351"/>
      <c r="W37" s="233">
        <v>5</v>
      </c>
      <c r="X37" s="207" t="s">
        <v>1199</v>
      </c>
      <c r="Y37" s="230" t="str">
        <f>IF(OR(Z37="Preventivo",Z37="Detectivo"),"Probabilidad",IF(Z37="Correctivo","Impacto",""))</f>
        <v>Probabilidad</v>
      </c>
      <c r="Z37" s="185" t="s">
        <v>210</v>
      </c>
      <c r="AA37" s="185" t="s">
        <v>214</v>
      </c>
      <c r="AB37" s="186" t="str">
        <f t="shared" si="1"/>
        <v>40%</v>
      </c>
      <c r="AC37" s="185" t="s">
        <v>219</v>
      </c>
      <c r="AD37" s="185" t="s">
        <v>224</v>
      </c>
      <c r="AE37" s="185" t="s">
        <v>228</v>
      </c>
      <c r="AF37" s="187">
        <f>IFERROR(IF(AND(Y36="Probabilidad",Y37="Probabilidad"),(AH36-(+AH36*AB37)),IF(Y37="Probabilidad",(Q36-(+Q36*AB37)),IF(Y37="Impacto",AH36,""))),"")</f>
        <v>4.5359999999999998E-2</v>
      </c>
      <c r="AG37" s="188" t="str">
        <f t="shared" si="29"/>
        <v>Muy Baja</v>
      </c>
      <c r="AH37" s="186">
        <f t="shared" si="30"/>
        <v>4.5359999999999998E-2</v>
      </c>
      <c r="AI37" s="188" t="str">
        <f t="shared" ca="1" si="31"/>
        <v>Catastrófico</v>
      </c>
      <c r="AJ37" s="186">
        <f ca="1">IFERROR(IF(AND(Y36="Impacto",Y37="Impacto"),(AJ36-(+AJ36*AB37)),IF(AND(Y36="Probabilidad",Y37="Impacto"),(AJ35-(+AJ35*AB37)),IF(Y37="Probabilidad",AJ36,""))),"")</f>
        <v>1</v>
      </c>
      <c r="AK37" s="189" t="str">
        <f t="shared" ca="1" si="33"/>
        <v>Extremo</v>
      </c>
      <c r="AL37" s="185" t="s">
        <v>262</v>
      </c>
      <c r="AM37" s="227"/>
      <c r="AN37" s="230"/>
      <c r="AO37" s="228"/>
      <c r="AP37" s="228"/>
      <c r="AQ37" s="227"/>
      <c r="AR37" s="229"/>
      <c r="AS37" s="190"/>
      <c r="AT37" s="190"/>
      <c r="AU37" s="190"/>
      <c r="AV37" s="190"/>
      <c r="AW37" s="190"/>
      <c r="AX37" s="190"/>
      <c r="AY37" s="190"/>
      <c r="AZ37" s="190"/>
      <c r="BA37" s="190"/>
      <c r="BB37" s="190"/>
      <c r="BC37" s="190"/>
      <c r="BD37" s="190"/>
      <c r="BE37" s="190"/>
      <c r="BF37" s="190"/>
      <c r="BG37" s="190"/>
      <c r="BH37" s="190"/>
      <c r="BI37" s="190"/>
      <c r="BJ37" s="190"/>
      <c r="BK37" s="190"/>
      <c r="BL37" s="190"/>
      <c r="BM37" s="190"/>
      <c r="BN37" s="190"/>
      <c r="BO37" s="190"/>
      <c r="BP37" s="190"/>
      <c r="BQ37" s="190"/>
      <c r="BR37" s="190"/>
      <c r="BS37" s="190"/>
      <c r="BT37" s="190"/>
      <c r="BU37" s="190"/>
      <c r="BV37" s="190"/>
      <c r="BW37" s="190"/>
      <c r="BX37" s="190"/>
    </row>
    <row r="38" spans="1:76" s="191" customFormat="1" ht="139.5" customHeight="1" thickTop="1" thickBot="1" x14ac:dyDescent="0.3">
      <c r="A38" s="352">
        <v>10</v>
      </c>
      <c r="B38" s="369" t="s">
        <v>531</v>
      </c>
      <c r="C38" s="357" t="s">
        <v>267</v>
      </c>
      <c r="D38" s="357" t="s">
        <v>967</v>
      </c>
      <c r="E38" s="357" t="s">
        <v>236</v>
      </c>
      <c r="F38" s="375" t="s">
        <v>532</v>
      </c>
      <c r="G38" s="375" t="s">
        <v>533</v>
      </c>
      <c r="H38" s="374" t="s">
        <v>1113</v>
      </c>
      <c r="I38" s="362" t="s">
        <v>474</v>
      </c>
      <c r="J38" s="362" t="s">
        <v>474</v>
      </c>
      <c r="K38" s="362" t="s">
        <v>474</v>
      </c>
      <c r="L38" s="362" t="s">
        <v>474</v>
      </c>
      <c r="M38" s="357" t="s">
        <v>249</v>
      </c>
      <c r="N38" s="357" t="s">
        <v>520</v>
      </c>
      <c r="O38" s="363">
        <v>8640</v>
      </c>
      <c r="P38" s="364" t="str">
        <f>IF(O38&lt;=0,"",IF(O38&lt;=2,"Muy Baja",IF(O38&lt;=24,"Baja",IF(O38&lt;=500,"Media",IF(O38&lt;=5000,"Alta","Muy Alta")))))</f>
        <v>Muy Alta</v>
      </c>
      <c r="Q38" s="365">
        <f>IF(P38="","",IF(P38="Muy Baja",0.2,IF(P38="Baja",0.4,IF(P38="Media",0.6,IF(P38="Alta",0.8,IF(P38="Muy Alta",1,))))))</f>
        <v>1</v>
      </c>
      <c r="R38" s="365" t="s">
        <v>192</v>
      </c>
      <c r="S38" s="365" t="str">
        <f ca="1">IF(NOT(ISERROR(MATCH(R38,'Tabla Impacto'!$B$221:$B$223,0))),'Tabla Impacto'!$F$223&amp;"Por favor no seleccionar los criterios de impacto(Afectación Económica o presupuestal y Pérdida Reputacional)",R38)</f>
        <v xml:space="preserve">Entre 100 y 500 SMLMV </v>
      </c>
      <c r="T38" s="364" t="str">
        <f ca="1">+IF(OR(S38='[1]Tabla Impacto'!$C$11,S38='[1]Tabla Impacto'!$D$11),"Leve",IF(OR(S38='[1]Tabla Impacto'!$C$12,S38='[1]Tabla Impacto'!$D$12),"Menor",IF(OR(S38='[1]Tabla Impacto'!$C$13,S38='[1]Tabla Impacto'!$D$13),"Moderado",IF(OR(S38='[1]Tabla Impacto'!$C$14,S38='[1]Tabla Impacto'!$D$14),"Mayor",IF(OR(S38='[1]Tabla Impacto'!$C$15,S38='[1]Tabla Impacto'!$D$15),"Catastrófico","")))))</f>
        <v>Mayor</v>
      </c>
      <c r="U38" s="365">
        <f t="shared" ref="U38" ca="1" si="59">IF(T38="","",IF(T38="Leve",0.2,IF(T38="Menor",0.4,IF(T38="Moderado",0.6,IF(T38="Mayor",0.8,IF(T38="Catastrófico",1,))))))</f>
        <v>0.8</v>
      </c>
      <c r="V38" s="351" t="str">
        <f t="shared" ref="V38" ca="1" si="60">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33">
        <v>1</v>
      </c>
      <c r="X38" s="207" t="s">
        <v>1200</v>
      </c>
      <c r="Y38" s="230" t="str">
        <f t="shared" si="28"/>
        <v>Probabilidad</v>
      </c>
      <c r="Z38" s="185" t="s">
        <v>208</v>
      </c>
      <c r="AA38" s="185" t="s">
        <v>214</v>
      </c>
      <c r="AB38" s="186" t="str">
        <f t="shared" si="1"/>
        <v>50%</v>
      </c>
      <c r="AC38" s="185" t="s">
        <v>219</v>
      </c>
      <c r="AD38" s="185" t="s">
        <v>224</v>
      </c>
      <c r="AE38" s="185" t="s">
        <v>228</v>
      </c>
      <c r="AF38" s="187">
        <f t="shared" ref="AF38" si="61">IFERROR(IF(Y38="Probabilidad",(Q38-(+Q38*AB38)),IF(Y38="Impacto",Q38,"")),"")</f>
        <v>0.5</v>
      </c>
      <c r="AG38" s="188" t="str">
        <f t="shared" si="29"/>
        <v>Media</v>
      </c>
      <c r="AH38" s="186">
        <f t="shared" si="30"/>
        <v>0.5</v>
      </c>
      <c r="AI38" s="188" t="str">
        <f t="shared" ca="1" si="31"/>
        <v>Mayor</v>
      </c>
      <c r="AJ38" s="186">
        <f t="shared" ref="AJ38" ca="1" si="62">IFERROR(IF(Y38="Impacto",(U38-(+U38*AB38)),IF(Y38="Probabilidad",U38,"")),"")</f>
        <v>0.8</v>
      </c>
      <c r="AK38" s="189" t="str">
        <f t="shared" ca="1" si="33"/>
        <v>Alto</v>
      </c>
      <c r="AL38" s="185" t="s">
        <v>262</v>
      </c>
      <c r="AM38" s="227" t="s">
        <v>534</v>
      </c>
      <c r="AN38" s="227" t="s">
        <v>526</v>
      </c>
      <c r="AO38" s="228">
        <v>45717</v>
      </c>
      <c r="AP38" s="228" t="s">
        <v>535</v>
      </c>
      <c r="AQ38" s="227" t="s">
        <v>536</v>
      </c>
      <c r="AR38" s="229" t="s">
        <v>259</v>
      </c>
      <c r="AS38" s="190"/>
      <c r="AT38" s="190"/>
      <c r="AU38" s="190"/>
      <c r="AV38" s="190"/>
      <c r="AW38" s="190"/>
      <c r="AX38" s="190"/>
      <c r="AY38" s="190"/>
      <c r="AZ38" s="190"/>
      <c r="BA38" s="190"/>
      <c r="BB38" s="190"/>
      <c r="BC38" s="190"/>
      <c r="BD38" s="190"/>
      <c r="BE38" s="190"/>
      <c r="BF38" s="190"/>
      <c r="BG38" s="190"/>
      <c r="BH38" s="190"/>
      <c r="BI38" s="190"/>
      <c r="BJ38" s="190"/>
      <c r="BK38" s="190"/>
      <c r="BL38" s="190"/>
      <c r="BM38" s="190"/>
      <c r="BN38" s="190"/>
      <c r="BO38" s="190"/>
      <c r="BP38" s="190"/>
      <c r="BQ38" s="190"/>
      <c r="BR38" s="190"/>
      <c r="BS38" s="190"/>
      <c r="BT38" s="190"/>
      <c r="BU38" s="190"/>
      <c r="BV38" s="190"/>
      <c r="BW38" s="190"/>
      <c r="BX38" s="190"/>
    </row>
    <row r="39" spans="1:76" s="191" customFormat="1" ht="159.75" customHeight="1" thickTop="1" thickBot="1" x14ac:dyDescent="0.3">
      <c r="A39" s="352"/>
      <c r="B39" s="369"/>
      <c r="C39" s="357"/>
      <c r="D39" s="357"/>
      <c r="E39" s="357"/>
      <c r="F39" s="375"/>
      <c r="G39" s="375"/>
      <c r="H39" s="374"/>
      <c r="I39" s="362"/>
      <c r="J39" s="362"/>
      <c r="K39" s="362"/>
      <c r="L39" s="362"/>
      <c r="M39" s="357"/>
      <c r="N39" s="357"/>
      <c r="O39" s="363"/>
      <c r="P39" s="364"/>
      <c r="Q39" s="365"/>
      <c r="R39" s="365"/>
      <c r="S39" s="365">
        <f ca="1">IF(NOT(ISERROR(MATCH(R39,_xlfn.ANCHORARRAY(H43),0))),#REF!&amp;"Por favor no seleccionar los criterios de impacto",R39)</f>
        <v>0</v>
      </c>
      <c r="T39" s="364"/>
      <c r="U39" s="365"/>
      <c r="V39" s="351"/>
      <c r="W39" s="233">
        <v>2</v>
      </c>
      <c r="X39" s="207" t="s">
        <v>1201</v>
      </c>
      <c r="Y39" s="230" t="str">
        <f t="shared" si="28"/>
        <v>Probabilidad</v>
      </c>
      <c r="Z39" s="185" t="s">
        <v>208</v>
      </c>
      <c r="AA39" s="185" t="s">
        <v>214</v>
      </c>
      <c r="AB39" s="186" t="str">
        <f t="shared" si="1"/>
        <v>50%</v>
      </c>
      <c r="AC39" s="185" t="s">
        <v>219</v>
      </c>
      <c r="AD39" s="185" t="s">
        <v>224</v>
      </c>
      <c r="AE39" s="185" t="s">
        <v>228</v>
      </c>
      <c r="AF39" s="187">
        <f t="shared" ref="AF39" si="63">IFERROR(IF(AND(Y38="Probabilidad",Y39="Probabilidad"),(AH38-(+AH38*AB39)),IF(Y39="Probabilidad",(Q38-(+Q38*AB39)),IF(Y39="Impacto",AH38,""))),"")</f>
        <v>0.25</v>
      </c>
      <c r="AG39" s="188" t="str">
        <f t="shared" si="29"/>
        <v>Baja</v>
      </c>
      <c r="AH39" s="186">
        <f t="shared" si="30"/>
        <v>0.25</v>
      </c>
      <c r="AI39" s="188" t="str">
        <f t="shared" ca="1" si="31"/>
        <v>Mayor</v>
      </c>
      <c r="AJ39" s="186">
        <f t="shared" ref="AJ39" ca="1" si="64">IFERROR(IF(AND(Y38="Impacto",Y39="Impacto"),(AJ38-(+AJ38*AB39)),IF(Y39="Impacto",(U38-(+U38*AB39)),IF(Y39="Probabilidad",AJ38,""))),"")</f>
        <v>0.8</v>
      </c>
      <c r="AK39" s="189" t="str">
        <f t="shared" ca="1" si="33"/>
        <v>Alto</v>
      </c>
      <c r="AL39" s="185" t="s">
        <v>262</v>
      </c>
      <c r="AM39" s="227" t="s">
        <v>534</v>
      </c>
      <c r="AN39" s="227" t="s">
        <v>526</v>
      </c>
      <c r="AO39" s="228">
        <v>45717</v>
      </c>
      <c r="AP39" s="228" t="s">
        <v>535</v>
      </c>
      <c r="AQ39" s="227" t="s">
        <v>536</v>
      </c>
      <c r="AR39" s="229" t="s">
        <v>259</v>
      </c>
    </row>
    <row r="40" spans="1:76" s="191" customFormat="1" ht="276" customHeight="1" thickTop="1" thickBot="1" x14ac:dyDescent="0.3">
      <c r="A40" s="352">
        <v>11</v>
      </c>
      <c r="B40" s="369" t="s">
        <v>539</v>
      </c>
      <c r="C40" s="357" t="s">
        <v>267</v>
      </c>
      <c r="D40" s="357" t="s">
        <v>1204</v>
      </c>
      <c r="E40" s="357" t="s">
        <v>240</v>
      </c>
      <c r="F40" s="375" t="s">
        <v>540</v>
      </c>
      <c r="G40" s="375" t="s">
        <v>541</v>
      </c>
      <c r="H40" s="374" t="s">
        <v>1114</v>
      </c>
      <c r="I40" s="362" t="s">
        <v>474</v>
      </c>
      <c r="J40" s="362" t="s">
        <v>474</v>
      </c>
      <c r="K40" s="362" t="s">
        <v>474</v>
      </c>
      <c r="L40" s="362" t="s">
        <v>474</v>
      </c>
      <c r="M40" s="357" t="s">
        <v>249</v>
      </c>
      <c r="N40" s="357" t="s">
        <v>520</v>
      </c>
      <c r="O40" s="363">
        <v>12</v>
      </c>
      <c r="P40" s="364" t="str">
        <f>IF(O40&lt;=0,"",IF(O40&lt;=2,"Muy Baja",IF(O40&lt;=24,"Baja",IF(O40&lt;=500,"Media",IF(O40&lt;=5000,"Alta","Muy Alta")))))</f>
        <v>Baja</v>
      </c>
      <c r="Q40" s="365">
        <f>IF(P40="","",IF(P40="Muy Baja",0.2,IF(P40="Baja",0.4,IF(P40="Media",0.6,IF(P40="Alta",0.8,IF(P40="Muy Alta",1,))))))</f>
        <v>0.4</v>
      </c>
      <c r="R40" s="365" t="s">
        <v>192</v>
      </c>
      <c r="S40" s="365" t="str">
        <f ca="1">IF(NOT(ISERROR(MATCH(R40,'Tabla Impacto'!$B$221:$B$223,0))),'Tabla Impacto'!$F$223&amp;"Por favor no seleccionar los criterios de impacto(Afectación Económica o presupuestal y Pérdida Reputacional)",R40)</f>
        <v xml:space="preserve">Entre 100 y 500 SMLMV </v>
      </c>
      <c r="T40" s="364" t="str">
        <f ca="1">+IF(OR(S40='[1]Tabla Impacto'!$C$11,S40='[1]Tabla Impacto'!$D$11),"Leve",IF(OR(S40='[1]Tabla Impacto'!$C$12,S40='[1]Tabla Impacto'!$D$12),"Menor",IF(OR(S40='[1]Tabla Impacto'!$C$13,S40='[1]Tabla Impacto'!$D$13),"Moderado",IF(OR(S40='[1]Tabla Impacto'!$C$14,S40='[1]Tabla Impacto'!$D$14),"Mayor",IF(OR(S40='[1]Tabla Impacto'!$C$15,S40='[1]Tabla Impacto'!$D$15),"Catastrófico","")))))</f>
        <v>Mayor</v>
      </c>
      <c r="U40" s="365">
        <f t="shared" ref="U40" ca="1" si="65">IF(T40="","",IF(T40="Leve",0.2,IF(T40="Menor",0.4,IF(T40="Moderado",0.6,IF(T40="Mayor",0.8,IF(T40="Catastrófico",1,))))))</f>
        <v>0.8</v>
      </c>
      <c r="V40" s="351" t="str">
        <f t="shared" ref="V40" ca="1" si="66">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33">
        <v>1</v>
      </c>
      <c r="X40" s="207" t="s">
        <v>1202</v>
      </c>
      <c r="Y40" s="230" t="str">
        <f t="shared" si="28"/>
        <v>Probabilidad</v>
      </c>
      <c r="Z40" s="185" t="s">
        <v>208</v>
      </c>
      <c r="AA40" s="185" t="s">
        <v>216</v>
      </c>
      <c r="AB40" s="186" t="str">
        <f t="shared" si="1"/>
        <v>40%</v>
      </c>
      <c r="AC40" s="185" t="s">
        <v>219</v>
      </c>
      <c r="AD40" s="185" t="s">
        <v>224</v>
      </c>
      <c r="AE40" s="185" t="s">
        <v>228</v>
      </c>
      <c r="AF40" s="187">
        <f t="shared" ref="AF40" si="67">IFERROR(IF(Y40="Probabilidad",(Q40-(+Q40*AB40)),IF(Y40="Impacto",Q40,"")),"")</f>
        <v>0.24</v>
      </c>
      <c r="AG40" s="188" t="str">
        <f t="shared" si="29"/>
        <v>Baja</v>
      </c>
      <c r="AH40" s="186">
        <f t="shared" si="30"/>
        <v>0.24</v>
      </c>
      <c r="AI40" s="188" t="str">
        <f t="shared" ca="1" si="31"/>
        <v>Mayor</v>
      </c>
      <c r="AJ40" s="186">
        <f t="shared" ref="AJ40" ca="1" si="68">IFERROR(IF(Y40="Impacto",(U40-(+U40*AB40)),IF(Y40="Probabilidad",U40,"")),"")</f>
        <v>0.8</v>
      </c>
      <c r="AK40" s="189" t="str">
        <f t="shared" ca="1" si="33"/>
        <v>Alto</v>
      </c>
      <c r="AL40" s="185" t="s">
        <v>262</v>
      </c>
      <c r="AM40" s="357" t="s">
        <v>537</v>
      </c>
      <c r="AN40" s="357" t="s">
        <v>526</v>
      </c>
      <c r="AO40" s="377">
        <v>45717</v>
      </c>
      <c r="AP40" s="377" t="s">
        <v>527</v>
      </c>
      <c r="AQ40" s="357" t="s">
        <v>538</v>
      </c>
      <c r="AR40" s="378" t="s">
        <v>259</v>
      </c>
    </row>
    <row r="41" spans="1:76" s="191" customFormat="1" ht="164.25" customHeight="1" thickTop="1" thickBot="1" x14ac:dyDescent="0.3">
      <c r="A41" s="352"/>
      <c r="B41" s="369"/>
      <c r="C41" s="357"/>
      <c r="D41" s="357"/>
      <c r="E41" s="357"/>
      <c r="F41" s="375"/>
      <c r="G41" s="375"/>
      <c r="H41" s="374"/>
      <c r="I41" s="362"/>
      <c r="J41" s="362"/>
      <c r="K41" s="362"/>
      <c r="L41" s="362"/>
      <c r="M41" s="357"/>
      <c r="N41" s="357"/>
      <c r="O41" s="363"/>
      <c r="P41" s="364"/>
      <c r="Q41" s="365"/>
      <c r="R41" s="365"/>
      <c r="S41" s="365">
        <f ca="1">IF(NOT(ISERROR(MATCH(R41,_xlfn.ANCHORARRAY(H44),0))),#REF!&amp;"Por favor no seleccionar los criterios de impacto",R41)</f>
        <v>0</v>
      </c>
      <c r="T41" s="364"/>
      <c r="U41" s="365"/>
      <c r="V41" s="351"/>
      <c r="W41" s="233">
        <v>2</v>
      </c>
      <c r="X41" s="207" t="s">
        <v>1203</v>
      </c>
      <c r="Y41" s="230" t="str">
        <f t="shared" si="28"/>
        <v>Probabilidad</v>
      </c>
      <c r="Z41" s="185" t="s">
        <v>208</v>
      </c>
      <c r="AA41" s="185" t="s">
        <v>216</v>
      </c>
      <c r="AB41" s="186" t="str">
        <f t="shared" si="1"/>
        <v>40%</v>
      </c>
      <c r="AC41" s="185" t="s">
        <v>219</v>
      </c>
      <c r="AD41" s="185" t="s">
        <v>224</v>
      </c>
      <c r="AE41" s="185" t="s">
        <v>228</v>
      </c>
      <c r="AF41" s="187">
        <f t="shared" ref="AF41" si="69">IFERROR(IF(AND(Y40="Probabilidad",Y41="Probabilidad"),(AH40-(+AH40*AB41)),IF(Y41="Probabilidad",(Q40-(+Q40*AB41)),IF(Y41="Impacto",AH40,""))),"")</f>
        <v>0.14399999999999999</v>
      </c>
      <c r="AG41" s="188" t="str">
        <f t="shared" si="29"/>
        <v>Muy Baja</v>
      </c>
      <c r="AH41" s="186">
        <f t="shared" si="30"/>
        <v>0.14399999999999999</v>
      </c>
      <c r="AI41" s="188" t="str">
        <f t="shared" ca="1" si="31"/>
        <v>Mayor</v>
      </c>
      <c r="AJ41" s="186">
        <f t="shared" ref="AJ41" ca="1" si="70">IFERROR(IF(AND(Y40="Impacto",Y41="Impacto"),(AJ40-(+AJ40*AB41)),IF(Y41="Impacto",(U40-(+U40*AB41)),IF(Y41="Probabilidad",AJ40,""))),"")</f>
        <v>0.8</v>
      </c>
      <c r="AK41" s="189" t="str">
        <f t="shared" ca="1" si="33"/>
        <v>Alto</v>
      </c>
      <c r="AL41" s="185" t="s">
        <v>262</v>
      </c>
      <c r="AM41" s="357"/>
      <c r="AN41" s="357"/>
      <c r="AO41" s="377"/>
      <c r="AP41" s="377"/>
      <c r="AQ41" s="357"/>
      <c r="AR41" s="378"/>
    </row>
    <row r="42" spans="1:76" s="191" customFormat="1" ht="250.5" customHeight="1" thickTop="1" thickBot="1" x14ac:dyDescent="0.3">
      <c r="A42" s="288">
        <v>12</v>
      </c>
      <c r="B42" s="298" t="s">
        <v>1216</v>
      </c>
      <c r="C42" s="290" t="s">
        <v>267</v>
      </c>
      <c r="D42" s="307" t="s">
        <v>1217</v>
      </c>
      <c r="E42" s="290" t="s">
        <v>240</v>
      </c>
      <c r="F42" s="307" t="s">
        <v>1218</v>
      </c>
      <c r="G42" s="307" t="s">
        <v>1219</v>
      </c>
      <c r="H42" s="304" t="s">
        <v>1220</v>
      </c>
      <c r="I42" s="305" t="s">
        <v>474</v>
      </c>
      <c r="J42" s="305" t="s">
        <v>474</v>
      </c>
      <c r="K42" s="305" t="s">
        <v>474</v>
      </c>
      <c r="L42" s="305" t="s">
        <v>474</v>
      </c>
      <c r="M42" s="289" t="s">
        <v>249</v>
      </c>
      <c r="N42" s="289" t="s">
        <v>1221</v>
      </c>
      <c r="O42" s="306">
        <v>365</v>
      </c>
      <c r="P42" s="302" t="str">
        <f>IF(O42&lt;=0,"",IF(O42&lt;=2,"Muy Baja",IF(O42&lt;=24,"Baja",IF(O42&lt;=500,"Media",IF(O42&lt;=5000,"Alta","Muy Alta")))))</f>
        <v>Media</v>
      </c>
      <c r="Q42" s="301">
        <f>IF(P42="","",IF(P42="Muy Baja",0.2,IF(P42="Baja",0.4,IF(P42="Media",0.6,IF(P42="Alta",0.8,IF(P42="Muy Alta",1,))))))</f>
        <v>0.6</v>
      </c>
      <c r="R42" s="301" t="s">
        <v>193</v>
      </c>
      <c r="S42" s="301" t="str">
        <f ca="1">IF(NOT(ISERROR(MATCH(R42,'Tabla Impacto'!$B$221:$B$223,0))),'Tabla Impacto'!$F$223&amp;"Por favor no seleccionar los criterios de impacto(Afectación Económica o presupuestal y Pérdida Reputacional)",R42)</f>
        <v>El riesgo afecta la imagen de de la entidad con efecto publicitario sostenido a nivel de sector administrativo, nivel departamental o municipal</v>
      </c>
      <c r="T42" s="302" t="str">
        <f ca="1">+IF(OR(S42='[1]Tabla Impacto'!$C$11,S42='[1]Tabla Impacto'!$D$11),"Leve",IF(OR(S42='[1]Tabla Impacto'!$C$12,S42='[1]Tabla Impacto'!$D$12),"Menor",IF(OR(S42='[1]Tabla Impacto'!$C$13,S42='[1]Tabla Impacto'!$D$13),"Moderado",IF(OR(S42='[1]Tabla Impacto'!$C$14,S42='[1]Tabla Impacto'!$D$14),"Mayor",IF(OR(S42='[1]Tabla Impacto'!$C$15,S42='[1]Tabla Impacto'!$D$15),"Catastrófico","")))))</f>
        <v>Mayor</v>
      </c>
      <c r="U42" s="301">
        <f t="shared" ref="U42" ca="1" si="71">IF(T42="","",IF(T42="Leve",0.2,IF(T42="Menor",0.4,IF(T42="Moderado",0.6,IF(T42="Mayor",0.8,IF(T42="Catastrófico",1,))))))</f>
        <v>0.8</v>
      </c>
      <c r="V42" s="303" t="str">
        <f t="shared" ref="V42" ca="1" si="72">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Alto</v>
      </c>
      <c r="W42" s="287">
        <v>1</v>
      </c>
      <c r="X42" s="207" t="s">
        <v>1222</v>
      </c>
      <c r="Y42" s="295" t="str">
        <f t="shared" si="28"/>
        <v>Probabilidad</v>
      </c>
      <c r="Z42" s="185" t="s">
        <v>208</v>
      </c>
      <c r="AA42" s="185" t="s">
        <v>216</v>
      </c>
      <c r="AB42" s="186" t="str">
        <f t="shared" ref="AB42" si="73">IF(AND(Z42="Preventivo",AA42="Automático"),"50%",IF(AND(Z42="Preventivo",AA42="Manual"),"40%",IF(AND(Z42="Detectivo",AA42="Automático"),"40%",IF(AND(Z42="Detectivo",AA42="Manual"),"30%",IF(AND(Z42="Correctivo",AA42="Automático"),"35%",IF(AND(Z42="Correctivo",AA42="Manual"),"25%",""))))))</f>
        <v>40%</v>
      </c>
      <c r="AC42" s="185" t="s">
        <v>219</v>
      </c>
      <c r="AD42" s="185" t="s">
        <v>224</v>
      </c>
      <c r="AE42" s="185" t="s">
        <v>228</v>
      </c>
      <c r="AF42" s="187">
        <f>IFERROR(IF(Y42="Probabilidad",(Q42-(+Q42*AB42)),IF(Y42="Impacto",Q42,"")),"")</f>
        <v>0.36</v>
      </c>
      <c r="AG42" s="188" t="str">
        <f t="shared" ref="AG42" si="74">IFERROR(IF(AF42="","",IF(AF42&lt;=0.2,"Muy Baja",IF(AF42&lt;=0.4,"Baja",IF(AF42&lt;=0.6,"Media",IF(AF42&lt;=0.8,"Alta","Muy Alta"))))),"")</f>
        <v>Baja</v>
      </c>
      <c r="AH42" s="186">
        <f t="shared" ref="AH42" si="75">+AF42</f>
        <v>0.36</v>
      </c>
      <c r="AI42" s="188" t="str">
        <f t="shared" ref="AI42" ca="1" si="76">IFERROR(IF(AJ42="","",IF(AJ42&lt;=0.2,"Leve",IF(AJ42&lt;=0.4,"Menor",IF(AJ42&lt;=0.6,"Moderado",IF(AJ42&lt;=0.8,"Mayor","Catastrófico"))))),"")</f>
        <v>Mayor</v>
      </c>
      <c r="AJ42" s="186">
        <f t="shared" ref="AJ42" ca="1" si="77">IFERROR(IF(Y42="Impacto",(U42-(+U42*AB42)),IF(Y42="Probabilidad",U42,"")),"")</f>
        <v>0.8</v>
      </c>
      <c r="AK42" s="189" t="str">
        <f t="shared" ref="AK42" ca="1" si="78">IFERROR(IF(OR(AND(AG42="Muy Baja",AI42="Leve"),AND(AG42="Muy Baja",AI42="Menor"),AND(AG42="Baja",AI42="Leve")),"Bajo",IF(OR(AND(AG42="Muy baja",AI42="Moderado"),AND(AG42="Baja",AI42="Menor"),AND(AG42="Baja",AI42="Moderado"),AND(AG42="Media",AI42="Leve"),AND(AG42="Media",AI42="Menor"),AND(AG42="Media",AI42="Moderado"),AND(AG42="Alta",AI42="Leve"),AND(AG42="Alta",AI42="Menor")),"Moderado",IF(OR(AND(AG42="Muy Baja",AI42="Mayor"),AND(AG42="Baja",AI42="Mayor"),AND(AG42="Media",AI42="Mayor"),AND(AG42="Alta",AI42="Moderado"),AND(AG42="Alta",AI42="Mayor"),AND(AG42="Muy Alta",AI42="Leve"),AND(AG42="Muy Alta",AI42="Menor"),AND(AG42="Muy Alta",AI42="Moderado"),AND(AG42="Muy Alta",AI42="Mayor")),"Alto",IF(OR(AND(AG42="Muy Baja",AI42="Catastrófico"),AND(AG42="Baja",AI42="Catastrófico"),AND(AG42="Media",AI42="Catastrófico"),AND(AG42="Alta",AI42="Catastrófico"),AND(AG42="Muy Alta",AI42="Catastrófico")),"Extremo","")))),"")</f>
        <v>Alto</v>
      </c>
      <c r="AL42" s="185" t="s">
        <v>262</v>
      </c>
      <c r="AM42" s="308" t="s">
        <v>1223</v>
      </c>
      <c r="AN42" s="290" t="s">
        <v>526</v>
      </c>
      <c r="AO42" s="299">
        <v>45762</v>
      </c>
      <c r="AP42" s="299" t="s">
        <v>535</v>
      </c>
      <c r="AQ42" s="290" t="s">
        <v>1224</v>
      </c>
      <c r="AR42" s="295" t="s">
        <v>259</v>
      </c>
    </row>
    <row r="43" spans="1:76" s="191" customFormat="1" ht="275.25" customHeight="1" thickTop="1" thickBot="1" x14ac:dyDescent="0.3">
      <c r="A43" s="226">
        <v>13</v>
      </c>
      <c r="B43" s="242" t="s">
        <v>542</v>
      </c>
      <c r="C43" s="227" t="s">
        <v>268</v>
      </c>
      <c r="D43" s="244" t="s">
        <v>968</v>
      </c>
      <c r="E43" s="227" t="s">
        <v>238</v>
      </c>
      <c r="F43" s="234" t="s">
        <v>1071</v>
      </c>
      <c r="G43" s="234" t="s">
        <v>543</v>
      </c>
      <c r="H43" s="251" t="s">
        <v>1115</v>
      </c>
      <c r="I43" s="231" t="s">
        <v>474</v>
      </c>
      <c r="J43" s="231" t="s">
        <v>474</v>
      </c>
      <c r="K43" s="231" t="s">
        <v>474</v>
      </c>
      <c r="L43" s="231" t="s">
        <v>474</v>
      </c>
      <c r="M43" s="227" t="s">
        <v>239</v>
      </c>
      <c r="N43" s="227"/>
      <c r="O43" s="230">
        <v>340</v>
      </c>
      <c r="P43" s="232" t="str">
        <f>IF(O43&lt;=0,"",IF(O43&lt;=2,"Muy Baja",IF(O43&lt;=24,"Baja",IF(O43&lt;=500,"Media",IF(O43&lt;=5000,"Alta","Muy Alta")))))</f>
        <v>Media</v>
      </c>
      <c r="Q43" s="225">
        <f>IF(P43="","",IF(P43="Muy Baja",0.2,IF(P43="Baja",0.4,IF(P43="Media",0.6,IF(P43="Alta",0.8,IF(P43="Muy Alta",1,))))))</f>
        <v>0.6</v>
      </c>
      <c r="R43" s="225" t="s">
        <v>190</v>
      </c>
      <c r="S43" s="225"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3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25">
        <f t="shared" ref="U43" ca="1" si="79">IF(T43="","",IF(T43="Leve",0.2,IF(T43="Menor",0.4,IF(T43="Moderado",0.6,IF(T43="Mayor",0.8,IF(T43="Catastrófico",1,))))))</f>
        <v>0.6</v>
      </c>
      <c r="V43" s="233" t="str">
        <f t="shared" ref="V43" ca="1" si="80">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33">
        <v>1</v>
      </c>
      <c r="X43" s="207" t="s">
        <v>988</v>
      </c>
      <c r="Y43" s="230" t="str">
        <f t="shared" si="28"/>
        <v>Probabilidad</v>
      </c>
      <c r="Z43" s="185" t="s">
        <v>208</v>
      </c>
      <c r="AA43" s="185" t="s">
        <v>216</v>
      </c>
      <c r="AB43" s="186" t="str">
        <f t="shared" ref="AB43:AB71" si="81">IF(AND(Z43="Preventivo",AA43="Automático"),"50%",IF(AND(Z43="Preventivo",AA43="Manual"),"40%",IF(AND(Z43="Detectivo",AA43="Automático"),"40%",IF(AND(Z43="Detectivo",AA43="Manual"),"30%",IF(AND(Z43="Correctivo",AA43="Automático"),"35%",IF(AND(Z43="Correctivo",AA43="Manual"),"25%",""))))))</f>
        <v>40%</v>
      </c>
      <c r="AC43" s="185" t="s">
        <v>219</v>
      </c>
      <c r="AD43" s="185" t="s">
        <v>226</v>
      </c>
      <c r="AE43" s="185" t="s">
        <v>228</v>
      </c>
      <c r="AF43" s="187">
        <f t="shared" ref="AF43" si="82">IFERROR(IF(Y43="Probabilidad",(Q43-(+Q43*AB43)),IF(Y43="Impacto",Q43,"")),"")</f>
        <v>0.36</v>
      </c>
      <c r="AG43" s="188" t="str">
        <f t="shared" si="29"/>
        <v>Baja</v>
      </c>
      <c r="AH43" s="186">
        <f t="shared" si="30"/>
        <v>0.36</v>
      </c>
      <c r="AI43" s="188" t="str">
        <f t="shared" ca="1" si="31"/>
        <v>Moderado</v>
      </c>
      <c r="AJ43" s="186">
        <f t="shared" ref="AJ43" ca="1" si="83">IFERROR(IF(Y43="Impacto",(U43-(+U43*AB43)),IF(Y43="Probabilidad",U43,"")),"")</f>
        <v>0.6</v>
      </c>
      <c r="AK43" s="189" t="str">
        <f t="shared" ca="1" si="33"/>
        <v>Moderado</v>
      </c>
      <c r="AL43" s="185" t="s">
        <v>255</v>
      </c>
      <c r="AM43" s="227"/>
      <c r="AN43" s="230"/>
      <c r="AO43" s="228"/>
      <c r="AP43" s="228"/>
      <c r="AQ43" s="227"/>
      <c r="AR43" s="229"/>
    </row>
    <row r="44" spans="1:76" s="191" customFormat="1" ht="297" customHeight="1" thickTop="1" thickBot="1" x14ac:dyDescent="0.3">
      <c r="A44" s="226">
        <v>14</v>
      </c>
      <c r="B44" s="242" t="s">
        <v>544</v>
      </c>
      <c r="C44" s="227" t="s">
        <v>268</v>
      </c>
      <c r="D44" s="244" t="s">
        <v>968</v>
      </c>
      <c r="E44" s="227" t="s">
        <v>238</v>
      </c>
      <c r="F44" s="234" t="s">
        <v>1071</v>
      </c>
      <c r="G44" s="234" t="s">
        <v>545</v>
      </c>
      <c r="H44" s="251" t="s">
        <v>1116</v>
      </c>
      <c r="I44" s="231" t="s">
        <v>474</v>
      </c>
      <c r="J44" s="231" t="s">
        <v>474</v>
      </c>
      <c r="K44" s="231" t="s">
        <v>474</v>
      </c>
      <c r="L44" s="231" t="s">
        <v>474</v>
      </c>
      <c r="M44" s="227" t="s">
        <v>239</v>
      </c>
      <c r="N44" s="227"/>
      <c r="O44" s="230">
        <v>340</v>
      </c>
      <c r="P44" s="232" t="str">
        <f>IF(O44&lt;=0,"",IF(O44&lt;=2,"Muy Baja",IF(O44&lt;=24,"Baja",IF(O44&lt;=500,"Media",IF(O44&lt;=5000,"Alta","Muy Alta")))))</f>
        <v>Media</v>
      </c>
      <c r="Q44" s="225">
        <f>IF(P44="","",IF(P44="Muy Baja",0.2,IF(P44="Baja",0.4,IF(P44="Media",0.6,IF(P44="Alta",0.8,IF(P44="Muy Alta",1,))))))</f>
        <v>0.6</v>
      </c>
      <c r="R44" s="225" t="s">
        <v>190</v>
      </c>
      <c r="S44" s="225" t="str">
        <f ca="1">IF(NOT(ISERROR(MATCH(R44,'Tabla Impacto'!$B$221:$B$223,0))),'Tabla Impacto'!$F$223&amp;"Por favor no seleccionar los criterios de impacto(Afectación Económica o presupuestal y Pérdida Reputacional)",R44)</f>
        <v>El riesgo afecta la imagen de la entidad con algunos usuarios de relevancia frente al logro de los objetivos</v>
      </c>
      <c r="T44" s="232" t="str">
        <f ca="1">+IF(OR(S44='[1]Tabla Impacto'!$C$11,S44='[1]Tabla Impacto'!$D$11),"Leve",IF(OR(S44='[1]Tabla Impacto'!$C$12,S44='[1]Tabla Impacto'!$D$12),"Menor",IF(OR(S44='[1]Tabla Impacto'!$C$13,S44='[1]Tabla Impacto'!$D$13),"Moderado",IF(OR(S44='[1]Tabla Impacto'!$C$14,S44='[1]Tabla Impacto'!$D$14),"Mayor",IF(OR(S44='[1]Tabla Impacto'!$C$15,S44='[1]Tabla Impacto'!$D$15),"Catastrófico","")))))</f>
        <v>Moderado</v>
      </c>
      <c r="U44" s="225">
        <f t="shared" ref="U44" ca="1" si="84">IF(T44="","",IF(T44="Leve",0.2,IF(T44="Menor",0.4,IF(T44="Moderado",0.6,IF(T44="Mayor",0.8,IF(T44="Catastrófico",1,))))))</f>
        <v>0.6</v>
      </c>
      <c r="V44" s="233" t="str">
        <f t="shared" ref="V44" ca="1" si="85">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Moderado</v>
      </c>
      <c r="W44" s="233">
        <v>1</v>
      </c>
      <c r="X44" s="207" t="s">
        <v>989</v>
      </c>
      <c r="Y44" s="230" t="str">
        <f t="shared" ref="Y44:Y45" si="86">IF(OR(Z44="Preventivo",Z44="Detectivo"),"Probabilidad",IF(Z44="Correctivo","Impacto",""))</f>
        <v>Probabilidad</v>
      </c>
      <c r="Z44" s="185" t="s">
        <v>208</v>
      </c>
      <c r="AA44" s="185" t="s">
        <v>216</v>
      </c>
      <c r="AB44" s="186" t="str">
        <f t="shared" si="81"/>
        <v>40%</v>
      </c>
      <c r="AC44" s="185" t="s">
        <v>219</v>
      </c>
      <c r="AD44" s="185" t="s">
        <v>226</v>
      </c>
      <c r="AE44" s="185" t="s">
        <v>228</v>
      </c>
      <c r="AF44" s="187">
        <f t="shared" ref="AF44" si="87">IFERROR(IF(Y44="Probabilidad",(Q44-(+Q44*AB44)),IF(Y44="Impacto",Q44,"")),"")</f>
        <v>0.36</v>
      </c>
      <c r="AG44" s="188" t="str">
        <f t="shared" ref="AG44:AG45" si="88">IFERROR(IF(AF44="","",IF(AF44&lt;=0.2,"Muy Baja",IF(AF44&lt;=0.4,"Baja",IF(AF44&lt;=0.6,"Media",IF(AF44&lt;=0.8,"Alta","Muy Alta"))))),"")</f>
        <v>Baja</v>
      </c>
      <c r="AH44" s="186">
        <f t="shared" ref="AH44:AH45" si="89">+AF44</f>
        <v>0.36</v>
      </c>
      <c r="AI44" s="188" t="str">
        <f t="shared" ref="AI44:AI45" ca="1" si="90">IFERROR(IF(AJ44="","",IF(AJ44&lt;=0.2,"Leve",IF(AJ44&lt;=0.4,"Menor",IF(AJ44&lt;=0.6,"Moderado",IF(AJ44&lt;=0.8,"Mayor","Catastrófico"))))),"")</f>
        <v>Moderado</v>
      </c>
      <c r="AJ44" s="186">
        <f t="shared" ref="AJ44" ca="1" si="91">IFERROR(IF(Y44="Impacto",(U44-(+U44*AB44)),IF(Y44="Probabilidad",U44,"")),"")</f>
        <v>0.6</v>
      </c>
      <c r="AK44" s="189" t="str">
        <f t="shared" ref="AK44:AK45" ca="1" si="92">IFERROR(IF(OR(AND(AG44="Muy Baja",AI44="Leve"),AND(AG44="Muy Baja",AI44="Menor"),AND(AG44="Baja",AI44="Leve")),"Bajo",IF(OR(AND(AG44="Muy baja",AI44="Moderado"),AND(AG44="Baja",AI44="Menor"),AND(AG44="Baja",AI44="Moderado"),AND(AG44="Media",AI44="Leve"),AND(AG44="Media",AI44="Menor"),AND(AG44="Media",AI44="Moderado"),AND(AG44="Alta",AI44="Leve"),AND(AG44="Alta",AI44="Menor")),"Moderado",IF(OR(AND(AG44="Muy Baja",AI44="Mayor"),AND(AG44="Baja",AI44="Mayor"),AND(AG44="Media",AI44="Mayor"),AND(AG44="Alta",AI44="Moderado"),AND(AG44="Alta",AI44="Mayor"),AND(AG44="Muy Alta",AI44="Leve"),AND(AG44="Muy Alta",AI44="Menor"),AND(AG44="Muy Alta",AI44="Moderado"),AND(AG44="Muy Alta",AI44="Mayor")),"Alto",IF(OR(AND(AG44="Muy Baja",AI44="Catastrófico"),AND(AG44="Baja",AI44="Catastrófico"),AND(AG44="Media",AI44="Catastrófico"),AND(AG44="Alta",AI44="Catastrófico"),AND(AG44="Muy Alta",AI44="Catastrófico")),"Extremo","")))),"")</f>
        <v>Moderado</v>
      </c>
      <c r="AL44" s="185" t="s">
        <v>255</v>
      </c>
      <c r="AM44" s="227"/>
      <c r="AN44" s="230"/>
      <c r="AO44" s="228"/>
      <c r="AP44" s="228"/>
      <c r="AQ44" s="227"/>
      <c r="AR44" s="229"/>
    </row>
    <row r="45" spans="1:76" s="191" customFormat="1" ht="408.75" customHeight="1" thickTop="1" thickBot="1" x14ac:dyDescent="0.3">
      <c r="A45" s="226">
        <v>15</v>
      </c>
      <c r="B45" s="242" t="s">
        <v>546</v>
      </c>
      <c r="C45" s="227" t="s">
        <v>268</v>
      </c>
      <c r="D45" s="244" t="s">
        <v>969</v>
      </c>
      <c r="E45" s="227" t="s">
        <v>238</v>
      </c>
      <c r="F45" s="234" t="s">
        <v>1072</v>
      </c>
      <c r="G45" s="234" t="s">
        <v>547</v>
      </c>
      <c r="H45" s="251" t="s">
        <v>1117</v>
      </c>
      <c r="I45" s="231" t="s">
        <v>474</v>
      </c>
      <c r="J45" s="231" t="s">
        <v>474</v>
      </c>
      <c r="K45" s="231" t="s">
        <v>474</v>
      </c>
      <c r="L45" s="231" t="s">
        <v>474</v>
      </c>
      <c r="M45" s="227" t="s">
        <v>239</v>
      </c>
      <c r="N45" s="227"/>
      <c r="O45" s="230">
        <v>50001</v>
      </c>
      <c r="P45" s="232" t="str">
        <f t="shared" ref="P45" si="93">IF(O45&lt;=0,"",IF(O45&lt;=2,"Muy Baja",IF(O45&lt;=24,"Baja",IF(O45&lt;=500,"Media",IF(O45&lt;=5000,"Alta","Muy Alta")))))</f>
        <v>Muy Alta</v>
      </c>
      <c r="Q45" s="225">
        <f t="shared" ref="Q45" si="94">IF(P45="","",IF(P45="Muy Baja",0.2,IF(P45="Baja",0.4,IF(P45="Media",0.6,IF(P45="Alta",0.8,IF(P45="Muy Alta",1,))))))</f>
        <v>1</v>
      </c>
      <c r="R45" s="225" t="s">
        <v>190</v>
      </c>
      <c r="S45" s="225" t="str">
        <f ca="1">IF(NOT(ISERROR(MATCH(R45,'Tabla Impacto'!$B$221:$B$223,0))),'Tabla Impacto'!$F$223&amp;"Por favor no seleccionar los criterios de impacto(Afectación Económica o presupuestal y Pérdida Reputacional)",R45)</f>
        <v>El riesgo afecta la imagen de la entidad con algunos usuarios de relevancia frente al logro de los objetivos</v>
      </c>
      <c r="T45" s="232" t="str">
        <f ca="1">+IF(OR(S45='[1]Tabla Impacto'!$C$11,S45='[1]Tabla Impacto'!$D$11),"Leve",IF(OR(S45='[1]Tabla Impacto'!$C$12,S45='[1]Tabla Impacto'!$D$12),"Menor",IF(OR(S45='[1]Tabla Impacto'!$C$13,S45='[1]Tabla Impacto'!$D$13),"Moderado",IF(OR(S45='[1]Tabla Impacto'!$C$14,S45='[1]Tabla Impacto'!$D$14),"Mayor",IF(OR(S45='[1]Tabla Impacto'!$C$15,S45='[1]Tabla Impacto'!$D$15),"Catastrófico","")))))</f>
        <v>Moderado</v>
      </c>
      <c r="U45" s="225">
        <f t="shared" ref="U45" ca="1" si="95">IF(T45="","",IF(T45="Leve",0.2,IF(T45="Menor",0.4,IF(T45="Moderado",0.6,IF(T45="Mayor",0.8,IF(T45="Catastrófico",1,))))))</f>
        <v>0.6</v>
      </c>
      <c r="V45" s="233" t="str">
        <f t="shared" ref="V45" ca="1" si="96">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Alto</v>
      </c>
      <c r="W45" s="233">
        <v>1</v>
      </c>
      <c r="X45" s="207" t="s">
        <v>1069</v>
      </c>
      <c r="Y45" s="230" t="str">
        <f t="shared" si="86"/>
        <v>Probabilidad</v>
      </c>
      <c r="Z45" s="185" t="s">
        <v>208</v>
      </c>
      <c r="AA45" s="185" t="s">
        <v>216</v>
      </c>
      <c r="AB45" s="186" t="str">
        <f t="shared" si="81"/>
        <v>40%</v>
      </c>
      <c r="AC45" s="185" t="s">
        <v>219</v>
      </c>
      <c r="AD45" s="185" t="s">
        <v>224</v>
      </c>
      <c r="AE45" s="185" t="s">
        <v>228</v>
      </c>
      <c r="AF45" s="187">
        <f t="shared" ref="AF45" si="97">IFERROR(IF(Y45="Probabilidad",(Q45-(+Q45*AB45)),IF(Y45="Impacto",Q45,"")),"")</f>
        <v>0.6</v>
      </c>
      <c r="AG45" s="188" t="str">
        <f t="shared" si="88"/>
        <v>Media</v>
      </c>
      <c r="AH45" s="186">
        <f t="shared" si="89"/>
        <v>0.6</v>
      </c>
      <c r="AI45" s="188" t="str">
        <f t="shared" ca="1" si="90"/>
        <v>Moderado</v>
      </c>
      <c r="AJ45" s="186">
        <f t="shared" ref="AJ45" ca="1" si="98">IFERROR(IF(Y45="Impacto",(U45-(+U45*AB45)),IF(Y45="Probabilidad",U45,"")),"")</f>
        <v>0.6</v>
      </c>
      <c r="AK45" s="189" t="str">
        <f t="shared" ca="1" si="92"/>
        <v>Moderado</v>
      </c>
      <c r="AL45" s="185" t="s">
        <v>255</v>
      </c>
      <c r="AM45" s="227"/>
      <c r="AN45" s="230"/>
      <c r="AO45" s="228"/>
      <c r="AP45" s="228"/>
      <c r="AQ45" s="227"/>
      <c r="AR45" s="229"/>
    </row>
    <row r="46" spans="1:76" s="191" customFormat="1" ht="148.5" customHeight="1" thickTop="1" thickBot="1" x14ac:dyDescent="0.3">
      <c r="A46" s="352">
        <v>16</v>
      </c>
      <c r="B46" s="369" t="s">
        <v>548</v>
      </c>
      <c r="C46" s="357" t="s">
        <v>269</v>
      </c>
      <c r="D46" s="357" t="s">
        <v>549</v>
      </c>
      <c r="E46" s="357" t="s">
        <v>236</v>
      </c>
      <c r="F46" s="357" t="s">
        <v>550</v>
      </c>
      <c r="G46" s="357" t="s">
        <v>551</v>
      </c>
      <c r="H46" s="415" t="s">
        <v>552</v>
      </c>
      <c r="I46" s="362" t="s">
        <v>474</v>
      </c>
      <c r="J46" s="362" t="s">
        <v>474</v>
      </c>
      <c r="K46" s="362" t="s">
        <v>474</v>
      </c>
      <c r="L46" s="362" t="s">
        <v>474</v>
      </c>
      <c r="M46" s="357" t="s">
        <v>239</v>
      </c>
      <c r="N46" s="357"/>
      <c r="O46" s="363">
        <v>5000</v>
      </c>
      <c r="P46" s="364" t="str">
        <f t="shared" ref="P46" si="99">IF(O46&lt;=0,"",IF(O46&lt;=2,"Muy Baja",IF(O46&lt;=24,"Baja",IF(O46&lt;=500,"Media",IF(O46&lt;=5000,"Alta","Muy Alta")))))</f>
        <v>Alta</v>
      </c>
      <c r="Q46" s="365">
        <f t="shared" ref="Q46" si="100">IF(P46="","",IF(P46="Muy Baja",0.2,IF(P46="Baja",0.4,IF(P46="Media",0.6,IF(P46="Alta",0.8,IF(P46="Muy Alta",1,))))))</f>
        <v>0.8</v>
      </c>
      <c r="R46" s="365" t="s">
        <v>186</v>
      </c>
      <c r="S46" s="365" t="str">
        <f ca="1">IF(NOT(ISERROR(MATCH(R46,'Tabla Impacto'!$B$221:$B$223,0))),'Tabla Impacto'!$F$223&amp;"Por favor no seleccionar los criterios de impacto(Afectación Económica o presupuestal y Pérdida Reputacional)",R46)</f>
        <v xml:space="preserve">Entre 10 y 50 SMLMV </v>
      </c>
      <c r="T46" s="364" t="str">
        <f ca="1">+IF(OR(S46='[1]Tabla Impacto'!$C$11,S46='[1]Tabla Impacto'!$D$11),"Leve",IF(OR(S46='[1]Tabla Impacto'!$C$12,S46='[1]Tabla Impacto'!$D$12),"Menor",IF(OR(S46='[1]Tabla Impacto'!$C$13,S46='[1]Tabla Impacto'!$D$13),"Moderado",IF(OR(S46='[1]Tabla Impacto'!$C$14,S46='[1]Tabla Impacto'!$D$14),"Mayor",IF(OR(S46='[1]Tabla Impacto'!$C$15,S46='[1]Tabla Impacto'!$D$15),"Catastrófico","")))))</f>
        <v>Menor</v>
      </c>
      <c r="U46" s="365">
        <f t="shared" ref="U46" ca="1" si="101">IF(T46="","",IF(T46="Leve",0.2,IF(T46="Menor",0.4,IF(T46="Moderado",0.6,IF(T46="Mayor",0.8,IF(T46="Catastrófico",1,))))))</f>
        <v>0.4</v>
      </c>
      <c r="V46" s="351" t="str">
        <f t="shared" ref="V46" ca="1" si="102">IF(OR(AND(P46="Muy Baja",T46="Leve"),AND(P46="Muy Baja",T46="Menor"),AND(P46="Baja",T46="Leve")),"Bajo",IF(OR(AND(P46="Muy baja",T46="Moderado"),AND(P46="Baja",T46="Menor"),AND(P46="Baja",T46="Moderado"),AND(P46="Media",T46="Leve"),AND(P46="Media",T46="Menor"),AND(P46="Media",T46="Moderado"),AND(P46="Alta",T46="Leve"),AND(P46="Alta",T46="Menor")),"Moderado",IF(OR(AND(P46="Muy Baja",T46="Mayor"),AND(P46="Baja",T46="Mayor"),AND(P46="Media",T46="Mayor"),AND(P46="Alta",T46="Moderado"),AND(P46="Alta",T46="Mayor"),AND(P46="Muy Alta",T46="Leve"),AND(P46="Muy Alta",T46="Menor"),AND(P46="Muy Alta",T46="Moderado"),AND(P46="Muy Alta",T46="Mayor")),"Alto",IF(OR(AND(P46="Muy Baja",T46="Catastrófico"),AND(P46="Baja",T46="Catastrófico"),AND(P46="Media",T46="Catastrófico"),AND(P46="Alta",T46="Catastrófico"),AND(P46="Muy Alta",T46="Catastrófico")),"Extremo",""))))</f>
        <v>Moderado</v>
      </c>
      <c r="W46" s="233">
        <v>1</v>
      </c>
      <c r="X46" s="207" t="s">
        <v>990</v>
      </c>
      <c r="Y46" s="230" t="str">
        <f t="shared" ref="Y46:Y60" si="103">IF(OR(Z46="Preventivo",Z46="Detectivo"),"Probabilidad",IF(Z46="Correctivo","Impacto",""))</f>
        <v>Probabilidad</v>
      </c>
      <c r="Z46" s="185" t="s">
        <v>210</v>
      </c>
      <c r="AA46" s="185" t="s">
        <v>216</v>
      </c>
      <c r="AB46" s="186" t="str">
        <f t="shared" si="81"/>
        <v>30%</v>
      </c>
      <c r="AC46" s="185" t="s">
        <v>219</v>
      </c>
      <c r="AD46" s="185" t="s">
        <v>224</v>
      </c>
      <c r="AE46" s="185" t="s">
        <v>228</v>
      </c>
      <c r="AF46" s="187">
        <f t="shared" ref="AF46" si="104">IFERROR(IF(Y46="Probabilidad",(Q46-(+Q46*AB46)),IF(Y46="Impacto",Q46,"")),"")</f>
        <v>0.56000000000000005</v>
      </c>
      <c r="AG46" s="188" t="str">
        <f t="shared" ref="AG46:AG60" si="105">IFERROR(IF(AF46="","",IF(AF46&lt;=0.2,"Muy Baja",IF(AF46&lt;=0.4,"Baja",IF(AF46&lt;=0.6,"Media",IF(AF46&lt;=0.8,"Alta","Muy Alta"))))),"")</f>
        <v>Media</v>
      </c>
      <c r="AH46" s="186">
        <f t="shared" ref="AH46:AH60" si="106">+AF46</f>
        <v>0.56000000000000005</v>
      </c>
      <c r="AI46" s="188" t="str">
        <f t="shared" ref="AI46:AI60" ca="1" si="107">IFERROR(IF(AJ46="","",IF(AJ46&lt;=0.2,"Leve",IF(AJ46&lt;=0.4,"Menor",IF(AJ46&lt;=0.6,"Moderado",IF(AJ46&lt;=0.8,"Mayor","Catastrófico"))))),"")</f>
        <v>Menor</v>
      </c>
      <c r="AJ46" s="186">
        <f t="shared" ref="AJ46" ca="1" si="108">IFERROR(IF(Y46="Impacto",(U46-(+U46*AB46)),IF(Y46="Probabilidad",U46,"")),"")</f>
        <v>0.4</v>
      </c>
      <c r="AK46" s="189" t="str">
        <f t="shared" ref="AK46:AK60" ca="1" si="109">IFERROR(IF(OR(AND(AG46="Muy Baja",AI46="Leve"),AND(AG46="Muy Baja",AI46="Menor"),AND(AG46="Baja",AI46="Leve")),"Bajo",IF(OR(AND(AG46="Muy baja",AI46="Moderado"),AND(AG46="Baja",AI46="Menor"),AND(AG46="Baja",AI46="Moderado"),AND(AG46="Media",AI46="Leve"),AND(AG46="Media",AI46="Menor"),AND(AG46="Media",AI46="Moderado"),AND(AG46="Alta",AI46="Leve"),AND(AG46="Alta",AI46="Menor")),"Moderado",IF(OR(AND(AG46="Muy Baja",AI46="Mayor"),AND(AG46="Baja",AI46="Mayor"),AND(AG46="Media",AI46="Mayor"),AND(AG46="Alta",AI46="Moderado"),AND(AG46="Alta",AI46="Mayor"),AND(AG46="Muy Alta",AI46="Leve"),AND(AG46="Muy Alta",AI46="Menor"),AND(AG46="Muy Alta",AI46="Moderado"),AND(AG46="Muy Alta",AI46="Mayor")),"Alto",IF(OR(AND(AG46="Muy Baja",AI46="Catastrófico"),AND(AG46="Baja",AI46="Catastrófico"),AND(AG46="Media",AI46="Catastrófico"),AND(AG46="Alta",AI46="Catastrófico"),AND(AG46="Muy Alta",AI46="Catastrófico")),"Extremo","")))),"")</f>
        <v>Moderado</v>
      </c>
      <c r="AL46" s="185" t="s">
        <v>255</v>
      </c>
      <c r="AM46" s="227"/>
      <c r="AN46" s="230"/>
      <c r="AO46" s="228"/>
      <c r="AP46" s="228"/>
      <c r="AQ46" s="227"/>
      <c r="AR46" s="229"/>
    </row>
    <row r="47" spans="1:76" s="191" customFormat="1" ht="239.25" customHeight="1" thickTop="1" thickBot="1" x14ac:dyDescent="0.3">
      <c r="A47" s="352"/>
      <c r="B47" s="369"/>
      <c r="C47" s="357"/>
      <c r="D47" s="357"/>
      <c r="E47" s="357"/>
      <c r="F47" s="357"/>
      <c r="G47" s="357"/>
      <c r="H47" s="415"/>
      <c r="I47" s="362"/>
      <c r="J47" s="362"/>
      <c r="K47" s="362"/>
      <c r="L47" s="362"/>
      <c r="M47" s="357"/>
      <c r="N47" s="357"/>
      <c r="O47" s="363"/>
      <c r="P47" s="364"/>
      <c r="Q47" s="365"/>
      <c r="R47" s="365"/>
      <c r="S47" s="365"/>
      <c r="T47" s="364"/>
      <c r="U47" s="365"/>
      <c r="V47" s="351"/>
      <c r="W47" s="233">
        <v>2</v>
      </c>
      <c r="X47" s="207" t="s">
        <v>991</v>
      </c>
      <c r="Y47" s="230" t="str">
        <f t="shared" si="103"/>
        <v>Probabilidad</v>
      </c>
      <c r="Z47" s="185" t="s">
        <v>208</v>
      </c>
      <c r="AA47" s="185" t="s">
        <v>216</v>
      </c>
      <c r="AB47" s="186" t="str">
        <f t="shared" si="81"/>
        <v>40%</v>
      </c>
      <c r="AC47" s="185" t="s">
        <v>219</v>
      </c>
      <c r="AD47" s="185" t="s">
        <v>226</v>
      </c>
      <c r="AE47" s="185" t="s">
        <v>228</v>
      </c>
      <c r="AF47" s="187">
        <f t="shared" ref="AF47:AF54" si="110">IFERROR(IF(AND(Y46="Probabilidad",Y47="Probabilidad"),(AH46-(+AH46*AB47)),IF(Y47="Probabilidad",(Q46-(+Q46*AB47)),IF(Y47="Impacto",AH46,""))),"")</f>
        <v>0.33600000000000002</v>
      </c>
      <c r="AG47" s="188" t="str">
        <f t="shared" si="105"/>
        <v>Baja</v>
      </c>
      <c r="AH47" s="186">
        <f t="shared" si="106"/>
        <v>0.33600000000000002</v>
      </c>
      <c r="AI47" s="188" t="str">
        <f t="shared" ca="1" si="107"/>
        <v>Menor</v>
      </c>
      <c r="AJ47" s="186">
        <f t="shared" ref="AJ47" ca="1" si="111">IFERROR(IF(AND(Y46="Impacto",Y47="Impacto"),(AJ46-(+AJ46*AB47)),IF(Y47="Impacto",(U46-(+U46*AB47)),IF(Y47="Probabilidad",AJ46,""))),"")</f>
        <v>0.4</v>
      </c>
      <c r="AK47" s="189" t="str">
        <f t="shared" ca="1" si="109"/>
        <v>Moderado</v>
      </c>
      <c r="AL47" s="185" t="s">
        <v>255</v>
      </c>
      <c r="AM47" s="227"/>
      <c r="AN47" s="230"/>
      <c r="AO47" s="228"/>
      <c r="AP47" s="228"/>
      <c r="AQ47" s="227"/>
      <c r="AR47" s="229"/>
    </row>
    <row r="48" spans="1:76" s="191" customFormat="1" ht="233.25" customHeight="1" thickTop="1" thickBot="1" x14ac:dyDescent="0.3">
      <c r="A48" s="352"/>
      <c r="B48" s="369"/>
      <c r="C48" s="357"/>
      <c r="D48" s="357"/>
      <c r="E48" s="357"/>
      <c r="F48" s="357"/>
      <c r="G48" s="357"/>
      <c r="H48" s="415"/>
      <c r="I48" s="362"/>
      <c r="J48" s="362"/>
      <c r="K48" s="362"/>
      <c r="L48" s="362"/>
      <c r="M48" s="357"/>
      <c r="N48" s="357"/>
      <c r="O48" s="363"/>
      <c r="P48" s="364"/>
      <c r="Q48" s="365"/>
      <c r="R48" s="365"/>
      <c r="S48" s="365"/>
      <c r="T48" s="364"/>
      <c r="U48" s="365"/>
      <c r="V48" s="351"/>
      <c r="W48" s="233">
        <v>3</v>
      </c>
      <c r="X48" s="207" t="s">
        <v>992</v>
      </c>
      <c r="Y48" s="230" t="str">
        <f t="shared" si="103"/>
        <v>Probabilidad</v>
      </c>
      <c r="Z48" s="185" t="s">
        <v>208</v>
      </c>
      <c r="AA48" s="185" t="s">
        <v>216</v>
      </c>
      <c r="AB48" s="186" t="str">
        <f t="shared" si="81"/>
        <v>40%</v>
      </c>
      <c r="AC48" s="185" t="s">
        <v>219</v>
      </c>
      <c r="AD48" s="185" t="s">
        <v>224</v>
      </c>
      <c r="AE48" s="185" t="s">
        <v>228</v>
      </c>
      <c r="AF48" s="187">
        <f t="shared" si="110"/>
        <v>0.2016</v>
      </c>
      <c r="AG48" s="188" t="str">
        <f t="shared" si="105"/>
        <v>Baja</v>
      </c>
      <c r="AH48" s="186">
        <f t="shared" si="106"/>
        <v>0.2016</v>
      </c>
      <c r="AI48" s="188" t="str">
        <f t="shared" ca="1" si="107"/>
        <v>Menor</v>
      </c>
      <c r="AJ48" s="186">
        <f t="shared" ref="AJ48:AJ51" ca="1" si="112">IFERROR(IF(AND(Y47="Impacto",Y48="Impacto"),(AJ47-(+AJ47*AB48)),IF(AND(Y47="Probabilidad",Y48="Impacto"),(AJ46-(+AJ46*AB48)),IF(Y48="Probabilidad",AJ47,""))),"")</f>
        <v>0.4</v>
      </c>
      <c r="AK48" s="189" t="str">
        <f t="shared" ca="1" si="109"/>
        <v>Moderado</v>
      </c>
      <c r="AL48" s="185" t="s">
        <v>255</v>
      </c>
      <c r="AM48" s="227"/>
      <c r="AN48" s="230"/>
      <c r="AO48" s="228"/>
      <c r="AP48" s="228"/>
      <c r="AQ48" s="227"/>
      <c r="AR48" s="229"/>
    </row>
    <row r="49" spans="1:44" s="191" customFormat="1" ht="249" customHeight="1" thickTop="1" thickBot="1" x14ac:dyDescent="0.3">
      <c r="A49" s="352"/>
      <c r="B49" s="369"/>
      <c r="C49" s="357"/>
      <c r="D49" s="357"/>
      <c r="E49" s="357"/>
      <c r="F49" s="357"/>
      <c r="G49" s="357"/>
      <c r="H49" s="415"/>
      <c r="I49" s="362"/>
      <c r="J49" s="362"/>
      <c r="K49" s="362"/>
      <c r="L49" s="362"/>
      <c r="M49" s="357"/>
      <c r="N49" s="357"/>
      <c r="O49" s="363"/>
      <c r="P49" s="364"/>
      <c r="Q49" s="365"/>
      <c r="R49" s="365"/>
      <c r="S49" s="365"/>
      <c r="T49" s="364"/>
      <c r="U49" s="365"/>
      <c r="V49" s="351"/>
      <c r="W49" s="233">
        <v>4</v>
      </c>
      <c r="X49" s="207" t="s">
        <v>993</v>
      </c>
      <c r="Y49" s="230" t="str">
        <f t="shared" si="103"/>
        <v>Probabilidad</v>
      </c>
      <c r="Z49" s="185" t="s">
        <v>208</v>
      </c>
      <c r="AA49" s="185" t="s">
        <v>216</v>
      </c>
      <c r="AB49" s="186" t="str">
        <f t="shared" si="81"/>
        <v>40%</v>
      </c>
      <c r="AC49" s="185" t="s">
        <v>219</v>
      </c>
      <c r="AD49" s="185" t="s">
        <v>224</v>
      </c>
      <c r="AE49" s="185" t="s">
        <v>228</v>
      </c>
      <c r="AF49" s="187">
        <f t="shared" si="110"/>
        <v>0.12096</v>
      </c>
      <c r="AG49" s="188" t="str">
        <f t="shared" si="105"/>
        <v>Muy Baja</v>
      </c>
      <c r="AH49" s="186">
        <f t="shared" si="106"/>
        <v>0.12096</v>
      </c>
      <c r="AI49" s="188" t="str">
        <f t="shared" ca="1" si="107"/>
        <v>Menor</v>
      </c>
      <c r="AJ49" s="186">
        <f t="shared" ca="1" si="112"/>
        <v>0.4</v>
      </c>
      <c r="AK49" s="189" t="str">
        <f t="shared" ca="1" si="109"/>
        <v>Bajo</v>
      </c>
      <c r="AL49" s="185" t="s">
        <v>255</v>
      </c>
      <c r="AM49" s="227"/>
      <c r="AN49" s="230"/>
      <c r="AO49" s="228"/>
      <c r="AP49" s="228"/>
      <c r="AQ49" s="227"/>
      <c r="AR49" s="229"/>
    </row>
    <row r="50" spans="1:44" s="191" customFormat="1" ht="215.25" customHeight="1" thickTop="1" thickBot="1" x14ac:dyDescent="0.3">
      <c r="A50" s="352"/>
      <c r="B50" s="369"/>
      <c r="C50" s="357"/>
      <c r="D50" s="357"/>
      <c r="E50" s="357"/>
      <c r="F50" s="357"/>
      <c r="G50" s="357"/>
      <c r="H50" s="415"/>
      <c r="I50" s="362"/>
      <c r="J50" s="362"/>
      <c r="K50" s="362"/>
      <c r="L50" s="362"/>
      <c r="M50" s="357"/>
      <c r="N50" s="357"/>
      <c r="O50" s="363"/>
      <c r="P50" s="364"/>
      <c r="Q50" s="365"/>
      <c r="R50" s="365"/>
      <c r="S50" s="365"/>
      <c r="T50" s="364"/>
      <c r="U50" s="365"/>
      <c r="V50" s="351"/>
      <c r="W50" s="233">
        <v>5</v>
      </c>
      <c r="X50" s="207" t="s">
        <v>994</v>
      </c>
      <c r="Y50" s="230" t="str">
        <f t="shared" si="103"/>
        <v>Probabilidad</v>
      </c>
      <c r="Z50" s="185" t="s">
        <v>208</v>
      </c>
      <c r="AA50" s="185" t="s">
        <v>216</v>
      </c>
      <c r="AB50" s="186" t="str">
        <f t="shared" si="81"/>
        <v>40%</v>
      </c>
      <c r="AC50" s="185" t="s">
        <v>219</v>
      </c>
      <c r="AD50" s="185" t="s">
        <v>224</v>
      </c>
      <c r="AE50" s="185" t="s">
        <v>228</v>
      </c>
      <c r="AF50" s="187">
        <f t="shared" si="110"/>
        <v>7.2576000000000002E-2</v>
      </c>
      <c r="AG50" s="188" t="str">
        <f t="shared" si="105"/>
        <v>Muy Baja</v>
      </c>
      <c r="AH50" s="186">
        <f t="shared" si="106"/>
        <v>7.2576000000000002E-2</v>
      </c>
      <c r="AI50" s="188" t="str">
        <f t="shared" ca="1" si="107"/>
        <v>Menor</v>
      </c>
      <c r="AJ50" s="186">
        <f t="shared" ca="1" si="112"/>
        <v>0.4</v>
      </c>
      <c r="AK50" s="189" t="str">
        <f t="shared" ca="1" si="109"/>
        <v>Bajo</v>
      </c>
      <c r="AL50" s="185" t="s">
        <v>255</v>
      </c>
      <c r="AM50" s="227"/>
      <c r="AN50" s="230"/>
      <c r="AO50" s="228"/>
      <c r="AP50" s="228"/>
      <c r="AQ50" s="227"/>
      <c r="AR50" s="229"/>
    </row>
    <row r="51" spans="1:44" s="191" customFormat="1" ht="175.5" customHeight="1" thickTop="1" thickBot="1" x14ac:dyDescent="0.3">
      <c r="A51" s="352"/>
      <c r="B51" s="369"/>
      <c r="C51" s="357"/>
      <c r="D51" s="357"/>
      <c r="E51" s="357"/>
      <c r="F51" s="357"/>
      <c r="G51" s="357"/>
      <c r="H51" s="415"/>
      <c r="I51" s="362"/>
      <c r="J51" s="362"/>
      <c r="K51" s="362"/>
      <c r="L51" s="362"/>
      <c r="M51" s="357"/>
      <c r="N51" s="357"/>
      <c r="O51" s="363"/>
      <c r="P51" s="364"/>
      <c r="Q51" s="365"/>
      <c r="R51" s="365"/>
      <c r="S51" s="365"/>
      <c r="T51" s="364"/>
      <c r="U51" s="365"/>
      <c r="V51" s="351"/>
      <c r="W51" s="233">
        <v>6</v>
      </c>
      <c r="X51" s="209" t="s">
        <v>995</v>
      </c>
      <c r="Y51" s="230" t="str">
        <f t="shared" si="103"/>
        <v>Probabilidad</v>
      </c>
      <c r="Z51" s="185" t="s">
        <v>208</v>
      </c>
      <c r="AA51" s="185" t="s">
        <v>216</v>
      </c>
      <c r="AB51" s="186" t="str">
        <f t="shared" si="81"/>
        <v>40%</v>
      </c>
      <c r="AC51" s="185" t="s">
        <v>219</v>
      </c>
      <c r="AD51" s="185" t="s">
        <v>224</v>
      </c>
      <c r="AE51" s="185" t="s">
        <v>228</v>
      </c>
      <c r="AF51" s="187">
        <f t="shared" si="110"/>
        <v>4.3545600000000004E-2</v>
      </c>
      <c r="AG51" s="188" t="str">
        <f t="shared" si="105"/>
        <v>Muy Baja</v>
      </c>
      <c r="AH51" s="186">
        <f t="shared" si="106"/>
        <v>4.3545600000000004E-2</v>
      </c>
      <c r="AI51" s="188" t="str">
        <f t="shared" ca="1" si="107"/>
        <v>Menor</v>
      </c>
      <c r="AJ51" s="186">
        <f t="shared" ca="1" si="112"/>
        <v>0.4</v>
      </c>
      <c r="AK51" s="189" t="str">
        <f t="shared" ca="1" si="109"/>
        <v>Bajo</v>
      </c>
      <c r="AL51" s="185" t="s">
        <v>255</v>
      </c>
      <c r="AM51" s="227"/>
      <c r="AN51" s="230"/>
      <c r="AO51" s="228"/>
      <c r="AP51" s="228"/>
      <c r="AQ51" s="227"/>
      <c r="AR51" s="229"/>
    </row>
    <row r="52" spans="1:44" s="191" customFormat="1" ht="219.75" customHeight="1" thickTop="1" thickBot="1" x14ac:dyDescent="0.3">
      <c r="A52" s="352"/>
      <c r="B52" s="369"/>
      <c r="C52" s="357"/>
      <c r="D52" s="357"/>
      <c r="E52" s="357"/>
      <c r="F52" s="357"/>
      <c r="G52" s="357"/>
      <c r="H52" s="415"/>
      <c r="I52" s="362"/>
      <c r="J52" s="362"/>
      <c r="K52" s="362"/>
      <c r="L52" s="362"/>
      <c r="M52" s="357"/>
      <c r="N52" s="357"/>
      <c r="O52" s="363"/>
      <c r="P52" s="364"/>
      <c r="Q52" s="365"/>
      <c r="R52" s="365"/>
      <c r="S52" s="365"/>
      <c r="T52" s="364"/>
      <c r="U52" s="365"/>
      <c r="V52" s="351"/>
      <c r="W52" s="233">
        <v>7</v>
      </c>
      <c r="X52" s="209" t="s">
        <v>996</v>
      </c>
      <c r="Y52" s="230" t="str">
        <f t="shared" si="103"/>
        <v>Probabilidad</v>
      </c>
      <c r="Z52" s="185" t="s">
        <v>208</v>
      </c>
      <c r="AA52" s="185" t="s">
        <v>216</v>
      </c>
      <c r="AB52" s="186" t="str">
        <f t="shared" si="81"/>
        <v>40%</v>
      </c>
      <c r="AC52" s="185" t="s">
        <v>219</v>
      </c>
      <c r="AD52" s="185" t="s">
        <v>224</v>
      </c>
      <c r="AE52" s="185" t="s">
        <v>228</v>
      </c>
      <c r="AF52" s="187">
        <f t="shared" si="110"/>
        <v>2.6127360000000002E-2</v>
      </c>
      <c r="AG52" s="188" t="str">
        <f t="shared" si="105"/>
        <v>Muy Baja</v>
      </c>
      <c r="AH52" s="186">
        <f t="shared" si="106"/>
        <v>2.6127360000000002E-2</v>
      </c>
      <c r="AI52" s="188" t="str">
        <f t="shared" si="107"/>
        <v>Leve</v>
      </c>
      <c r="AJ52" s="186">
        <f t="shared" ref="AJ52" si="113">IFERROR(IF(Y52="Impacto",(U52-(+U52*AB52)),IF(Y52="Probabilidad",U52,"")),"")</f>
        <v>0</v>
      </c>
      <c r="AK52" s="189" t="str">
        <f t="shared" si="109"/>
        <v>Bajo</v>
      </c>
      <c r="AL52" s="185" t="s">
        <v>255</v>
      </c>
      <c r="AM52" s="227"/>
      <c r="AN52" s="230"/>
      <c r="AO52" s="228"/>
      <c r="AP52" s="228"/>
      <c r="AQ52" s="227"/>
      <c r="AR52" s="229"/>
    </row>
    <row r="53" spans="1:44" s="191" customFormat="1" ht="162" customHeight="1" thickTop="1" thickBot="1" x14ac:dyDescent="0.3">
      <c r="A53" s="352"/>
      <c r="B53" s="369"/>
      <c r="C53" s="357"/>
      <c r="D53" s="357"/>
      <c r="E53" s="357"/>
      <c r="F53" s="357"/>
      <c r="G53" s="357"/>
      <c r="H53" s="415"/>
      <c r="I53" s="362"/>
      <c r="J53" s="362"/>
      <c r="K53" s="362"/>
      <c r="L53" s="362"/>
      <c r="M53" s="357"/>
      <c r="N53" s="357"/>
      <c r="O53" s="363"/>
      <c r="P53" s="364"/>
      <c r="Q53" s="365"/>
      <c r="R53" s="365"/>
      <c r="S53" s="365"/>
      <c r="T53" s="364"/>
      <c r="U53" s="365"/>
      <c r="V53" s="351"/>
      <c r="W53" s="233">
        <v>8</v>
      </c>
      <c r="X53" s="209" t="s">
        <v>997</v>
      </c>
      <c r="Y53" s="230" t="str">
        <f t="shared" si="103"/>
        <v>Probabilidad</v>
      </c>
      <c r="Z53" s="185" t="s">
        <v>208</v>
      </c>
      <c r="AA53" s="185" t="s">
        <v>216</v>
      </c>
      <c r="AB53" s="186" t="str">
        <f t="shared" si="81"/>
        <v>40%</v>
      </c>
      <c r="AC53" s="185" t="s">
        <v>219</v>
      </c>
      <c r="AD53" s="185" t="s">
        <v>224</v>
      </c>
      <c r="AE53" s="185" t="s">
        <v>228</v>
      </c>
      <c r="AF53" s="187">
        <f t="shared" si="110"/>
        <v>1.5676415999999999E-2</v>
      </c>
      <c r="AG53" s="188" t="str">
        <f t="shared" si="105"/>
        <v>Muy Baja</v>
      </c>
      <c r="AH53" s="186">
        <f t="shared" si="106"/>
        <v>1.5676415999999999E-2</v>
      </c>
      <c r="AI53" s="188" t="str">
        <f t="shared" si="107"/>
        <v>Leve</v>
      </c>
      <c r="AJ53" s="186">
        <f t="shared" ref="AJ53" si="114">IFERROR(IF(AND(Y52="Impacto",Y53="Impacto"),(AJ52-(+AJ52*AB53)),IF(Y53="Impacto",(U52-(+U52*AB53)),IF(Y53="Probabilidad",AJ52,""))),"")</f>
        <v>0</v>
      </c>
      <c r="AK53" s="189" t="str">
        <f t="shared" si="109"/>
        <v>Bajo</v>
      </c>
      <c r="AL53" s="185" t="s">
        <v>255</v>
      </c>
      <c r="AM53" s="227"/>
      <c r="AN53" s="230"/>
      <c r="AO53" s="228"/>
      <c r="AP53" s="228"/>
      <c r="AQ53" s="227"/>
      <c r="AR53" s="229"/>
    </row>
    <row r="54" spans="1:44" s="191" customFormat="1" ht="160.5" customHeight="1" thickTop="1" thickBot="1" x14ac:dyDescent="0.3">
      <c r="A54" s="352"/>
      <c r="B54" s="369"/>
      <c r="C54" s="357"/>
      <c r="D54" s="357"/>
      <c r="E54" s="357"/>
      <c r="F54" s="357"/>
      <c r="G54" s="357"/>
      <c r="H54" s="415"/>
      <c r="I54" s="362"/>
      <c r="J54" s="362"/>
      <c r="K54" s="362"/>
      <c r="L54" s="362"/>
      <c r="M54" s="357"/>
      <c r="N54" s="357"/>
      <c r="O54" s="363"/>
      <c r="P54" s="364"/>
      <c r="Q54" s="365"/>
      <c r="R54" s="365"/>
      <c r="S54" s="365"/>
      <c r="T54" s="364"/>
      <c r="U54" s="365"/>
      <c r="V54" s="351"/>
      <c r="W54" s="233">
        <v>9</v>
      </c>
      <c r="X54" s="209" t="s">
        <v>998</v>
      </c>
      <c r="Y54" s="230" t="str">
        <f t="shared" si="103"/>
        <v>Probabilidad</v>
      </c>
      <c r="Z54" s="185" t="s">
        <v>208</v>
      </c>
      <c r="AA54" s="185" t="s">
        <v>216</v>
      </c>
      <c r="AB54" s="186" t="str">
        <f t="shared" si="81"/>
        <v>40%</v>
      </c>
      <c r="AC54" s="185" t="s">
        <v>219</v>
      </c>
      <c r="AD54" s="185" t="s">
        <v>224</v>
      </c>
      <c r="AE54" s="185" t="s">
        <v>228</v>
      </c>
      <c r="AF54" s="187">
        <f t="shared" si="110"/>
        <v>9.4058495999999985E-3</v>
      </c>
      <c r="AG54" s="188" t="str">
        <f t="shared" si="105"/>
        <v>Muy Baja</v>
      </c>
      <c r="AH54" s="186">
        <f t="shared" si="106"/>
        <v>9.4058495999999985E-3</v>
      </c>
      <c r="AI54" s="188" t="str">
        <f t="shared" si="107"/>
        <v>Leve</v>
      </c>
      <c r="AJ54" s="186">
        <f t="shared" ref="AJ54" si="115">IFERROR(IF(AND(Y53="Impacto",Y54="Impacto"),(AJ53-(+AJ53*AB54)),IF(AND(Y53="Probabilidad",Y54="Impacto"),(AJ52-(+AJ52*AB54)),IF(Y54="Probabilidad",AJ53,""))),"")</f>
        <v>0</v>
      </c>
      <c r="AK54" s="189" t="str">
        <f t="shared" si="109"/>
        <v>Bajo</v>
      </c>
      <c r="AL54" s="185" t="s">
        <v>255</v>
      </c>
      <c r="AM54" s="227"/>
      <c r="AN54" s="230"/>
      <c r="AO54" s="228"/>
      <c r="AP54" s="228"/>
      <c r="AQ54" s="227"/>
      <c r="AR54" s="229"/>
    </row>
    <row r="55" spans="1:44" s="191" customFormat="1" ht="187.5" customHeight="1" thickTop="1" thickBot="1" x14ac:dyDescent="0.3">
      <c r="A55" s="352">
        <v>17</v>
      </c>
      <c r="B55" s="369" t="s">
        <v>553</v>
      </c>
      <c r="C55" s="357" t="s">
        <v>269</v>
      </c>
      <c r="D55" s="359" t="s">
        <v>554</v>
      </c>
      <c r="E55" s="357" t="s">
        <v>238</v>
      </c>
      <c r="F55" s="375" t="s">
        <v>555</v>
      </c>
      <c r="G55" s="375" t="s">
        <v>556</v>
      </c>
      <c r="H55" s="374" t="s">
        <v>1118</v>
      </c>
      <c r="I55" s="362" t="s">
        <v>474</v>
      </c>
      <c r="J55" s="362" t="s">
        <v>474</v>
      </c>
      <c r="K55" s="362" t="s">
        <v>474</v>
      </c>
      <c r="L55" s="362" t="s">
        <v>474</v>
      </c>
      <c r="M55" s="357" t="s">
        <v>239</v>
      </c>
      <c r="N55" s="357"/>
      <c r="O55" s="363">
        <v>5000</v>
      </c>
      <c r="P55" s="364" t="str">
        <f t="shared" ref="P55" si="116">IF(O55&lt;=0,"",IF(O55&lt;=2,"Muy Baja",IF(O55&lt;=24,"Baja",IF(O55&lt;=500,"Media",IF(O55&lt;=5000,"Alta","Muy Alta")))))</f>
        <v>Alta</v>
      </c>
      <c r="Q55" s="365">
        <f t="shared" ref="Q55" si="117">IF(P55="","",IF(P55="Muy Baja",0.2,IF(P55="Baja",0.4,IF(P55="Media",0.6,IF(P55="Alta",0.8,IF(P55="Muy Alta",1,))))))</f>
        <v>0.8</v>
      </c>
      <c r="R55" s="365" t="s">
        <v>187</v>
      </c>
      <c r="S55" s="365" t="str">
        <f ca="1">IF(NOT(ISERROR(MATCH(R55,'Tabla Impacto'!$B$221:$B$223,0))),'Tabla Impacto'!$F$223&amp;"Por favor no seleccionar los criterios de impacto(Afectación Económica o presupuestal y Pérdida Reputacional)",R55)</f>
        <v>El riesgo afecta la imagen de la entidad internamente, de conocimiento general, nivel interno, de junta dircetiva y accionistas y/o de provedores</v>
      </c>
      <c r="T55" s="364" t="str">
        <f ca="1">+IF(OR(S55='[1]Tabla Impacto'!$C$11,S55='[1]Tabla Impacto'!$D$11),"Leve",IF(OR(S55='[1]Tabla Impacto'!$C$12,S55='[1]Tabla Impacto'!$D$12),"Menor",IF(OR(S55='[1]Tabla Impacto'!$C$13,S55='[1]Tabla Impacto'!$D$13),"Moderado",IF(OR(S55='[1]Tabla Impacto'!$C$14,S55='[1]Tabla Impacto'!$D$14),"Mayor",IF(OR(S55='[1]Tabla Impacto'!$C$15,S55='[1]Tabla Impacto'!$D$15),"Catastrófico","")))))</f>
        <v>Menor</v>
      </c>
      <c r="U55" s="365">
        <f t="shared" ref="U55" ca="1" si="118">IF(T55="","",IF(T55="Leve",0.2,IF(T55="Menor",0.4,IF(T55="Moderado",0.6,IF(T55="Mayor",0.8,IF(T55="Catastrófico",1,))))))</f>
        <v>0.4</v>
      </c>
      <c r="V55" s="351" t="str">
        <f t="shared" ref="V55" ca="1" si="119">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Moderado</v>
      </c>
      <c r="W55" s="233">
        <v>1</v>
      </c>
      <c r="X55" s="207" t="s">
        <v>999</v>
      </c>
      <c r="Y55" s="230" t="str">
        <f t="shared" si="103"/>
        <v>Probabilidad</v>
      </c>
      <c r="Z55" s="185" t="s">
        <v>208</v>
      </c>
      <c r="AA55" s="185" t="s">
        <v>216</v>
      </c>
      <c r="AB55" s="186" t="str">
        <f t="shared" si="81"/>
        <v>40%</v>
      </c>
      <c r="AC55" s="185" t="s">
        <v>219</v>
      </c>
      <c r="AD55" s="185" t="s">
        <v>224</v>
      </c>
      <c r="AE55" s="185" t="s">
        <v>228</v>
      </c>
      <c r="AF55" s="187">
        <f t="shared" ref="AF55" si="120">IFERROR(IF(Y55="Probabilidad",(Q55-(+Q55*AB55)),IF(Y55="Impacto",Q55,"")),"")</f>
        <v>0.48</v>
      </c>
      <c r="AG55" s="188" t="str">
        <f t="shared" si="105"/>
        <v>Media</v>
      </c>
      <c r="AH55" s="186">
        <f t="shared" si="106"/>
        <v>0.48</v>
      </c>
      <c r="AI55" s="188" t="str">
        <f t="shared" ca="1" si="107"/>
        <v>Menor</v>
      </c>
      <c r="AJ55" s="186">
        <f t="shared" ref="AJ55" ca="1" si="121">IFERROR(IF(Y55="Impacto",(U55-(+U55*AB55)),IF(Y55="Probabilidad",U55,"")),"")</f>
        <v>0.4</v>
      </c>
      <c r="AK55" s="189" t="str">
        <f t="shared" ca="1" si="109"/>
        <v>Moderado</v>
      </c>
      <c r="AL55" s="185" t="s">
        <v>255</v>
      </c>
      <c r="AM55" s="227"/>
      <c r="AN55" s="230"/>
      <c r="AO55" s="228"/>
      <c r="AP55" s="228"/>
      <c r="AQ55" s="227"/>
      <c r="AR55" s="229"/>
    </row>
    <row r="56" spans="1:44" s="191" customFormat="1" ht="139.5" customHeight="1" thickTop="1" thickBot="1" x14ac:dyDescent="0.3">
      <c r="A56" s="352"/>
      <c r="B56" s="369"/>
      <c r="C56" s="357"/>
      <c r="D56" s="359"/>
      <c r="E56" s="357"/>
      <c r="F56" s="375"/>
      <c r="G56" s="375"/>
      <c r="H56" s="374"/>
      <c r="I56" s="362"/>
      <c r="J56" s="362"/>
      <c r="K56" s="362"/>
      <c r="L56" s="362"/>
      <c r="M56" s="357"/>
      <c r="N56" s="357"/>
      <c r="O56" s="363"/>
      <c r="P56" s="364"/>
      <c r="Q56" s="365"/>
      <c r="R56" s="365"/>
      <c r="S56" s="365">
        <f ca="1">IF(NOT(ISERROR(MATCH(R56,_xlfn.ANCHORARRAY(H61),0))),#REF!&amp;"Por favor no seleccionar los criterios de impacto",R56)</f>
        <v>0</v>
      </c>
      <c r="T56" s="364"/>
      <c r="U56" s="365"/>
      <c r="V56" s="351"/>
      <c r="W56" s="233">
        <v>2</v>
      </c>
      <c r="X56" s="207" t="s">
        <v>1000</v>
      </c>
      <c r="Y56" s="230" t="str">
        <f t="shared" si="103"/>
        <v>Probabilidad</v>
      </c>
      <c r="Z56" s="185" t="s">
        <v>208</v>
      </c>
      <c r="AA56" s="185" t="s">
        <v>216</v>
      </c>
      <c r="AB56" s="186" t="str">
        <f t="shared" si="81"/>
        <v>40%</v>
      </c>
      <c r="AC56" s="185" t="s">
        <v>219</v>
      </c>
      <c r="AD56" s="185" t="s">
        <v>224</v>
      </c>
      <c r="AE56" s="185" t="s">
        <v>228</v>
      </c>
      <c r="AF56" s="187">
        <f t="shared" ref="AF56:AF57" si="122">IFERROR(IF(AND(Y55="Probabilidad",Y56="Probabilidad"),(AH55-(+AH55*AB56)),IF(Y56="Probabilidad",(Q55-(+Q55*AB56)),IF(Y56="Impacto",AH55,""))),"")</f>
        <v>0.28799999999999998</v>
      </c>
      <c r="AG56" s="188" t="str">
        <f t="shared" si="105"/>
        <v>Baja</v>
      </c>
      <c r="AH56" s="186">
        <f t="shared" si="106"/>
        <v>0.28799999999999998</v>
      </c>
      <c r="AI56" s="188" t="str">
        <f t="shared" ca="1" si="107"/>
        <v>Menor</v>
      </c>
      <c r="AJ56" s="186">
        <f t="shared" ref="AJ56" ca="1" si="123">IFERROR(IF(AND(Y55="Impacto",Y56="Impacto"),(AJ55-(+AJ55*AB56)),IF(Y56="Impacto",(U55-(+U55*AB56)),IF(Y56="Probabilidad",AJ55,""))),"")</f>
        <v>0.4</v>
      </c>
      <c r="AK56" s="189" t="str">
        <f t="shared" ca="1" si="109"/>
        <v>Moderado</v>
      </c>
      <c r="AL56" s="185" t="s">
        <v>255</v>
      </c>
      <c r="AM56" s="227"/>
      <c r="AN56" s="230"/>
      <c r="AO56" s="228"/>
      <c r="AP56" s="228"/>
      <c r="AQ56" s="227"/>
      <c r="AR56" s="229"/>
    </row>
    <row r="57" spans="1:44" s="191" customFormat="1" ht="161.25" customHeight="1" thickTop="1" thickBot="1" x14ac:dyDescent="0.3">
      <c r="A57" s="352"/>
      <c r="B57" s="369"/>
      <c r="C57" s="357"/>
      <c r="D57" s="359"/>
      <c r="E57" s="357"/>
      <c r="F57" s="375"/>
      <c r="G57" s="375"/>
      <c r="H57" s="374"/>
      <c r="I57" s="362"/>
      <c r="J57" s="362"/>
      <c r="K57" s="362"/>
      <c r="L57" s="362"/>
      <c r="M57" s="357"/>
      <c r="N57" s="357"/>
      <c r="O57" s="363"/>
      <c r="P57" s="364"/>
      <c r="Q57" s="365"/>
      <c r="R57" s="365"/>
      <c r="S57" s="365">
        <f ca="1">IF(NOT(ISERROR(MATCH(R57,_xlfn.ANCHORARRAY(H62),0))),#REF!&amp;"Por favor no seleccionar los criterios de impacto",R57)</f>
        <v>0</v>
      </c>
      <c r="T57" s="364"/>
      <c r="U57" s="365"/>
      <c r="V57" s="351"/>
      <c r="W57" s="233">
        <v>3</v>
      </c>
      <c r="X57" s="207" t="s">
        <v>1001</v>
      </c>
      <c r="Y57" s="230" t="str">
        <f t="shared" si="103"/>
        <v>Impacto</v>
      </c>
      <c r="Z57" s="185" t="s">
        <v>212</v>
      </c>
      <c r="AA57" s="185" t="s">
        <v>216</v>
      </c>
      <c r="AB57" s="186" t="str">
        <f t="shared" si="81"/>
        <v>25%</v>
      </c>
      <c r="AC57" s="185" t="s">
        <v>219</v>
      </c>
      <c r="AD57" s="185" t="s">
        <v>226</v>
      </c>
      <c r="AE57" s="185" t="s">
        <v>228</v>
      </c>
      <c r="AF57" s="187">
        <f t="shared" si="122"/>
        <v>0.28799999999999998</v>
      </c>
      <c r="AG57" s="188" t="str">
        <f t="shared" si="105"/>
        <v>Baja</v>
      </c>
      <c r="AH57" s="186">
        <f t="shared" si="106"/>
        <v>0.28799999999999998</v>
      </c>
      <c r="AI57" s="188" t="str">
        <f t="shared" ca="1" si="107"/>
        <v>Menor</v>
      </c>
      <c r="AJ57" s="186">
        <f t="shared" ref="AJ57" ca="1" si="124">IFERROR(IF(AND(Y56="Impacto",Y57="Impacto"),(AJ56-(+AJ56*AB57)),IF(AND(Y56="Probabilidad",Y57="Impacto"),(AJ55-(+AJ55*AB57)),IF(Y57="Probabilidad",AJ56,""))),"")</f>
        <v>0.30000000000000004</v>
      </c>
      <c r="AK57" s="189" t="str">
        <f t="shared" ca="1" si="109"/>
        <v>Moderado</v>
      </c>
      <c r="AL57" s="185" t="s">
        <v>255</v>
      </c>
      <c r="AM57" s="227"/>
      <c r="AN57" s="230"/>
      <c r="AO57" s="228"/>
      <c r="AP57" s="228"/>
      <c r="AQ57" s="227"/>
      <c r="AR57" s="229"/>
    </row>
    <row r="58" spans="1:44" s="191" customFormat="1" ht="153.75" customHeight="1" thickTop="1" thickBot="1" x14ac:dyDescent="0.3">
      <c r="A58" s="352">
        <v>18</v>
      </c>
      <c r="B58" s="369" t="s">
        <v>557</v>
      </c>
      <c r="C58" s="357" t="s">
        <v>269</v>
      </c>
      <c r="D58" s="359" t="s">
        <v>558</v>
      </c>
      <c r="E58" s="357" t="s">
        <v>238</v>
      </c>
      <c r="F58" s="375" t="s">
        <v>559</v>
      </c>
      <c r="G58" s="375" t="s">
        <v>560</v>
      </c>
      <c r="H58" s="374" t="s">
        <v>1119</v>
      </c>
      <c r="I58" s="362" t="s">
        <v>474</v>
      </c>
      <c r="J58" s="362" t="s">
        <v>474</v>
      </c>
      <c r="K58" s="362" t="s">
        <v>474</v>
      </c>
      <c r="L58" s="362" t="s">
        <v>474</v>
      </c>
      <c r="M58" s="357" t="s">
        <v>239</v>
      </c>
      <c r="N58" s="357"/>
      <c r="O58" s="363">
        <v>5000</v>
      </c>
      <c r="P58" s="364" t="str">
        <f t="shared" ref="P58" si="125">IF(O58&lt;=0,"",IF(O58&lt;=2,"Muy Baja",IF(O58&lt;=24,"Baja",IF(O58&lt;=500,"Media",IF(O58&lt;=5000,"Alta","Muy Alta")))))</f>
        <v>Alta</v>
      </c>
      <c r="Q58" s="365">
        <f t="shared" ref="Q58" si="126">IF(P58="","",IF(P58="Muy Baja",0.2,IF(P58="Baja",0.4,IF(P58="Media",0.6,IF(P58="Alta",0.8,IF(P58="Muy Alta",1,))))))</f>
        <v>0.8</v>
      </c>
      <c r="R58" s="365" t="s">
        <v>187</v>
      </c>
      <c r="S58" s="365" t="str">
        <f ca="1">IF(NOT(ISERROR(MATCH(R58,'Tabla Impacto'!$B$221:$B$223,0))),'Tabla Impacto'!$F$223&amp;"Por favor no seleccionar los criterios de impacto(Afectación Económica o presupuestal y Pérdida Reputacional)",R58)</f>
        <v>El riesgo afecta la imagen de la entidad internamente, de conocimiento general, nivel interno, de junta dircetiva y accionistas y/o de provedores</v>
      </c>
      <c r="T58" s="364" t="str">
        <f ca="1">+IF(OR(S58='[1]Tabla Impacto'!$C$11,S58='[1]Tabla Impacto'!$D$11),"Leve",IF(OR(S58='[1]Tabla Impacto'!$C$12,S58='[1]Tabla Impacto'!$D$12),"Menor",IF(OR(S58='[1]Tabla Impacto'!$C$13,S58='[1]Tabla Impacto'!$D$13),"Moderado",IF(OR(S58='[1]Tabla Impacto'!$C$14,S58='[1]Tabla Impacto'!$D$14),"Mayor",IF(OR(S58='[1]Tabla Impacto'!$C$15,S58='[1]Tabla Impacto'!$D$15),"Catastrófico","")))))</f>
        <v>Menor</v>
      </c>
      <c r="U58" s="365">
        <f t="shared" ref="U58" ca="1" si="127">IF(T58="","",IF(T58="Leve",0.2,IF(T58="Menor",0.4,IF(T58="Moderado",0.6,IF(T58="Mayor",0.8,IF(T58="Catastrófico",1,))))))</f>
        <v>0.4</v>
      </c>
      <c r="V58" s="351" t="str">
        <f t="shared" ref="V58" ca="1" si="128">IF(OR(AND(P58="Muy Baja",T58="Leve"),AND(P58="Muy Baja",T58="Menor"),AND(P58="Baja",T58="Leve")),"Bajo",IF(OR(AND(P58="Muy baja",T58="Moderado"),AND(P58="Baja",T58="Menor"),AND(P58="Baja",T58="Moderado"),AND(P58="Media",T58="Leve"),AND(P58="Media",T58="Menor"),AND(P58="Media",T58="Moderado"),AND(P58="Alta",T58="Leve"),AND(P58="Alta",T58="Menor")),"Moderado",IF(OR(AND(P58="Muy Baja",T58="Mayor"),AND(P58="Baja",T58="Mayor"),AND(P58="Media",T58="Mayor"),AND(P58="Alta",T58="Moderado"),AND(P58="Alta",T58="Mayor"),AND(P58="Muy Alta",T58="Leve"),AND(P58="Muy Alta",T58="Menor"),AND(P58="Muy Alta",T58="Moderado"),AND(P58="Muy Alta",T58="Mayor")),"Alto",IF(OR(AND(P58="Muy Baja",T58="Catastrófico"),AND(P58="Baja",T58="Catastrófico"),AND(P58="Media",T58="Catastrófico"),AND(P58="Alta",T58="Catastrófico"),AND(P58="Muy Alta",T58="Catastrófico")),"Extremo",""))))</f>
        <v>Moderado</v>
      </c>
      <c r="W58" s="233">
        <v>1</v>
      </c>
      <c r="X58" s="207" t="s">
        <v>1002</v>
      </c>
      <c r="Y58" s="230" t="str">
        <f t="shared" si="103"/>
        <v>Probabilidad</v>
      </c>
      <c r="Z58" s="185" t="s">
        <v>208</v>
      </c>
      <c r="AA58" s="185" t="s">
        <v>216</v>
      </c>
      <c r="AB58" s="186" t="str">
        <f t="shared" si="81"/>
        <v>40%</v>
      </c>
      <c r="AC58" s="185" t="s">
        <v>219</v>
      </c>
      <c r="AD58" s="185" t="s">
        <v>224</v>
      </c>
      <c r="AE58" s="185" t="s">
        <v>228</v>
      </c>
      <c r="AF58" s="187">
        <f t="shared" ref="AF58" si="129">IFERROR(IF(Y58="Probabilidad",(Q58-(+Q58*AB58)),IF(Y58="Impacto",Q58,"")),"")</f>
        <v>0.48</v>
      </c>
      <c r="AG58" s="188" t="str">
        <f t="shared" si="105"/>
        <v>Media</v>
      </c>
      <c r="AH58" s="186">
        <f t="shared" si="106"/>
        <v>0.48</v>
      </c>
      <c r="AI58" s="188" t="str">
        <f t="shared" ca="1" si="107"/>
        <v>Menor</v>
      </c>
      <c r="AJ58" s="186">
        <f t="shared" ref="AJ58" ca="1" si="130">IFERROR(IF(Y58="Impacto",(U58-(+U58*AB58)),IF(Y58="Probabilidad",U58,"")),"")</f>
        <v>0.4</v>
      </c>
      <c r="AK58" s="189" t="str">
        <f t="shared" ca="1" si="109"/>
        <v>Moderado</v>
      </c>
      <c r="AL58" s="185" t="s">
        <v>255</v>
      </c>
      <c r="AM58" s="227"/>
      <c r="AN58" s="230"/>
      <c r="AO58" s="228"/>
      <c r="AP58" s="228"/>
      <c r="AQ58" s="227"/>
      <c r="AR58" s="229"/>
    </row>
    <row r="59" spans="1:44" s="191" customFormat="1" ht="147" customHeight="1" thickTop="1" thickBot="1" x14ac:dyDescent="0.3">
      <c r="A59" s="352"/>
      <c r="B59" s="369"/>
      <c r="C59" s="357"/>
      <c r="D59" s="359"/>
      <c r="E59" s="357"/>
      <c r="F59" s="375"/>
      <c r="G59" s="375"/>
      <c r="H59" s="374"/>
      <c r="I59" s="362"/>
      <c r="J59" s="362"/>
      <c r="K59" s="362"/>
      <c r="L59" s="362"/>
      <c r="M59" s="357"/>
      <c r="N59" s="357"/>
      <c r="O59" s="363"/>
      <c r="P59" s="364"/>
      <c r="Q59" s="365"/>
      <c r="R59" s="365"/>
      <c r="S59" s="365">
        <f ca="1">IF(NOT(ISERROR(MATCH(R59,_xlfn.ANCHORARRAY(H63),0))),Q65&amp;"Por favor no seleccionar los criterios de impacto",R59)</f>
        <v>0</v>
      </c>
      <c r="T59" s="364"/>
      <c r="U59" s="365"/>
      <c r="V59" s="351"/>
      <c r="W59" s="233">
        <v>2</v>
      </c>
      <c r="X59" s="207" t="s">
        <v>1003</v>
      </c>
      <c r="Y59" s="230" t="str">
        <f t="shared" si="103"/>
        <v>Probabilidad</v>
      </c>
      <c r="Z59" s="185" t="s">
        <v>208</v>
      </c>
      <c r="AA59" s="185" t="s">
        <v>216</v>
      </c>
      <c r="AB59" s="186" t="str">
        <f t="shared" si="81"/>
        <v>40%</v>
      </c>
      <c r="AC59" s="185" t="s">
        <v>219</v>
      </c>
      <c r="AD59" s="185" t="s">
        <v>224</v>
      </c>
      <c r="AE59" s="185" t="s">
        <v>228</v>
      </c>
      <c r="AF59" s="187">
        <f t="shared" ref="AF59:AF60" si="131">IFERROR(IF(AND(Y58="Probabilidad",Y59="Probabilidad"),(AH58-(+AH58*AB59)),IF(Y59="Probabilidad",(Q58-(+Q58*AB59)),IF(Y59="Impacto",AH58,""))),"")</f>
        <v>0.28799999999999998</v>
      </c>
      <c r="AG59" s="188" t="str">
        <f t="shared" si="105"/>
        <v>Baja</v>
      </c>
      <c r="AH59" s="186">
        <f t="shared" si="106"/>
        <v>0.28799999999999998</v>
      </c>
      <c r="AI59" s="188" t="str">
        <f t="shared" ca="1" si="107"/>
        <v>Menor</v>
      </c>
      <c r="AJ59" s="186">
        <f t="shared" ref="AJ59" ca="1" si="132">IFERROR(IF(AND(Y58="Impacto",Y59="Impacto"),(AJ58-(+AJ58*AB59)),IF(Y59="Impacto",(U58-(+U58*AB59)),IF(Y59="Probabilidad",AJ58,""))),"")</f>
        <v>0.4</v>
      </c>
      <c r="AK59" s="189" t="str">
        <f t="shared" ca="1" si="109"/>
        <v>Moderado</v>
      </c>
      <c r="AL59" s="185" t="s">
        <v>255</v>
      </c>
      <c r="AM59" s="227"/>
      <c r="AN59" s="230"/>
      <c r="AO59" s="228"/>
      <c r="AP59" s="228"/>
      <c r="AQ59" s="227"/>
      <c r="AR59" s="229"/>
    </row>
    <row r="60" spans="1:44" s="191" customFormat="1" ht="159.75" customHeight="1" thickTop="1" thickBot="1" x14ac:dyDescent="0.3">
      <c r="A60" s="352"/>
      <c r="B60" s="369"/>
      <c r="C60" s="357"/>
      <c r="D60" s="359"/>
      <c r="E60" s="357"/>
      <c r="F60" s="375"/>
      <c r="G60" s="375"/>
      <c r="H60" s="374"/>
      <c r="I60" s="362"/>
      <c r="J60" s="362"/>
      <c r="K60" s="362"/>
      <c r="L60" s="362"/>
      <c r="M60" s="357"/>
      <c r="N60" s="357"/>
      <c r="O60" s="363"/>
      <c r="P60" s="364"/>
      <c r="Q60" s="365"/>
      <c r="R60" s="365"/>
      <c r="S60" s="365">
        <f ca="1">IF(NOT(ISERROR(MATCH(R60,_xlfn.ANCHORARRAY(H64),0))),Q66&amp;"Por favor no seleccionar los criterios de impacto",R60)</f>
        <v>0</v>
      </c>
      <c r="T60" s="364"/>
      <c r="U60" s="365"/>
      <c r="V60" s="351"/>
      <c r="W60" s="233">
        <v>3</v>
      </c>
      <c r="X60" s="207" t="s">
        <v>1004</v>
      </c>
      <c r="Y60" s="230" t="str">
        <f t="shared" si="103"/>
        <v>Probabilidad</v>
      </c>
      <c r="Z60" s="185" t="s">
        <v>208</v>
      </c>
      <c r="AA60" s="185" t="s">
        <v>216</v>
      </c>
      <c r="AB60" s="186" t="str">
        <f t="shared" si="81"/>
        <v>40%</v>
      </c>
      <c r="AC60" s="185" t="s">
        <v>219</v>
      </c>
      <c r="AD60" s="185" t="s">
        <v>224</v>
      </c>
      <c r="AE60" s="185" t="s">
        <v>228</v>
      </c>
      <c r="AF60" s="187">
        <f t="shared" si="131"/>
        <v>0.17279999999999998</v>
      </c>
      <c r="AG60" s="188" t="str">
        <f t="shared" si="105"/>
        <v>Muy Baja</v>
      </c>
      <c r="AH60" s="186">
        <f t="shared" si="106"/>
        <v>0.17279999999999998</v>
      </c>
      <c r="AI60" s="188" t="str">
        <f t="shared" ca="1" si="107"/>
        <v>Menor</v>
      </c>
      <c r="AJ60" s="186">
        <f t="shared" ref="AJ60" ca="1" si="133">IFERROR(IF(AND(Y59="Impacto",Y60="Impacto"),(AJ59-(+AJ59*AB60)),IF(AND(Y59="Probabilidad",Y60="Impacto"),(AJ58-(+AJ58*AB60)),IF(Y60="Probabilidad",AJ59,""))),"")</f>
        <v>0.4</v>
      </c>
      <c r="AK60" s="189" t="str">
        <f t="shared" ca="1" si="109"/>
        <v>Bajo</v>
      </c>
      <c r="AL60" s="185" t="s">
        <v>255</v>
      </c>
      <c r="AM60" s="227"/>
      <c r="AN60" s="230"/>
      <c r="AO60" s="228"/>
      <c r="AP60" s="228"/>
      <c r="AQ60" s="227"/>
      <c r="AR60" s="229"/>
    </row>
    <row r="61" spans="1:44" s="191" customFormat="1" ht="141" customHeight="1" thickTop="1" thickBot="1" x14ac:dyDescent="0.3">
      <c r="A61" s="352">
        <v>19</v>
      </c>
      <c r="B61" s="369" t="s">
        <v>561</v>
      </c>
      <c r="C61" s="357" t="s">
        <v>269</v>
      </c>
      <c r="D61" s="359" t="s">
        <v>562</v>
      </c>
      <c r="E61" s="357" t="s">
        <v>238</v>
      </c>
      <c r="F61" s="375" t="s">
        <v>563</v>
      </c>
      <c r="G61" s="375" t="s">
        <v>564</v>
      </c>
      <c r="H61" s="374" t="s">
        <v>1120</v>
      </c>
      <c r="I61" s="362" t="s">
        <v>474</v>
      </c>
      <c r="J61" s="362" t="s">
        <v>474</v>
      </c>
      <c r="K61" s="362" t="s">
        <v>474</v>
      </c>
      <c r="L61" s="362" t="s">
        <v>474</v>
      </c>
      <c r="M61" s="357" t="s">
        <v>239</v>
      </c>
      <c r="N61" s="357"/>
      <c r="O61" s="363">
        <v>5000</v>
      </c>
      <c r="P61" s="364" t="str">
        <f t="shared" ref="P61:P76" si="134">IF(O61&lt;=0,"",IF(O61&lt;=2,"Muy Baja",IF(O61&lt;=24,"Baja",IF(O61&lt;=500,"Media",IF(O61&lt;=5000,"Alta","Muy Alta")))))</f>
        <v>Alta</v>
      </c>
      <c r="Q61" s="365">
        <f t="shared" ref="Q61:Q76" si="135">IF(P61="","",IF(P61="Muy Baja",0.2,IF(P61="Baja",0.4,IF(P61="Media",0.6,IF(P61="Alta",0.8,IF(P61="Muy Alta",1,))))))</f>
        <v>0.8</v>
      </c>
      <c r="R61" s="365" t="s">
        <v>190</v>
      </c>
      <c r="S61" s="365" t="str">
        <f ca="1">IF(NOT(ISERROR(MATCH(R61,'Tabla Impacto'!$B$221:$B$223,0))),'Tabla Impacto'!$F$223&amp;"Por favor no seleccionar los criterios de impacto(Afectación Económica o presupuestal y Pérdida Reputacional)",R61)</f>
        <v>El riesgo afecta la imagen de la entidad con algunos usuarios de relevancia frente al logro de los objetivos</v>
      </c>
      <c r="T61" s="364" t="str">
        <f ca="1">+IF(OR(S61='[1]Tabla Impacto'!$C$11,S61='[1]Tabla Impacto'!$D$11),"Leve",IF(OR(S61='[1]Tabla Impacto'!$C$12,S61='[1]Tabla Impacto'!$D$12),"Menor",IF(OR(S61='[1]Tabla Impacto'!$C$13,S61='[1]Tabla Impacto'!$D$13),"Moderado",IF(OR(S61='[1]Tabla Impacto'!$C$14,S61='[1]Tabla Impacto'!$D$14),"Mayor",IF(OR(S61='[1]Tabla Impacto'!$C$15,S61='[1]Tabla Impacto'!$D$15),"Catastrófico","")))))</f>
        <v>Moderado</v>
      </c>
      <c r="U61" s="365">
        <f t="shared" ref="U61" ca="1" si="136">IF(T61="","",IF(T61="Leve",0.2,IF(T61="Menor",0.4,IF(T61="Moderado",0.6,IF(T61="Mayor",0.8,IF(T61="Catastrófico",1,))))))</f>
        <v>0.6</v>
      </c>
      <c r="V61" s="351" t="str">
        <f t="shared" ref="V61" ca="1" si="13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Alto</v>
      </c>
      <c r="W61" s="233">
        <v>1</v>
      </c>
      <c r="X61" s="207" t="s">
        <v>1005</v>
      </c>
      <c r="Y61" s="230" t="str">
        <f t="shared" ref="Y61:Y77" si="138">IF(OR(Z61="Preventivo",Z61="Detectivo"),"Probabilidad",IF(Z61="Correctivo","Impacto",""))</f>
        <v>Probabilidad</v>
      </c>
      <c r="Z61" s="185" t="s">
        <v>208</v>
      </c>
      <c r="AA61" s="185" t="s">
        <v>216</v>
      </c>
      <c r="AB61" s="186" t="str">
        <f t="shared" si="81"/>
        <v>40%</v>
      </c>
      <c r="AC61" s="185" t="s">
        <v>219</v>
      </c>
      <c r="AD61" s="185" t="s">
        <v>224</v>
      </c>
      <c r="AE61" s="185" t="s">
        <v>228</v>
      </c>
      <c r="AF61" s="187">
        <f t="shared" ref="AF61" si="139">IFERROR(IF(Y61="Probabilidad",(Q61-(+Q61*AB61)),IF(Y61="Impacto",Q61,"")),"")</f>
        <v>0.48</v>
      </c>
      <c r="AG61" s="188" t="str">
        <f t="shared" ref="AG61:AG77" si="140">IFERROR(IF(AF61="","",IF(AF61&lt;=0.2,"Muy Baja",IF(AF61&lt;=0.4,"Baja",IF(AF61&lt;=0.6,"Media",IF(AF61&lt;=0.8,"Alta","Muy Alta"))))),"")</f>
        <v>Media</v>
      </c>
      <c r="AH61" s="186">
        <f t="shared" ref="AH61:AH77" si="141">+AF61</f>
        <v>0.48</v>
      </c>
      <c r="AI61" s="188" t="str">
        <f t="shared" ref="AI61:AI77" ca="1" si="142">IFERROR(IF(AJ61="","",IF(AJ61&lt;=0.2,"Leve",IF(AJ61&lt;=0.4,"Menor",IF(AJ61&lt;=0.6,"Moderado",IF(AJ61&lt;=0.8,"Mayor","Catastrófico"))))),"")</f>
        <v>Moderado</v>
      </c>
      <c r="AJ61" s="186">
        <f t="shared" ref="AJ61" ca="1" si="143">IFERROR(IF(Y61="Impacto",(U61-(+U61*AB61)),IF(Y61="Probabilidad",U61,"")),"")</f>
        <v>0.6</v>
      </c>
      <c r="AK61" s="189" t="str">
        <f t="shared" ref="AK61:AK77" ca="1" si="144">IFERROR(IF(OR(AND(AG61="Muy Baja",AI61="Leve"),AND(AG61="Muy Baja",AI61="Menor"),AND(AG61="Baja",AI61="Leve")),"Bajo",IF(OR(AND(AG61="Muy baja",AI61="Moderado"),AND(AG61="Baja",AI61="Menor"),AND(AG61="Baja",AI61="Moderado"),AND(AG61="Media",AI61="Leve"),AND(AG61="Media",AI61="Menor"),AND(AG61="Media",AI61="Moderado"),AND(AG61="Alta",AI61="Leve"),AND(AG61="Alta",AI61="Menor")),"Moderado",IF(OR(AND(AG61="Muy Baja",AI61="Mayor"),AND(AG61="Baja",AI61="Mayor"),AND(AG61="Media",AI61="Mayor"),AND(AG61="Alta",AI61="Moderado"),AND(AG61="Alta",AI61="Mayor"),AND(AG61="Muy Alta",AI61="Leve"),AND(AG61="Muy Alta",AI61="Menor"),AND(AG61="Muy Alta",AI61="Moderado"),AND(AG61="Muy Alta",AI61="Mayor")),"Alto",IF(OR(AND(AG61="Muy Baja",AI61="Catastrófico"),AND(AG61="Baja",AI61="Catastrófico"),AND(AG61="Media",AI61="Catastrófico"),AND(AG61="Alta",AI61="Catastrófico"),AND(AG61="Muy Alta",AI61="Catastrófico")),"Extremo","")))),"")</f>
        <v>Moderado</v>
      </c>
      <c r="AL61" s="185" t="s">
        <v>255</v>
      </c>
      <c r="AM61" s="227"/>
      <c r="AN61" s="230"/>
      <c r="AO61" s="228"/>
      <c r="AP61" s="228"/>
      <c r="AQ61" s="227"/>
      <c r="AR61" s="229"/>
    </row>
    <row r="62" spans="1:44" s="191" customFormat="1" ht="187.5" customHeight="1" thickTop="1" thickBot="1" x14ac:dyDescent="0.3">
      <c r="A62" s="352"/>
      <c r="B62" s="369"/>
      <c r="C62" s="357"/>
      <c r="D62" s="359"/>
      <c r="E62" s="357"/>
      <c r="F62" s="375"/>
      <c r="G62" s="375"/>
      <c r="H62" s="374"/>
      <c r="I62" s="362"/>
      <c r="J62" s="362"/>
      <c r="K62" s="362"/>
      <c r="L62" s="362"/>
      <c r="M62" s="357"/>
      <c r="N62" s="357"/>
      <c r="O62" s="363"/>
      <c r="P62" s="364"/>
      <c r="Q62" s="365"/>
      <c r="R62" s="365"/>
      <c r="S62" s="365">
        <f ca="1">IF(NOT(ISERROR(MATCH(R62,_xlfn.ANCHORARRAY(H68),0))),#REF!&amp;"Por favor no seleccionar los criterios de impacto",R62)</f>
        <v>0</v>
      </c>
      <c r="T62" s="364"/>
      <c r="U62" s="365"/>
      <c r="V62" s="351"/>
      <c r="W62" s="233">
        <v>2</v>
      </c>
      <c r="X62" s="207" t="s">
        <v>1006</v>
      </c>
      <c r="Y62" s="230" t="str">
        <f t="shared" si="138"/>
        <v>Probabilidad</v>
      </c>
      <c r="Z62" s="185" t="s">
        <v>208</v>
      </c>
      <c r="AA62" s="185" t="s">
        <v>216</v>
      </c>
      <c r="AB62" s="186" t="str">
        <f t="shared" si="81"/>
        <v>40%</v>
      </c>
      <c r="AC62" s="185" t="s">
        <v>219</v>
      </c>
      <c r="AD62" s="185" t="s">
        <v>224</v>
      </c>
      <c r="AE62" s="185" t="s">
        <v>228</v>
      </c>
      <c r="AF62" s="187">
        <f t="shared" ref="AF62" si="145">IFERROR(IF(AND(Y61="Probabilidad",Y62="Probabilidad"),(AH61-(+AH61*AB62)),IF(Y62="Probabilidad",(Q61-(+Q61*AB62)),IF(Y62="Impacto",AH61,""))),"")</f>
        <v>0.28799999999999998</v>
      </c>
      <c r="AG62" s="188" t="str">
        <f t="shared" si="140"/>
        <v>Baja</v>
      </c>
      <c r="AH62" s="186">
        <f t="shared" si="141"/>
        <v>0.28799999999999998</v>
      </c>
      <c r="AI62" s="188" t="str">
        <f t="shared" ca="1" si="142"/>
        <v>Moderado</v>
      </c>
      <c r="AJ62" s="186">
        <f t="shared" ref="AJ62" ca="1" si="146">IFERROR(IF(AND(Y61="Impacto",Y62="Impacto"),(AJ61-(+AJ61*AB62)),IF(Y62="Impacto",(U61-(+U61*AB62)),IF(Y62="Probabilidad",AJ61,""))),"")</f>
        <v>0.6</v>
      </c>
      <c r="AK62" s="189" t="str">
        <f t="shared" ca="1" si="144"/>
        <v>Moderado</v>
      </c>
      <c r="AL62" s="185" t="s">
        <v>255</v>
      </c>
      <c r="AM62" s="227"/>
      <c r="AN62" s="230"/>
      <c r="AO62" s="228"/>
      <c r="AP62" s="228"/>
      <c r="AQ62" s="227"/>
      <c r="AR62" s="229"/>
    </row>
    <row r="63" spans="1:44" s="191" customFormat="1" ht="138" customHeight="1" thickTop="1" thickBot="1" x14ac:dyDescent="0.3">
      <c r="A63" s="352">
        <v>20</v>
      </c>
      <c r="B63" s="369" t="s">
        <v>565</v>
      </c>
      <c r="C63" s="357" t="s">
        <v>269</v>
      </c>
      <c r="D63" s="359" t="s">
        <v>566</v>
      </c>
      <c r="E63" s="357" t="s">
        <v>240</v>
      </c>
      <c r="F63" s="375" t="s">
        <v>567</v>
      </c>
      <c r="G63" s="375" t="s">
        <v>568</v>
      </c>
      <c r="H63" s="374" t="s">
        <v>1121</v>
      </c>
      <c r="I63" s="362" t="s">
        <v>474</v>
      </c>
      <c r="J63" s="362" t="s">
        <v>474</v>
      </c>
      <c r="K63" s="362" t="s">
        <v>474</v>
      </c>
      <c r="L63" s="362" t="s">
        <v>474</v>
      </c>
      <c r="M63" s="357" t="s">
        <v>239</v>
      </c>
      <c r="N63" s="357"/>
      <c r="O63" s="363">
        <v>365</v>
      </c>
      <c r="P63" s="364" t="str">
        <f t="shared" si="134"/>
        <v>Media</v>
      </c>
      <c r="Q63" s="365">
        <f t="shared" si="135"/>
        <v>0.6</v>
      </c>
      <c r="R63" s="365" t="s">
        <v>190</v>
      </c>
      <c r="S63" s="365" t="str">
        <f ca="1">IF(NOT(ISERROR(MATCH(R63,'Tabla Impacto'!$B$221:$B$223,0))),'Tabla Impacto'!$F$223&amp;"Por favor no seleccionar los criterios de impacto(Afectación Económica o presupuestal y Pérdida Reputacional)",R63)</f>
        <v>El riesgo afecta la imagen de la entidad con algunos usuarios de relevancia frente al logro de los objetivos</v>
      </c>
      <c r="T63" s="364" t="str">
        <f ca="1">+IF(OR(S63='[1]Tabla Impacto'!$C$11,S63='[1]Tabla Impacto'!$D$11),"Leve",IF(OR(S63='[1]Tabla Impacto'!$C$12,S63='[1]Tabla Impacto'!$D$12),"Menor",IF(OR(S63='[1]Tabla Impacto'!$C$13,S63='[1]Tabla Impacto'!$D$13),"Moderado",IF(OR(S63='[1]Tabla Impacto'!$C$14,S63='[1]Tabla Impacto'!$D$14),"Mayor",IF(OR(S63='[1]Tabla Impacto'!$C$15,S63='[1]Tabla Impacto'!$D$15),"Catastrófico","")))))</f>
        <v>Moderado</v>
      </c>
      <c r="U63" s="365">
        <f t="shared" ref="U63" ca="1" si="147">IF(T63="","",IF(T63="Leve",0.2,IF(T63="Menor",0.4,IF(T63="Moderado",0.6,IF(T63="Mayor",0.8,IF(T63="Catastrófico",1,))))))</f>
        <v>0.6</v>
      </c>
      <c r="V63" s="351" t="str">
        <f t="shared" ref="V63" ca="1" si="148">IF(OR(AND(P63="Muy Baja",T63="Leve"),AND(P63="Muy Baja",T63="Menor"),AND(P63="Baja",T63="Leve")),"Bajo",IF(OR(AND(P63="Muy baja",T63="Moderado"),AND(P63="Baja",T63="Menor"),AND(P63="Baja",T63="Moderado"),AND(P63="Media",T63="Leve"),AND(P63="Media",T63="Menor"),AND(P63="Media",T63="Moderado"),AND(P63="Alta",T63="Leve"),AND(P63="Alta",T63="Menor")),"Moderado",IF(OR(AND(P63="Muy Baja",T63="Mayor"),AND(P63="Baja",T63="Mayor"),AND(P63="Media",T63="Mayor"),AND(P63="Alta",T63="Moderado"),AND(P63="Alta",T63="Mayor"),AND(P63="Muy Alta",T63="Leve"),AND(P63="Muy Alta",T63="Menor"),AND(P63="Muy Alta",T63="Moderado"),AND(P63="Muy Alta",T63="Mayor")),"Alto",IF(OR(AND(P63="Muy Baja",T63="Catastrófico"),AND(P63="Baja",T63="Catastrófico"),AND(P63="Media",T63="Catastrófico"),AND(P63="Alta",T63="Catastrófico"),AND(P63="Muy Alta",T63="Catastrófico")),"Extremo",""))))</f>
        <v>Moderado</v>
      </c>
      <c r="W63" s="233">
        <v>1</v>
      </c>
      <c r="X63" s="207" t="s">
        <v>1007</v>
      </c>
      <c r="Y63" s="230" t="str">
        <f t="shared" si="138"/>
        <v>Probabilidad</v>
      </c>
      <c r="Z63" s="185" t="s">
        <v>210</v>
      </c>
      <c r="AA63" s="185" t="s">
        <v>216</v>
      </c>
      <c r="AB63" s="186" t="str">
        <f t="shared" si="81"/>
        <v>30%</v>
      </c>
      <c r="AC63" s="185" t="s">
        <v>219</v>
      </c>
      <c r="AD63" s="185" t="s">
        <v>224</v>
      </c>
      <c r="AE63" s="185" t="s">
        <v>228</v>
      </c>
      <c r="AF63" s="187">
        <f t="shared" ref="AF63" si="149">IFERROR(IF(Y63="Probabilidad",(Q63-(+Q63*AB63)),IF(Y63="Impacto",Q63,"")),"")</f>
        <v>0.42</v>
      </c>
      <c r="AG63" s="188" t="str">
        <f t="shared" si="140"/>
        <v>Media</v>
      </c>
      <c r="AH63" s="186">
        <f t="shared" si="141"/>
        <v>0.42</v>
      </c>
      <c r="AI63" s="188" t="str">
        <f t="shared" ca="1" si="142"/>
        <v>Moderado</v>
      </c>
      <c r="AJ63" s="186">
        <f t="shared" ref="AJ63" ca="1" si="150">IFERROR(IF(Y63="Impacto",(U63-(+U63*AB63)),IF(Y63="Probabilidad",U63,"")),"")</f>
        <v>0.6</v>
      </c>
      <c r="AK63" s="189" t="str">
        <f t="shared" ca="1" si="144"/>
        <v>Moderado</v>
      </c>
      <c r="AL63" s="185" t="s">
        <v>255</v>
      </c>
      <c r="AM63" s="227"/>
      <c r="AN63" s="230"/>
      <c r="AO63" s="228"/>
      <c r="AP63" s="228"/>
      <c r="AQ63" s="227"/>
      <c r="AR63" s="229"/>
    </row>
    <row r="64" spans="1:44" s="191" customFormat="1" ht="208.5" customHeight="1" thickTop="1" thickBot="1" x14ac:dyDescent="0.3">
      <c r="A64" s="352"/>
      <c r="B64" s="369"/>
      <c r="C64" s="357"/>
      <c r="D64" s="359"/>
      <c r="E64" s="357"/>
      <c r="F64" s="375"/>
      <c r="G64" s="375"/>
      <c r="H64" s="374"/>
      <c r="I64" s="362"/>
      <c r="J64" s="362"/>
      <c r="K64" s="362"/>
      <c r="L64" s="362"/>
      <c r="M64" s="357"/>
      <c r="N64" s="357"/>
      <c r="O64" s="363"/>
      <c r="P64" s="364"/>
      <c r="Q64" s="365"/>
      <c r="R64" s="365"/>
      <c r="S64" s="365">
        <f ca="1">IF(NOT(ISERROR(MATCH(R64,_xlfn.ANCHORARRAY(H70),0))),#REF!&amp;"Por favor no seleccionar los criterios de impacto",R64)</f>
        <v>0</v>
      </c>
      <c r="T64" s="364"/>
      <c r="U64" s="365"/>
      <c r="V64" s="351"/>
      <c r="W64" s="233">
        <v>2</v>
      </c>
      <c r="X64" s="207" t="s">
        <v>1008</v>
      </c>
      <c r="Y64" s="230" t="str">
        <f t="shared" si="138"/>
        <v>Probabilidad</v>
      </c>
      <c r="Z64" s="185" t="s">
        <v>208</v>
      </c>
      <c r="AA64" s="185" t="s">
        <v>216</v>
      </c>
      <c r="AB64" s="186" t="str">
        <f t="shared" si="81"/>
        <v>40%</v>
      </c>
      <c r="AC64" s="185" t="s">
        <v>219</v>
      </c>
      <c r="AD64" s="185" t="s">
        <v>224</v>
      </c>
      <c r="AE64" s="185" t="s">
        <v>228</v>
      </c>
      <c r="AF64" s="187">
        <f t="shared" ref="AF64:AF67" si="151">IFERROR(IF(AND(Y63="Probabilidad",Y64="Probabilidad"),(AH63-(+AH63*AB64)),IF(Y64="Probabilidad",(Q63-(+Q63*AB64)),IF(Y64="Impacto",AH63,""))),"")</f>
        <v>0.252</v>
      </c>
      <c r="AG64" s="188" t="str">
        <f t="shared" si="140"/>
        <v>Baja</v>
      </c>
      <c r="AH64" s="186">
        <f t="shared" si="141"/>
        <v>0.252</v>
      </c>
      <c r="AI64" s="188" t="str">
        <f t="shared" ca="1" si="142"/>
        <v>Moderado</v>
      </c>
      <c r="AJ64" s="186">
        <f t="shared" ref="AJ64" ca="1" si="152">IFERROR(IF(AND(Y63="Impacto",Y64="Impacto"),(AJ63-(+AJ63*AB64)),IF(Y64="Impacto",(U63-(+U63*AB64)),IF(Y64="Probabilidad",AJ63,""))),"")</f>
        <v>0.6</v>
      </c>
      <c r="AK64" s="189" t="str">
        <f t="shared" ca="1" si="144"/>
        <v>Moderado</v>
      </c>
      <c r="AL64" s="185" t="s">
        <v>255</v>
      </c>
      <c r="AM64" s="227"/>
      <c r="AN64" s="230"/>
      <c r="AO64" s="228"/>
      <c r="AP64" s="228"/>
      <c r="AQ64" s="227"/>
      <c r="AR64" s="229"/>
    </row>
    <row r="65" spans="1:44" s="191" customFormat="1" ht="168.75" customHeight="1" thickTop="1" thickBot="1" x14ac:dyDescent="0.3">
      <c r="A65" s="352"/>
      <c r="B65" s="369"/>
      <c r="C65" s="357"/>
      <c r="D65" s="359"/>
      <c r="E65" s="357"/>
      <c r="F65" s="375"/>
      <c r="G65" s="375"/>
      <c r="H65" s="374"/>
      <c r="I65" s="362"/>
      <c r="J65" s="362"/>
      <c r="K65" s="362"/>
      <c r="L65" s="362"/>
      <c r="M65" s="357"/>
      <c r="N65" s="357"/>
      <c r="O65" s="363"/>
      <c r="P65" s="364"/>
      <c r="Q65" s="365"/>
      <c r="R65" s="365"/>
      <c r="S65" s="365">
        <f ca="1">IF(NOT(ISERROR(MATCH(R65,_xlfn.ANCHORARRAY(H71),0))),#REF!&amp;"Por favor no seleccionar los criterios de impacto",R65)</f>
        <v>0</v>
      </c>
      <c r="T65" s="364"/>
      <c r="U65" s="365"/>
      <c r="V65" s="351"/>
      <c r="W65" s="233">
        <v>3</v>
      </c>
      <c r="X65" s="207" t="s">
        <v>1009</v>
      </c>
      <c r="Y65" s="230" t="str">
        <f t="shared" si="138"/>
        <v>Probabilidad</v>
      </c>
      <c r="Z65" s="185" t="s">
        <v>208</v>
      </c>
      <c r="AA65" s="185" t="s">
        <v>216</v>
      </c>
      <c r="AB65" s="186" t="str">
        <f t="shared" si="81"/>
        <v>40%</v>
      </c>
      <c r="AC65" s="185" t="s">
        <v>219</v>
      </c>
      <c r="AD65" s="185" t="s">
        <v>224</v>
      </c>
      <c r="AE65" s="185" t="s">
        <v>228</v>
      </c>
      <c r="AF65" s="187">
        <f t="shared" si="151"/>
        <v>0.1512</v>
      </c>
      <c r="AG65" s="188" t="str">
        <f t="shared" si="140"/>
        <v>Muy Baja</v>
      </c>
      <c r="AH65" s="186">
        <f t="shared" si="141"/>
        <v>0.1512</v>
      </c>
      <c r="AI65" s="188" t="str">
        <f t="shared" ca="1" si="142"/>
        <v>Moderado</v>
      </c>
      <c r="AJ65" s="186">
        <f t="shared" ref="AJ65:AJ67" ca="1" si="153">IFERROR(IF(AND(Y64="Impacto",Y65="Impacto"),(AJ64-(+AJ64*AB65)),IF(AND(Y64="Probabilidad",Y65="Impacto"),(AJ63-(+AJ63*AB65)),IF(Y65="Probabilidad",AJ64,""))),"")</f>
        <v>0.6</v>
      </c>
      <c r="AK65" s="189" t="str">
        <f t="shared" ca="1" si="144"/>
        <v>Moderado</v>
      </c>
      <c r="AL65" s="185" t="s">
        <v>255</v>
      </c>
      <c r="AM65" s="227"/>
      <c r="AN65" s="230"/>
      <c r="AO65" s="228"/>
      <c r="AP65" s="228"/>
      <c r="AQ65" s="227"/>
      <c r="AR65" s="229"/>
    </row>
    <row r="66" spans="1:44" s="191" customFormat="1" ht="168" customHeight="1" thickTop="1" thickBot="1" x14ac:dyDescent="0.3">
      <c r="A66" s="352"/>
      <c r="B66" s="369"/>
      <c r="C66" s="357"/>
      <c r="D66" s="359"/>
      <c r="E66" s="357"/>
      <c r="F66" s="375"/>
      <c r="G66" s="375"/>
      <c r="H66" s="374"/>
      <c r="I66" s="362"/>
      <c r="J66" s="362"/>
      <c r="K66" s="362"/>
      <c r="L66" s="362"/>
      <c r="M66" s="357"/>
      <c r="N66" s="357"/>
      <c r="O66" s="363"/>
      <c r="P66" s="364"/>
      <c r="Q66" s="365"/>
      <c r="R66" s="365"/>
      <c r="S66" s="365">
        <f ca="1">IF(NOT(ISERROR(MATCH(R66,_xlfn.ANCHORARRAY(#REF!),0))),#REF!&amp;"Por favor no seleccionar los criterios de impacto",R66)</f>
        <v>0</v>
      </c>
      <c r="T66" s="364"/>
      <c r="U66" s="365"/>
      <c r="V66" s="351"/>
      <c r="W66" s="233">
        <v>4</v>
      </c>
      <c r="X66" s="209" t="s">
        <v>1010</v>
      </c>
      <c r="Y66" s="230" t="str">
        <f t="shared" si="138"/>
        <v>Probabilidad</v>
      </c>
      <c r="Z66" s="185" t="s">
        <v>208</v>
      </c>
      <c r="AA66" s="185" t="s">
        <v>216</v>
      </c>
      <c r="AB66" s="186" t="str">
        <f t="shared" si="81"/>
        <v>40%</v>
      </c>
      <c r="AC66" s="185" t="s">
        <v>219</v>
      </c>
      <c r="AD66" s="185" t="s">
        <v>224</v>
      </c>
      <c r="AE66" s="185" t="s">
        <v>228</v>
      </c>
      <c r="AF66" s="187">
        <f t="shared" si="151"/>
        <v>9.0719999999999995E-2</v>
      </c>
      <c r="AG66" s="188" t="str">
        <f t="shared" si="140"/>
        <v>Muy Baja</v>
      </c>
      <c r="AH66" s="186">
        <f t="shared" si="141"/>
        <v>9.0719999999999995E-2</v>
      </c>
      <c r="AI66" s="188" t="str">
        <f t="shared" ca="1" si="142"/>
        <v>Moderado</v>
      </c>
      <c r="AJ66" s="186">
        <f t="shared" ca="1" si="153"/>
        <v>0.6</v>
      </c>
      <c r="AK66" s="189" t="str">
        <f t="shared" ca="1" si="144"/>
        <v>Moderado</v>
      </c>
      <c r="AL66" s="185" t="s">
        <v>255</v>
      </c>
      <c r="AM66" s="227"/>
      <c r="AN66" s="230"/>
      <c r="AO66" s="228"/>
      <c r="AP66" s="228"/>
      <c r="AQ66" s="227"/>
      <c r="AR66" s="229"/>
    </row>
    <row r="67" spans="1:44" s="191" customFormat="1" ht="145.5" customHeight="1" thickTop="1" thickBot="1" x14ac:dyDescent="0.3">
      <c r="A67" s="352"/>
      <c r="B67" s="369"/>
      <c r="C67" s="357"/>
      <c r="D67" s="359"/>
      <c r="E67" s="357"/>
      <c r="F67" s="375"/>
      <c r="G67" s="375"/>
      <c r="H67" s="374"/>
      <c r="I67" s="362"/>
      <c r="J67" s="362"/>
      <c r="K67" s="362"/>
      <c r="L67" s="362"/>
      <c r="M67" s="357"/>
      <c r="N67" s="357"/>
      <c r="O67" s="363"/>
      <c r="P67" s="364"/>
      <c r="Q67" s="365"/>
      <c r="R67" s="365"/>
      <c r="S67" s="365">
        <f ca="1">IF(NOT(ISERROR(MATCH(R67,_xlfn.ANCHORARRAY(#REF!),0))),#REF!&amp;"Por favor no seleccionar los criterios de impacto",R67)</f>
        <v>0</v>
      </c>
      <c r="T67" s="364"/>
      <c r="U67" s="365"/>
      <c r="V67" s="351"/>
      <c r="W67" s="233">
        <v>5</v>
      </c>
      <c r="X67" s="209" t="s">
        <v>1011</v>
      </c>
      <c r="Y67" s="230" t="str">
        <f t="shared" si="138"/>
        <v>Probabilidad</v>
      </c>
      <c r="Z67" s="185" t="s">
        <v>208</v>
      </c>
      <c r="AA67" s="185" t="s">
        <v>216</v>
      </c>
      <c r="AB67" s="186" t="str">
        <f t="shared" si="81"/>
        <v>40%</v>
      </c>
      <c r="AC67" s="185" t="s">
        <v>219</v>
      </c>
      <c r="AD67" s="185" t="s">
        <v>224</v>
      </c>
      <c r="AE67" s="185" t="s">
        <v>228</v>
      </c>
      <c r="AF67" s="187">
        <f t="shared" si="151"/>
        <v>5.4431999999999994E-2</v>
      </c>
      <c r="AG67" s="188" t="str">
        <f t="shared" si="140"/>
        <v>Muy Baja</v>
      </c>
      <c r="AH67" s="186">
        <f t="shared" si="141"/>
        <v>5.4431999999999994E-2</v>
      </c>
      <c r="AI67" s="188" t="str">
        <f t="shared" ca="1" si="142"/>
        <v>Moderado</v>
      </c>
      <c r="AJ67" s="186">
        <f t="shared" ca="1" si="153"/>
        <v>0.6</v>
      </c>
      <c r="AK67" s="189" t="str">
        <f t="shared" ca="1" si="144"/>
        <v>Moderado</v>
      </c>
      <c r="AL67" s="185" t="s">
        <v>255</v>
      </c>
      <c r="AM67" s="227"/>
      <c r="AN67" s="230"/>
      <c r="AO67" s="228"/>
      <c r="AP67" s="228"/>
      <c r="AQ67" s="227"/>
      <c r="AR67" s="229"/>
    </row>
    <row r="68" spans="1:44" s="191" customFormat="1" ht="135" customHeight="1" thickTop="1" thickBot="1" x14ac:dyDescent="0.3">
      <c r="A68" s="352">
        <v>21</v>
      </c>
      <c r="B68" s="369" t="s">
        <v>569</v>
      </c>
      <c r="C68" s="357" t="s">
        <v>269</v>
      </c>
      <c r="D68" s="357" t="s">
        <v>970</v>
      </c>
      <c r="E68" s="357" t="s">
        <v>238</v>
      </c>
      <c r="F68" s="375" t="s">
        <v>570</v>
      </c>
      <c r="G68" s="375" t="s">
        <v>571</v>
      </c>
      <c r="H68" s="374" t="s">
        <v>1122</v>
      </c>
      <c r="I68" s="362" t="s">
        <v>474</v>
      </c>
      <c r="J68" s="362" t="s">
        <v>474</v>
      </c>
      <c r="K68" s="362" t="s">
        <v>474</v>
      </c>
      <c r="L68" s="362" t="s">
        <v>474</v>
      </c>
      <c r="M68" s="357" t="s">
        <v>239</v>
      </c>
      <c r="N68" s="357"/>
      <c r="O68" s="363">
        <v>5001</v>
      </c>
      <c r="P68" s="364" t="str">
        <f t="shared" si="134"/>
        <v>Muy Alta</v>
      </c>
      <c r="Q68" s="365">
        <f t="shared" si="135"/>
        <v>1</v>
      </c>
      <c r="R68" s="365" t="s">
        <v>190</v>
      </c>
      <c r="S68" s="365" t="str">
        <f ca="1">IF(NOT(ISERROR(MATCH(R68,'Tabla Impacto'!$B$221:$B$223,0))),'Tabla Impacto'!$F$223&amp;"Por favor no seleccionar los criterios de impacto(Afectación Económica o presupuestal y Pérdida Reputacional)",R68)</f>
        <v>El riesgo afecta la imagen de la entidad con algunos usuarios de relevancia frente al logro de los objetivos</v>
      </c>
      <c r="T68" s="364" t="str">
        <f ca="1">+IF(OR(S68='[1]Tabla Impacto'!$C$11,S68='[1]Tabla Impacto'!$D$11),"Leve",IF(OR(S68='[1]Tabla Impacto'!$C$12,S68='[1]Tabla Impacto'!$D$12),"Menor",IF(OR(S68='[1]Tabla Impacto'!$C$13,S68='[1]Tabla Impacto'!$D$13),"Moderado",IF(OR(S68='[1]Tabla Impacto'!$C$14,S68='[1]Tabla Impacto'!$D$14),"Mayor",IF(OR(S68='[1]Tabla Impacto'!$C$15,S68='[1]Tabla Impacto'!$D$15),"Catastrófico","")))))</f>
        <v>Moderado</v>
      </c>
      <c r="U68" s="365">
        <f t="shared" ref="U68" ca="1" si="154">IF(T68="","",IF(T68="Leve",0.2,IF(T68="Menor",0.4,IF(T68="Moderado",0.6,IF(T68="Mayor",0.8,IF(T68="Catastrófico",1,))))))</f>
        <v>0.6</v>
      </c>
      <c r="V68" s="351" t="str">
        <f t="shared" ref="V68" ca="1" si="155">IF(OR(AND(P68="Muy Baja",T68="Leve"),AND(P68="Muy Baja",T68="Menor"),AND(P68="Baja",T68="Leve")),"Bajo",IF(OR(AND(P68="Muy baja",T68="Moderado"),AND(P68="Baja",T68="Menor"),AND(P68="Baja",T68="Moderado"),AND(P68="Media",T68="Leve"),AND(P68="Media",T68="Menor"),AND(P68="Media",T68="Moderado"),AND(P68="Alta",T68="Leve"),AND(P68="Alta",T68="Menor")),"Moderado",IF(OR(AND(P68="Muy Baja",T68="Mayor"),AND(P68="Baja",T68="Mayor"),AND(P68="Media",T68="Mayor"),AND(P68="Alta",T68="Moderado"),AND(P68="Alta",T68="Mayor"),AND(P68="Muy Alta",T68="Leve"),AND(P68="Muy Alta",T68="Menor"),AND(P68="Muy Alta",T68="Moderado"),AND(P68="Muy Alta",T68="Mayor")),"Alto",IF(OR(AND(P68="Muy Baja",T68="Catastrófico"),AND(P68="Baja",T68="Catastrófico"),AND(P68="Media",T68="Catastrófico"),AND(P68="Alta",T68="Catastrófico"),AND(P68="Muy Alta",T68="Catastrófico")),"Extremo",""))))</f>
        <v>Alto</v>
      </c>
      <c r="W68" s="233">
        <v>1</v>
      </c>
      <c r="X68" s="207" t="s">
        <v>572</v>
      </c>
      <c r="Y68" s="230" t="str">
        <f t="shared" si="138"/>
        <v>Probabilidad</v>
      </c>
      <c r="Z68" s="185" t="s">
        <v>208</v>
      </c>
      <c r="AA68" s="185" t="s">
        <v>216</v>
      </c>
      <c r="AB68" s="186" t="str">
        <f t="shared" si="81"/>
        <v>40%</v>
      </c>
      <c r="AC68" s="185" t="s">
        <v>219</v>
      </c>
      <c r="AD68" s="185" t="s">
        <v>224</v>
      </c>
      <c r="AE68" s="185" t="s">
        <v>228</v>
      </c>
      <c r="AF68" s="187">
        <f t="shared" ref="AF68" si="156">IFERROR(IF(Y68="Probabilidad",(Q68-(+Q68*AB68)),IF(Y68="Impacto",Q68,"")),"")</f>
        <v>0.6</v>
      </c>
      <c r="AG68" s="188" t="str">
        <f t="shared" si="140"/>
        <v>Media</v>
      </c>
      <c r="AH68" s="186">
        <f t="shared" si="141"/>
        <v>0.6</v>
      </c>
      <c r="AI68" s="188" t="str">
        <f t="shared" ca="1" si="142"/>
        <v>Moderado</v>
      </c>
      <c r="AJ68" s="186">
        <f t="shared" ref="AJ68" ca="1" si="157">IFERROR(IF(Y68="Impacto",(U68-(+U68*AB68)),IF(Y68="Probabilidad",U68,"")),"")</f>
        <v>0.6</v>
      </c>
      <c r="AK68" s="189" t="str">
        <f t="shared" ca="1" si="144"/>
        <v>Moderado</v>
      </c>
      <c r="AL68" s="185" t="s">
        <v>255</v>
      </c>
      <c r="AM68" s="227"/>
      <c r="AN68" s="230"/>
      <c r="AO68" s="228"/>
      <c r="AP68" s="228"/>
      <c r="AQ68" s="227"/>
      <c r="AR68" s="229"/>
    </row>
    <row r="69" spans="1:44" s="191" customFormat="1" ht="195" customHeight="1" thickTop="1" thickBot="1" x14ac:dyDescent="0.3">
      <c r="A69" s="352"/>
      <c r="B69" s="369"/>
      <c r="C69" s="357"/>
      <c r="D69" s="357"/>
      <c r="E69" s="357"/>
      <c r="F69" s="375"/>
      <c r="G69" s="375"/>
      <c r="H69" s="374"/>
      <c r="I69" s="362"/>
      <c r="J69" s="362"/>
      <c r="K69" s="362"/>
      <c r="L69" s="362"/>
      <c r="M69" s="357"/>
      <c r="N69" s="357"/>
      <c r="O69" s="363"/>
      <c r="P69" s="364"/>
      <c r="Q69" s="365"/>
      <c r="R69" s="365"/>
      <c r="S69" s="365">
        <f ca="1">IF(NOT(ISERROR(MATCH(R69,_xlfn.ANCHORARRAY(H72),0))),Q74&amp;"Por favor no seleccionar los criterios de impacto",R69)</f>
        <v>0</v>
      </c>
      <c r="T69" s="364"/>
      <c r="U69" s="365"/>
      <c r="V69" s="351"/>
      <c r="W69" s="233">
        <v>2</v>
      </c>
      <c r="X69" s="209" t="s">
        <v>1012</v>
      </c>
      <c r="Y69" s="230" t="str">
        <f t="shared" si="138"/>
        <v>Probabilidad</v>
      </c>
      <c r="Z69" s="185" t="s">
        <v>208</v>
      </c>
      <c r="AA69" s="185" t="s">
        <v>216</v>
      </c>
      <c r="AB69" s="186" t="str">
        <f t="shared" si="81"/>
        <v>40%</v>
      </c>
      <c r="AC69" s="185" t="s">
        <v>219</v>
      </c>
      <c r="AD69" s="185" t="s">
        <v>224</v>
      </c>
      <c r="AE69" s="185" t="s">
        <v>228</v>
      </c>
      <c r="AF69" s="187">
        <f t="shared" ref="AF69" si="158">IFERROR(IF(AND(Y68="Probabilidad",Y69="Probabilidad"),(AH68-(+AH68*AB69)),IF(Y69="Probabilidad",(Q68-(+Q68*AB69)),IF(Y69="Impacto",AH68,""))),"")</f>
        <v>0.36</v>
      </c>
      <c r="AG69" s="188" t="str">
        <f t="shared" si="140"/>
        <v>Baja</v>
      </c>
      <c r="AH69" s="186">
        <f t="shared" si="141"/>
        <v>0.36</v>
      </c>
      <c r="AI69" s="188" t="str">
        <f t="shared" ca="1" si="142"/>
        <v>Moderado</v>
      </c>
      <c r="AJ69" s="186">
        <f t="shared" ref="AJ69" ca="1" si="159">IFERROR(IF(AND(Y68="Impacto",Y69="Impacto"),(AJ68-(+AJ68*AB69)),IF(Y69="Impacto",(U68-(+U68*AB69)),IF(Y69="Probabilidad",AJ68,""))),"")</f>
        <v>0.6</v>
      </c>
      <c r="AK69" s="189" t="str">
        <f t="shared" ca="1" si="144"/>
        <v>Moderado</v>
      </c>
      <c r="AL69" s="185" t="s">
        <v>255</v>
      </c>
      <c r="AM69" s="227"/>
      <c r="AN69" s="230"/>
      <c r="AO69" s="228"/>
      <c r="AP69" s="228"/>
      <c r="AQ69" s="227"/>
      <c r="AR69" s="229"/>
    </row>
    <row r="70" spans="1:44" s="191" customFormat="1" ht="143.25" customHeight="1" thickTop="1" thickBot="1" x14ac:dyDescent="0.3">
      <c r="A70" s="352">
        <v>22</v>
      </c>
      <c r="B70" s="369" t="s">
        <v>573</v>
      </c>
      <c r="C70" s="357" t="s">
        <v>269</v>
      </c>
      <c r="D70" s="357" t="s">
        <v>574</v>
      </c>
      <c r="E70" s="357" t="s">
        <v>238</v>
      </c>
      <c r="F70" s="375" t="s">
        <v>575</v>
      </c>
      <c r="G70" s="375" t="s">
        <v>576</v>
      </c>
      <c r="H70" s="374" t="s">
        <v>1123</v>
      </c>
      <c r="I70" s="362" t="s">
        <v>474</v>
      </c>
      <c r="J70" s="362" t="s">
        <v>474</v>
      </c>
      <c r="K70" s="362" t="s">
        <v>474</v>
      </c>
      <c r="L70" s="362" t="s">
        <v>474</v>
      </c>
      <c r="M70" s="357" t="s">
        <v>239</v>
      </c>
      <c r="N70" s="357"/>
      <c r="O70" s="363">
        <v>5001</v>
      </c>
      <c r="P70" s="364" t="str">
        <f t="shared" si="134"/>
        <v>Muy Alta</v>
      </c>
      <c r="Q70" s="365">
        <f t="shared" si="135"/>
        <v>1</v>
      </c>
      <c r="R70" s="365" t="s">
        <v>190</v>
      </c>
      <c r="S70" s="365" t="str">
        <f ca="1">IF(NOT(ISERROR(MATCH(R70,'Tabla Impacto'!$B$221:$B$223,0))),'Tabla Impacto'!$F$223&amp;"Por favor no seleccionar los criterios de impacto(Afectación Económica o presupuestal y Pérdida Reputacional)",R70)</f>
        <v>El riesgo afecta la imagen de la entidad con algunos usuarios de relevancia frente al logro de los objetivos</v>
      </c>
      <c r="T70" s="364" t="str">
        <f ca="1">+IF(OR(S70='[1]Tabla Impacto'!$C$11,S70='[1]Tabla Impacto'!$D$11),"Leve",IF(OR(S70='[1]Tabla Impacto'!$C$12,S70='[1]Tabla Impacto'!$D$12),"Menor",IF(OR(S70='[1]Tabla Impacto'!$C$13,S70='[1]Tabla Impacto'!$D$13),"Moderado",IF(OR(S70='[1]Tabla Impacto'!$C$14,S70='[1]Tabla Impacto'!$D$14),"Mayor",IF(OR(S70='[1]Tabla Impacto'!$C$15,S70='[1]Tabla Impacto'!$D$15),"Catastrófico","")))))</f>
        <v>Moderado</v>
      </c>
      <c r="U70" s="365">
        <f t="shared" ref="U70" ca="1" si="160">IF(T70="","",IF(T70="Leve",0.2,IF(T70="Menor",0.4,IF(T70="Moderado",0.6,IF(T70="Mayor",0.8,IF(T70="Catastrófico",1,))))))</f>
        <v>0.6</v>
      </c>
      <c r="V70" s="351" t="str">
        <f t="shared" ref="V70" ca="1" si="161">IF(OR(AND(P70="Muy Baja",T70="Leve"),AND(P70="Muy Baja",T70="Menor"),AND(P70="Baja",T70="Leve")),"Bajo",IF(OR(AND(P70="Muy baja",T70="Moderado"),AND(P70="Baja",T70="Menor"),AND(P70="Baja",T70="Moderado"),AND(P70="Media",T70="Leve"),AND(P70="Media",T70="Menor"),AND(P70="Media",T70="Moderado"),AND(P70="Alta",T70="Leve"),AND(P70="Alta",T70="Menor")),"Moderado",IF(OR(AND(P70="Muy Baja",T70="Mayor"),AND(P70="Baja",T70="Mayor"),AND(P70="Media",T70="Mayor"),AND(P70="Alta",T70="Moderado"),AND(P70="Alta",T70="Mayor"),AND(P70="Muy Alta",T70="Leve"),AND(P70="Muy Alta",T70="Menor"),AND(P70="Muy Alta",T70="Moderado"),AND(P70="Muy Alta",T70="Mayor")),"Alto",IF(OR(AND(P70="Muy Baja",T70="Catastrófico"),AND(P70="Baja",T70="Catastrófico"),AND(P70="Media",T70="Catastrófico"),AND(P70="Alta",T70="Catastrófico"),AND(P70="Muy Alta",T70="Catastrófico")),"Extremo",""))))</f>
        <v>Alto</v>
      </c>
      <c r="W70" s="233">
        <v>1</v>
      </c>
      <c r="X70" s="207" t="s">
        <v>1013</v>
      </c>
      <c r="Y70" s="230" t="str">
        <f t="shared" si="138"/>
        <v>Probabilidad</v>
      </c>
      <c r="Z70" s="185" t="s">
        <v>208</v>
      </c>
      <c r="AA70" s="185" t="s">
        <v>216</v>
      </c>
      <c r="AB70" s="186" t="str">
        <f t="shared" si="81"/>
        <v>40%</v>
      </c>
      <c r="AC70" s="185" t="s">
        <v>219</v>
      </c>
      <c r="AD70" s="185" t="s">
        <v>224</v>
      </c>
      <c r="AE70" s="185" t="s">
        <v>228</v>
      </c>
      <c r="AF70" s="187">
        <f t="shared" ref="AF70" si="162">IFERROR(IF(Y70="Probabilidad",(Q70-(+Q70*AB70)),IF(Y70="Impacto",Q70,"")),"")</f>
        <v>0.6</v>
      </c>
      <c r="AG70" s="188" t="str">
        <f t="shared" si="140"/>
        <v>Media</v>
      </c>
      <c r="AH70" s="186">
        <f t="shared" si="141"/>
        <v>0.6</v>
      </c>
      <c r="AI70" s="188" t="str">
        <f t="shared" ca="1" si="142"/>
        <v>Moderado</v>
      </c>
      <c r="AJ70" s="186">
        <f t="shared" ref="AJ70" ca="1" si="163">IFERROR(IF(Y70="Impacto",(U70-(+U70*AB70)),IF(Y70="Probabilidad",U70,"")),"")</f>
        <v>0.6</v>
      </c>
      <c r="AK70" s="189" t="str">
        <f t="shared" ca="1" si="144"/>
        <v>Moderado</v>
      </c>
      <c r="AL70" s="185" t="s">
        <v>255</v>
      </c>
      <c r="AM70" s="227"/>
      <c r="AN70" s="230"/>
      <c r="AO70" s="228"/>
      <c r="AP70" s="228"/>
      <c r="AQ70" s="227"/>
      <c r="AR70" s="229"/>
    </row>
    <row r="71" spans="1:44" s="191" customFormat="1" ht="149.25" customHeight="1" thickTop="1" thickBot="1" x14ac:dyDescent="0.3">
      <c r="A71" s="352"/>
      <c r="B71" s="369"/>
      <c r="C71" s="357"/>
      <c r="D71" s="357"/>
      <c r="E71" s="357"/>
      <c r="F71" s="375"/>
      <c r="G71" s="375"/>
      <c r="H71" s="374"/>
      <c r="I71" s="362"/>
      <c r="J71" s="362"/>
      <c r="K71" s="362"/>
      <c r="L71" s="362"/>
      <c r="M71" s="357"/>
      <c r="N71" s="357"/>
      <c r="O71" s="363"/>
      <c r="P71" s="364"/>
      <c r="Q71" s="365"/>
      <c r="R71" s="365"/>
      <c r="S71" s="365">
        <f ca="1">IF(NOT(ISERROR(MATCH(R71,_xlfn.ANCHORARRAY(H75),0))),#REF!&amp;"Por favor no seleccionar los criterios de impacto",R71)</f>
        <v>0</v>
      </c>
      <c r="T71" s="364"/>
      <c r="U71" s="365"/>
      <c r="V71" s="351"/>
      <c r="W71" s="233">
        <v>2</v>
      </c>
      <c r="X71" s="207" t="s">
        <v>1014</v>
      </c>
      <c r="Y71" s="230" t="str">
        <f t="shared" si="138"/>
        <v>Probabilidad</v>
      </c>
      <c r="Z71" s="185" t="s">
        <v>208</v>
      </c>
      <c r="AA71" s="185" t="s">
        <v>216</v>
      </c>
      <c r="AB71" s="186" t="str">
        <f t="shared" si="81"/>
        <v>40%</v>
      </c>
      <c r="AC71" s="185" t="s">
        <v>219</v>
      </c>
      <c r="AD71" s="185" t="s">
        <v>224</v>
      </c>
      <c r="AE71" s="185" t="s">
        <v>228</v>
      </c>
      <c r="AF71" s="187">
        <f t="shared" ref="AF71" si="164">IFERROR(IF(AND(Y70="Probabilidad",Y71="Probabilidad"),(AH70-(+AH70*AB71)),IF(Y71="Probabilidad",(Q70-(+Q70*AB71)),IF(Y71="Impacto",AH70,""))),"")</f>
        <v>0.36</v>
      </c>
      <c r="AG71" s="188" t="str">
        <f t="shared" si="140"/>
        <v>Baja</v>
      </c>
      <c r="AH71" s="186">
        <f t="shared" si="141"/>
        <v>0.36</v>
      </c>
      <c r="AI71" s="188" t="str">
        <f t="shared" ca="1" si="142"/>
        <v>Moderado</v>
      </c>
      <c r="AJ71" s="186">
        <f t="shared" ref="AJ71" ca="1" si="165">IFERROR(IF(AND(Y70="Impacto",Y71="Impacto"),(AJ70-(+AJ70*AB71)),IF(Y71="Impacto",(U70-(+U70*AB71)),IF(Y71="Probabilidad",AJ70,""))),"")</f>
        <v>0.6</v>
      </c>
      <c r="AK71" s="189" t="str">
        <f t="shared" ca="1" si="144"/>
        <v>Moderado</v>
      </c>
      <c r="AL71" s="185" t="s">
        <v>255</v>
      </c>
      <c r="AM71" s="227"/>
      <c r="AN71" s="230"/>
      <c r="AO71" s="228"/>
      <c r="AP71" s="228"/>
      <c r="AQ71" s="227"/>
      <c r="AR71" s="229"/>
    </row>
    <row r="72" spans="1:44" s="191" customFormat="1" ht="116.25" customHeight="1" thickTop="1" thickBot="1" x14ac:dyDescent="0.3">
      <c r="A72" s="352">
        <v>23</v>
      </c>
      <c r="B72" s="369" t="s">
        <v>577</v>
      </c>
      <c r="C72" s="357" t="s">
        <v>269</v>
      </c>
      <c r="D72" s="357" t="s">
        <v>970</v>
      </c>
      <c r="E72" s="357" t="s">
        <v>238</v>
      </c>
      <c r="F72" s="375" t="s">
        <v>578</v>
      </c>
      <c r="G72" s="375" t="s">
        <v>579</v>
      </c>
      <c r="H72" s="374" t="s">
        <v>1124</v>
      </c>
      <c r="I72" s="362" t="s">
        <v>474</v>
      </c>
      <c r="J72" s="362" t="s">
        <v>474</v>
      </c>
      <c r="K72" s="362" t="s">
        <v>474</v>
      </c>
      <c r="L72" s="362" t="s">
        <v>474</v>
      </c>
      <c r="M72" s="357" t="s">
        <v>239</v>
      </c>
      <c r="N72" s="357"/>
      <c r="O72" s="363">
        <v>24</v>
      </c>
      <c r="P72" s="364" t="str">
        <f t="shared" si="134"/>
        <v>Baja</v>
      </c>
      <c r="Q72" s="365">
        <f t="shared" si="135"/>
        <v>0.4</v>
      </c>
      <c r="R72" s="365" t="s">
        <v>190</v>
      </c>
      <c r="S72" s="365" t="str">
        <f ca="1">IF(NOT(ISERROR(MATCH(R72,'Tabla Impacto'!$B$221:$B$223,0))),'Tabla Impacto'!$F$223&amp;"Por favor no seleccionar los criterios de impacto(Afectación Económica o presupuestal y Pérdida Reputacional)",R72)</f>
        <v>El riesgo afecta la imagen de la entidad con algunos usuarios de relevancia frente al logro de los objetivos</v>
      </c>
      <c r="T72" s="364" t="str">
        <f ca="1">+IF(OR(S72='[1]Tabla Impacto'!$C$11,S72='[1]Tabla Impacto'!$D$11),"Leve",IF(OR(S72='[1]Tabla Impacto'!$C$12,S72='[1]Tabla Impacto'!$D$12),"Menor",IF(OR(S72='[1]Tabla Impacto'!$C$13,S72='[1]Tabla Impacto'!$D$13),"Moderado",IF(OR(S72='[1]Tabla Impacto'!$C$14,S72='[1]Tabla Impacto'!$D$14),"Mayor",IF(OR(S72='[1]Tabla Impacto'!$C$15,S72='[1]Tabla Impacto'!$D$15),"Catastrófico","")))))</f>
        <v>Moderado</v>
      </c>
      <c r="U72" s="365">
        <f t="shared" ref="U72" ca="1" si="166">IF(T72="","",IF(T72="Leve",0.2,IF(T72="Menor",0.4,IF(T72="Moderado",0.6,IF(T72="Mayor",0.8,IF(T72="Catastrófico",1,))))))</f>
        <v>0.6</v>
      </c>
      <c r="V72" s="351" t="str">
        <f t="shared" ref="V72" ca="1" si="167">IF(OR(AND(P72="Muy Baja",T72="Leve"),AND(P72="Muy Baja",T72="Menor"),AND(P72="Baja",T72="Leve")),"Bajo",IF(OR(AND(P72="Muy baja",T72="Moderado"),AND(P72="Baja",T72="Menor"),AND(P72="Baja",T72="Moderado"),AND(P72="Media",T72="Leve"),AND(P72="Media",T72="Menor"),AND(P72="Media",T72="Moderado"),AND(P72="Alta",T72="Leve"),AND(P72="Alta",T72="Menor")),"Moderado",IF(OR(AND(P72="Muy Baja",T72="Mayor"),AND(P72="Baja",T72="Mayor"),AND(P72="Media",T72="Mayor"),AND(P72="Alta",T72="Moderado"),AND(P72="Alta",T72="Mayor"),AND(P72="Muy Alta",T72="Leve"),AND(P72="Muy Alta",T72="Menor"),AND(P72="Muy Alta",T72="Moderado"),AND(P72="Muy Alta",T72="Mayor")),"Alto",IF(OR(AND(P72="Muy Baja",T72="Catastrófico"),AND(P72="Baja",T72="Catastrófico"),AND(P72="Media",T72="Catastrófico"),AND(P72="Alta",T72="Catastrófico"),AND(P72="Muy Alta",T72="Catastrófico")),"Extremo",""))))</f>
        <v>Moderado</v>
      </c>
      <c r="W72" s="233">
        <v>1</v>
      </c>
      <c r="X72" s="208" t="s">
        <v>580</v>
      </c>
      <c r="Y72" s="230" t="str">
        <f t="shared" si="138"/>
        <v>Probabilidad</v>
      </c>
      <c r="Z72" s="185" t="s">
        <v>208</v>
      </c>
      <c r="AA72" s="185" t="s">
        <v>216</v>
      </c>
      <c r="AB72" s="186" t="str">
        <f t="shared" ref="AB72:AB89" si="168">IF(AND(Z72="Preventivo",AA72="Automático"),"50%",IF(AND(Z72="Preventivo",AA72="Manual"),"40%",IF(AND(Z72="Detectivo",AA72="Automático"),"40%",IF(AND(Z72="Detectivo",AA72="Manual"),"30%",IF(AND(Z72="Correctivo",AA72="Automático"),"35%",IF(AND(Z72="Correctivo",AA72="Manual"),"25%",""))))))</f>
        <v>40%</v>
      </c>
      <c r="AC72" s="185" t="s">
        <v>219</v>
      </c>
      <c r="AD72" s="185" t="s">
        <v>224</v>
      </c>
      <c r="AE72" s="185" t="s">
        <v>228</v>
      </c>
      <c r="AF72" s="187">
        <f t="shared" ref="AF72" si="169">IFERROR(IF(Y72="Probabilidad",(Q72-(+Q72*AB72)),IF(Y72="Impacto",Q72,"")),"")</f>
        <v>0.24</v>
      </c>
      <c r="AG72" s="188" t="str">
        <f t="shared" si="140"/>
        <v>Baja</v>
      </c>
      <c r="AH72" s="186">
        <f t="shared" si="141"/>
        <v>0.24</v>
      </c>
      <c r="AI72" s="188" t="str">
        <f t="shared" ca="1" si="142"/>
        <v>Moderado</v>
      </c>
      <c r="AJ72" s="186">
        <f t="shared" ref="AJ72" ca="1" si="170">IFERROR(IF(Y72="Impacto",(U72-(+U72*AB72)),IF(Y72="Probabilidad",U72,"")),"")</f>
        <v>0.6</v>
      </c>
      <c r="AK72" s="189" t="str">
        <f t="shared" ca="1" si="144"/>
        <v>Moderado</v>
      </c>
      <c r="AL72" s="185" t="s">
        <v>255</v>
      </c>
      <c r="AM72" s="227"/>
      <c r="AN72" s="230"/>
      <c r="AO72" s="228"/>
      <c r="AP72" s="228"/>
      <c r="AQ72" s="227"/>
      <c r="AR72" s="229"/>
    </row>
    <row r="73" spans="1:44" s="191" customFormat="1" ht="125.25" customHeight="1" thickTop="1" thickBot="1" x14ac:dyDescent="0.3">
      <c r="A73" s="352"/>
      <c r="B73" s="369"/>
      <c r="C73" s="357"/>
      <c r="D73" s="357"/>
      <c r="E73" s="357"/>
      <c r="F73" s="375"/>
      <c r="G73" s="375"/>
      <c r="H73" s="374"/>
      <c r="I73" s="362"/>
      <c r="J73" s="362"/>
      <c r="K73" s="362"/>
      <c r="L73" s="362"/>
      <c r="M73" s="357"/>
      <c r="N73" s="357"/>
      <c r="O73" s="363"/>
      <c r="P73" s="364"/>
      <c r="Q73" s="365"/>
      <c r="R73" s="365"/>
      <c r="S73" s="365">
        <f ca="1">IF(NOT(ISERROR(MATCH(R73,_xlfn.ANCHORARRAY(H76),0))),#REF!&amp;"Por favor no seleccionar los criterios de impacto",R73)</f>
        <v>0</v>
      </c>
      <c r="T73" s="364"/>
      <c r="U73" s="365"/>
      <c r="V73" s="351"/>
      <c r="W73" s="233">
        <v>2</v>
      </c>
      <c r="X73" s="208" t="s">
        <v>1015</v>
      </c>
      <c r="Y73" s="230" t="str">
        <f t="shared" si="138"/>
        <v>Probabilidad</v>
      </c>
      <c r="Z73" s="185" t="s">
        <v>208</v>
      </c>
      <c r="AA73" s="185" t="s">
        <v>216</v>
      </c>
      <c r="AB73" s="186" t="str">
        <f t="shared" si="168"/>
        <v>40%</v>
      </c>
      <c r="AC73" s="185" t="s">
        <v>219</v>
      </c>
      <c r="AD73" s="185" t="s">
        <v>224</v>
      </c>
      <c r="AE73" s="185" t="s">
        <v>228</v>
      </c>
      <c r="AF73" s="187">
        <f t="shared" ref="AF73:AF74" si="171">IFERROR(IF(AND(Y72="Probabilidad",Y73="Probabilidad"),(AH72-(+AH72*AB73)),IF(Y73="Probabilidad",(Q72-(+Q72*AB73)),IF(Y73="Impacto",AH72,""))),"")</f>
        <v>0.14399999999999999</v>
      </c>
      <c r="AG73" s="188" t="str">
        <f t="shared" si="140"/>
        <v>Muy Baja</v>
      </c>
      <c r="AH73" s="186">
        <f t="shared" si="141"/>
        <v>0.14399999999999999</v>
      </c>
      <c r="AI73" s="188" t="str">
        <f t="shared" ca="1" si="142"/>
        <v>Moderado</v>
      </c>
      <c r="AJ73" s="186">
        <f t="shared" ref="AJ73" ca="1" si="172">IFERROR(IF(AND(Y72="Impacto",Y73="Impacto"),(AJ72-(+AJ72*AB73)),IF(Y73="Impacto",(U72-(+U72*AB73)),IF(Y73="Probabilidad",AJ72,""))),"")</f>
        <v>0.6</v>
      </c>
      <c r="AK73" s="189" t="str">
        <f t="shared" ca="1" si="144"/>
        <v>Moderado</v>
      </c>
      <c r="AL73" s="185" t="s">
        <v>255</v>
      </c>
      <c r="AM73" s="227"/>
      <c r="AN73" s="230"/>
      <c r="AO73" s="228"/>
      <c r="AP73" s="228"/>
      <c r="AQ73" s="227"/>
      <c r="AR73" s="229"/>
    </row>
    <row r="74" spans="1:44" s="191" customFormat="1" ht="142.5" customHeight="1" thickTop="1" thickBot="1" x14ac:dyDescent="0.3">
      <c r="A74" s="352"/>
      <c r="B74" s="369"/>
      <c r="C74" s="357"/>
      <c r="D74" s="357"/>
      <c r="E74" s="357"/>
      <c r="F74" s="375"/>
      <c r="G74" s="375"/>
      <c r="H74" s="374"/>
      <c r="I74" s="362"/>
      <c r="J74" s="362"/>
      <c r="K74" s="362"/>
      <c r="L74" s="362"/>
      <c r="M74" s="357"/>
      <c r="N74" s="357"/>
      <c r="O74" s="363"/>
      <c r="P74" s="364"/>
      <c r="Q74" s="365"/>
      <c r="R74" s="365"/>
      <c r="S74" s="365">
        <f ca="1">IF(NOT(ISERROR(MATCH(R74,_xlfn.ANCHORARRAY(H77),0))),#REF!&amp;"Por favor no seleccionar los criterios de impacto",R74)</f>
        <v>0</v>
      </c>
      <c r="T74" s="364"/>
      <c r="U74" s="365"/>
      <c r="V74" s="351"/>
      <c r="W74" s="233">
        <v>3</v>
      </c>
      <c r="X74" s="207" t="s">
        <v>581</v>
      </c>
      <c r="Y74" s="230" t="str">
        <f t="shared" si="138"/>
        <v>Probabilidad</v>
      </c>
      <c r="Z74" s="185" t="s">
        <v>208</v>
      </c>
      <c r="AA74" s="185" t="s">
        <v>216</v>
      </c>
      <c r="AB74" s="186" t="str">
        <f t="shared" si="168"/>
        <v>40%</v>
      </c>
      <c r="AC74" s="185" t="s">
        <v>219</v>
      </c>
      <c r="AD74" s="185" t="s">
        <v>224</v>
      </c>
      <c r="AE74" s="185" t="s">
        <v>228</v>
      </c>
      <c r="AF74" s="187">
        <f t="shared" si="171"/>
        <v>8.6399999999999991E-2</v>
      </c>
      <c r="AG74" s="188" t="str">
        <f t="shared" si="140"/>
        <v>Muy Baja</v>
      </c>
      <c r="AH74" s="186">
        <f t="shared" si="141"/>
        <v>8.6399999999999991E-2</v>
      </c>
      <c r="AI74" s="188" t="str">
        <f t="shared" ca="1" si="142"/>
        <v>Moderado</v>
      </c>
      <c r="AJ74" s="186">
        <f t="shared" ref="AJ74" ca="1" si="173">IFERROR(IF(AND(Y73="Impacto",Y74="Impacto"),(AJ73-(+AJ73*AB74)),IF(AND(Y73="Probabilidad",Y74="Impacto"),(AJ72-(+AJ72*AB74)),IF(Y74="Probabilidad",AJ73,""))),"")</f>
        <v>0.6</v>
      </c>
      <c r="AK74" s="189" t="str">
        <f t="shared" ca="1" si="144"/>
        <v>Moderado</v>
      </c>
      <c r="AL74" s="185" t="s">
        <v>255</v>
      </c>
      <c r="AM74" s="227"/>
      <c r="AN74" s="230"/>
      <c r="AO74" s="228"/>
      <c r="AP74" s="228"/>
      <c r="AQ74" s="227"/>
      <c r="AR74" s="229"/>
    </row>
    <row r="75" spans="1:44" s="191" customFormat="1" ht="230.25" customHeight="1" thickTop="1" thickBot="1" x14ac:dyDescent="0.3">
      <c r="A75" s="226">
        <v>24</v>
      </c>
      <c r="B75" s="242" t="s">
        <v>582</v>
      </c>
      <c r="C75" s="227" t="s">
        <v>269</v>
      </c>
      <c r="D75" s="245" t="s">
        <v>971</v>
      </c>
      <c r="E75" s="227" t="s">
        <v>238</v>
      </c>
      <c r="F75" s="234" t="s">
        <v>583</v>
      </c>
      <c r="G75" s="234" t="s">
        <v>584</v>
      </c>
      <c r="H75" s="251" t="s">
        <v>1125</v>
      </c>
      <c r="I75" s="231" t="s">
        <v>474</v>
      </c>
      <c r="J75" s="231" t="s">
        <v>474</v>
      </c>
      <c r="K75" s="231" t="s">
        <v>474</v>
      </c>
      <c r="L75" s="231" t="s">
        <v>474</v>
      </c>
      <c r="M75" s="227" t="s">
        <v>239</v>
      </c>
      <c r="N75" s="227"/>
      <c r="O75" s="230">
        <v>365</v>
      </c>
      <c r="P75" s="232" t="str">
        <f t="shared" si="134"/>
        <v>Media</v>
      </c>
      <c r="Q75" s="225">
        <f t="shared" si="135"/>
        <v>0.6</v>
      </c>
      <c r="R75" s="225" t="s">
        <v>190</v>
      </c>
      <c r="S75" s="225" t="str">
        <f ca="1">IF(NOT(ISERROR(MATCH(R75,'Tabla Impacto'!$B$221:$B$223,0))),'Tabla Impacto'!$F$223&amp;"Por favor no seleccionar los criterios de impacto(Afectación Económica o presupuestal y Pérdida Reputacional)",R75)</f>
        <v>El riesgo afecta la imagen de la entidad con algunos usuarios de relevancia frente al logro de los objetivos</v>
      </c>
      <c r="T75" s="232" t="str">
        <f ca="1">+IF(OR(S75='[1]Tabla Impacto'!$C$11,S75='[1]Tabla Impacto'!$D$11),"Leve",IF(OR(S75='[1]Tabla Impacto'!$C$12,S75='[1]Tabla Impacto'!$D$12),"Menor",IF(OR(S75='[1]Tabla Impacto'!$C$13,S75='[1]Tabla Impacto'!$D$13),"Moderado",IF(OR(S75='[1]Tabla Impacto'!$C$14,S75='[1]Tabla Impacto'!$D$14),"Mayor",IF(OR(S75='[1]Tabla Impacto'!$C$15,S75='[1]Tabla Impacto'!$D$15),"Catastrófico","")))))</f>
        <v>Moderado</v>
      </c>
      <c r="U75" s="225">
        <f t="shared" ref="U75" ca="1" si="174">IF(T75="","",IF(T75="Leve",0.2,IF(T75="Menor",0.4,IF(T75="Moderado",0.6,IF(T75="Mayor",0.8,IF(T75="Catastrófico",1,))))))</f>
        <v>0.6</v>
      </c>
      <c r="V75" s="233" t="str">
        <f t="shared" ref="V75" ca="1" si="175">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Moderado</v>
      </c>
      <c r="W75" s="233">
        <v>1</v>
      </c>
      <c r="X75" s="207" t="s">
        <v>1016</v>
      </c>
      <c r="Y75" s="230" t="str">
        <f t="shared" si="138"/>
        <v>Probabilidad</v>
      </c>
      <c r="Z75" s="185" t="s">
        <v>208</v>
      </c>
      <c r="AA75" s="185" t="s">
        <v>216</v>
      </c>
      <c r="AB75" s="186" t="str">
        <f t="shared" si="168"/>
        <v>40%</v>
      </c>
      <c r="AC75" s="185" t="s">
        <v>219</v>
      </c>
      <c r="AD75" s="185" t="s">
        <v>224</v>
      </c>
      <c r="AE75" s="185" t="s">
        <v>228</v>
      </c>
      <c r="AF75" s="187">
        <f t="shared" ref="AF75" si="176">IFERROR(IF(Y75="Probabilidad",(Q75-(+Q75*AB75)),IF(Y75="Impacto",Q75,"")),"")</f>
        <v>0.36</v>
      </c>
      <c r="AG75" s="188" t="str">
        <f t="shared" si="140"/>
        <v>Baja</v>
      </c>
      <c r="AH75" s="186">
        <f t="shared" si="141"/>
        <v>0.36</v>
      </c>
      <c r="AI75" s="188" t="str">
        <f t="shared" ca="1" si="142"/>
        <v>Moderado</v>
      </c>
      <c r="AJ75" s="186">
        <f t="shared" ref="AJ75" ca="1" si="177">IFERROR(IF(Y75="Impacto",(U75-(+U75*AB75)),IF(Y75="Probabilidad",U75,"")),"")</f>
        <v>0.6</v>
      </c>
      <c r="AK75" s="189" t="str">
        <f t="shared" ca="1" si="144"/>
        <v>Moderado</v>
      </c>
      <c r="AL75" s="185" t="s">
        <v>255</v>
      </c>
      <c r="AM75" s="227"/>
      <c r="AN75" s="230"/>
      <c r="AO75" s="228"/>
      <c r="AP75" s="228"/>
      <c r="AQ75" s="227"/>
      <c r="AR75" s="229"/>
    </row>
    <row r="76" spans="1:44" s="191" customFormat="1" ht="147" customHeight="1" thickTop="1" thickBot="1" x14ac:dyDescent="0.3">
      <c r="A76" s="352">
        <v>25</v>
      </c>
      <c r="B76" s="369" t="s">
        <v>585</v>
      </c>
      <c r="C76" s="357" t="s">
        <v>269</v>
      </c>
      <c r="D76" s="359" t="s">
        <v>586</v>
      </c>
      <c r="E76" s="357" t="s">
        <v>236</v>
      </c>
      <c r="F76" s="360" t="s">
        <v>587</v>
      </c>
      <c r="G76" s="360" t="s">
        <v>588</v>
      </c>
      <c r="H76" s="361" t="s">
        <v>1126</v>
      </c>
      <c r="I76" s="362" t="s">
        <v>474</v>
      </c>
      <c r="J76" s="362" t="s">
        <v>474</v>
      </c>
      <c r="K76" s="362" t="s">
        <v>474</v>
      </c>
      <c r="L76" s="362" t="s">
        <v>474</v>
      </c>
      <c r="M76" s="357" t="s">
        <v>246</v>
      </c>
      <c r="N76" s="357"/>
      <c r="O76" s="363">
        <v>3650</v>
      </c>
      <c r="P76" s="364" t="str">
        <f t="shared" si="134"/>
        <v>Alta</v>
      </c>
      <c r="Q76" s="365">
        <f t="shared" si="135"/>
        <v>0.8</v>
      </c>
      <c r="R76" s="365" t="s">
        <v>186</v>
      </c>
      <c r="S76" s="365" t="str">
        <f ca="1">IF(NOT(ISERROR(MATCH(R76,'Tabla Impacto'!$B$221:$B$223,0))),'Tabla Impacto'!$F$223&amp;"Por favor no seleccionar los criterios de impacto(Afectación Económica o presupuestal y Pérdida Reputacional)",R76)</f>
        <v xml:space="preserve">Entre 10 y 50 SMLMV </v>
      </c>
      <c r="T76" s="364" t="str">
        <f ca="1">+IF(OR(S76='[1]Tabla Impacto'!$C$11,S76='[1]Tabla Impacto'!$D$11),"Leve",IF(OR(S76='[1]Tabla Impacto'!$C$12,S76='[1]Tabla Impacto'!$D$12),"Menor",IF(OR(S76='[1]Tabla Impacto'!$C$13,S76='[1]Tabla Impacto'!$D$13),"Moderado",IF(OR(S76='[1]Tabla Impacto'!$C$14,S76='[1]Tabla Impacto'!$D$14),"Mayor",IF(OR(S76='[1]Tabla Impacto'!$C$15,S76='[1]Tabla Impacto'!$D$15),"Catastrófico","")))))</f>
        <v>Menor</v>
      </c>
      <c r="U76" s="365">
        <f t="shared" ref="U76" ca="1" si="178">IF(T76="","",IF(T76="Leve",0.2,IF(T76="Menor",0.4,IF(T76="Moderado",0.6,IF(T76="Mayor",0.8,IF(T76="Catastrófico",1,))))))</f>
        <v>0.4</v>
      </c>
      <c r="V76" s="351" t="str">
        <f t="shared" ref="V76" ca="1" si="179">IF(OR(AND(P76="Muy Baja",T76="Leve"),AND(P76="Muy Baja",T76="Menor"),AND(P76="Baja",T76="Leve")),"Bajo",IF(OR(AND(P76="Muy baja",T76="Moderado"),AND(P76="Baja",T76="Menor"),AND(P76="Baja",T76="Moderado"),AND(P76="Media",T76="Leve"),AND(P76="Media",T76="Menor"),AND(P76="Media",T76="Moderado"),AND(P76="Alta",T76="Leve"),AND(P76="Alta",T76="Menor")),"Moderado",IF(OR(AND(P76="Muy Baja",T76="Mayor"),AND(P76="Baja",T76="Mayor"),AND(P76="Media",T76="Mayor"),AND(P76="Alta",T76="Moderado"),AND(P76="Alta",T76="Mayor"),AND(P76="Muy Alta",T76="Leve"),AND(P76="Muy Alta",T76="Menor"),AND(P76="Muy Alta",T76="Moderado"),AND(P76="Muy Alta",T76="Mayor")),"Alto",IF(OR(AND(P76="Muy Baja",T76="Catastrófico"),AND(P76="Baja",T76="Catastrófico"),AND(P76="Media",T76="Catastrófico"),AND(P76="Alta",T76="Catastrófico"),AND(P76="Muy Alta",T76="Catastrófico")),"Extremo",""))))</f>
        <v>Moderado</v>
      </c>
      <c r="W76" s="233">
        <v>1</v>
      </c>
      <c r="X76" s="209" t="s">
        <v>1017</v>
      </c>
      <c r="Y76" s="230" t="str">
        <f t="shared" si="138"/>
        <v>Probabilidad</v>
      </c>
      <c r="Z76" s="185" t="s">
        <v>210</v>
      </c>
      <c r="AA76" s="185" t="s">
        <v>216</v>
      </c>
      <c r="AB76" s="186" t="str">
        <f t="shared" si="168"/>
        <v>30%</v>
      </c>
      <c r="AC76" s="185" t="s">
        <v>219</v>
      </c>
      <c r="AD76" s="185" t="s">
        <v>226</v>
      </c>
      <c r="AE76" s="185" t="s">
        <v>228</v>
      </c>
      <c r="AF76" s="187">
        <f t="shared" ref="AF76" si="180">IFERROR(IF(Y76="Probabilidad",(Q76-(+Q76*AB76)),IF(Y76="Impacto",Q76,"")),"")</f>
        <v>0.56000000000000005</v>
      </c>
      <c r="AG76" s="188" t="str">
        <f t="shared" si="140"/>
        <v>Media</v>
      </c>
      <c r="AH76" s="186">
        <f t="shared" si="141"/>
        <v>0.56000000000000005</v>
      </c>
      <c r="AI76" s="188" t="str">
        <f t="shared" ca="1" si="142"/>
        <v>Menor</v>
      </c>
      <c r="AJ76" s="186">
        <f t="shared" ref="AJ76" ca="1" si="181">IFERROR(IF(Y76="Impacto",(U76-(+U76*AB76)),IF(Y76="Probabilidad",U76,"")),"")</f>
        <v>0.4</v>
      </c>
      <c r="AK76" s="189" t="str">
        <f t="shared" ca="1" si="144"/>
        <v>Moderado</v>
      </c>
      <c r="AL76" s="185" t="s">
        <v>255</v>
      </c>
      <c r="AM76" s="227"/>
      <c r="AN76" s="230"/>
      <c r="AO76" s="228"/>
      <c r="AP76" s="228"/>
      <c r="AQ76" s="227"/>
      <c r="AR76" s="229"/>
    </row>
    <row r="77" spans="1:44" s="191" customFormat="1" ht="183.75" customHeight="1" thickTop="1" thickBot="1" x14ac:dyDescent="0.3">
      <c r="A77" s="352"/>
      <c r="B77" s="369"/>
      <c r="C77" s="357"/>
      <c r="D77" s="359"/>
      <c r="E77" s="357"/>
      <c r="F77" s="360"/>
      <c r="G77" s="360"/>
      <c r="H77" s="361"/>
      <c r="I77" s="362"/>
      <c r="J77" s="362"/>
      <c r="K77" s="362"/>
      <c r="L77" s="362"/>
      <c r="M77" s="357"/>
      <c r="N77" s="357"/>
      <c r="O77" s="363"/>
      <c r="P77" s="364"/>
      <c r="Q77" s="365"/>
      <c r="R77" s="365"/>
      <c r="S77" s="365">
        <f ca="1">IF(NOT(ISERROR(MATCH(R77,_xlfn.ANCHORARRAY(H81),0))),#REF!&amp;"Por favor no seleccionar los criterios de impacto",R77)</f>
        <v>0</v>
      </c>
      <c r="T77" s="364"/>
      <c r="U77" s="365"/>
      <c r="V77" s="351"/>
      <c r="W77" s="233">
        <v>2</v>
      </c>
      <c r="X77" s="209" t="s">
        <v>1018</v>
      </c>
      <c r="Y77" s="230" t="str">
        <f t="shared" si="138"/>
        <v>Probabilidad</v>
      </c>
      <c r="Z77" s="185" t="s">
        <v>208</v>
      </c>
      <c r="AA77" s="185" t="s">
        <v>216</v>
      </c>
      <c r="AB77" s="186" t="str">
        <f t="shared" si="168"/>
        <v>40%</v>
      </c>
      <c r="AC77" s="185" t="s">
        <v>219</v>
      </c>
      <c r="AD77" s="185" t="s">
        <v>226</v>
      </c>
      <c r="AE77" s="185" t="s">
        <v>228</v>
      </c>
      <c r="AF77" s="187">
        <f t="shared" ref="AF77" si="182">IFERROR(IF(AND(Y76="Probabilidad",Y77="Probabilidad"),(AH76-(+AH76*AB77)),IF(Y77="Probabilidad",(Q76-(+Q76*AB77)),IF(Y77="Impacto",AH76,""))),"")</f>
        <v>0.33600000000000002</v>
      </c>
      <c r="AG77" s="188" t="str">
        <f t="shared" si="140"/>
        <v>Baja</v>
      </c>
      <c r="AH77" s="186">
        <f t="shared" si="141"/>
        <v>0.33600000000000002</v>
      </c>
      <c r="AI77" s="188" t="str">
        <f t="shared" ca="1" si="142"/>
        <v>Menor</v>
      </c>
      <c r="AJ77" s="186">
        <f t="shared" ref="AJ77" ca="1" si="183">IFERROR(IF(AND(Y76="Impacto",Y77="Impacto"),(AJ76-(+AJ76*AB77)),IF(Y77="Impacto",(U76-(+U76*AB77)),IF(Y77="Probabilidad",AJ76,""))),"")</f>
        <v>0.4</v>
      </c>
      <c r="AK77" s="189" t="str">
        <f t="shared" ca="1" si="144"/>
        <v>Moderado</v>
      </c>
      <c r="AL77" s="185" t="s">
        <v>255</v>
      </c>
      <c r="AM77" s="227"/>
      <c r="AN77" s="230"/>
      <c r="AO77" s="228"/>
      <c r="AP77" s="228"/>
      <c r="AQ77" s="227"/>
      <c r="AR77" s="229"/>
    </row>
    <row r="78" spans="1:44" s="191" customFormat="1" ht="216" customHeight="1" thickTop="1" thickBot="1" x14ac:dyDescent="0.3">
      <c r="A78" s="352">
        <v>26</v>
      </c>
      <c r="B78" s="369" t="s">
        <v>589</v>
      </c>
      <c r="C78" s="357" t="s">
        <v>269</v>
      </c>
      <c r="D78" s="359" t="s">
        <v>590</v>
      </c>
      <c r="E78" s="357" t="s">
        <v>236</v>
      </c>
      <c r="F78" s="360" t="s">
        <v>591</v>
      </c>
      <c r="G78" s="360" t="s">
        <v>592</v>
      </c>
      <c r="H78" s="361" t="s">
        <v>1179</v>
      </c>
      <c r="I78" s="362" t="s">
        <v>593</v>
      </c>
      <c r="J78" s="362" t="s">
        <v>593</v>
      </c>
      <c r="K78" s="362" t="s">
        <v>593</v>
      </c>
      <c r="L78" s="362" t="s">
        <v>593</v>
      </c>
      <c r="M78" s="373" t="s">
        <v>244</v>
      </c>
      <c r="N78" s="357"/>
      <c r="O78" s="363">
        <v>500</v>
      </c>
      <c r="P78" s="364" t="str">
        <f t="shared" ref="P78:P85" si="184">IF(O78&lt;=0,"",IF(O78&lt;=2,"Muy Baja",IF(O78&lt;=24,"Baja",IF(O78&lt;=500,"Media",IF(O78&lt;=5000,"Alta","Muy Alta")))))</f>
        <v>Media</v>
      </c>
      <c r="Q78" s="365">
        <f t="shared" ref="Q78:Q85" si="185">IF(P78="","",IF(P78="Muy Baja",0.2,IF(P78="Baja",0.4,IF(P78="Media",0.6,IF(P78="Alta",0.8,IF(P78="Muy Alta",1,))))))</f>
        <v>0.6</v>
      </c>
      <c r="R78" s="365" t="s">
        <v>195</v>
      </c>
      <c r="S78" s="365" t="str">
        <f ca="1">IF(NOT(ISERROR(MATCH(R78,'Tabla Impacto'!$B$221:$B$223,0))),'Tabla Impacto'!$F$223&amp;"Por favor no seleccionar los criterios de impacto(Afectación Económica o presupuestal y Pérdida Reputacional)",R78)</f>
        <v xml:space="preserve">Mayor a 500 SMLMV </v>
      </c>
      <c r="T78" s="364" t="str">
        <f ca="1">+IF(OR(S78='[1]Tabla Impacto'!$C$11,S78='[1]Tabla Impacto'!$D$11),"Leve",IF(OR(S78='[1]Tabla Impacto'!$C$12,S78='[1]Tabla Impacto'!$D$12),"Menor",IF(OR(S78='[1]Tabla Impacto'!$C$13,S78='[1]Tabla Impacto'!$D$13),"Moderado",IF(OR(S78='[1]Tabla Impacto'!$C$14,S78='[1]Tabla Impacto'!$D$14),"Mayor",IF(OR(S78='[1]Tabla Impacto'!$C$15,S78='[1]Tabla Impacto'!$D$15),"Catastrófico","")))))</f>
        <v>Catastrófico</v>
      </c>
      <c r="U78" s="365">
        <f t="shared" ref="U78" ca="1" si="186">IF(T78="","",IF(T78="Leve",0.2,IF(T78="Menor",0.4,IF(T78="Moderado",0.6,IF(T78="Mayor",0.8,IF(T78="Catastrófico",1,))))))</f>
        <v>1</v>
      </c>
      <c r="V78" s="351" t="str">
        <f t="shared" ref="V78" ca="1" si="187">IF(OR(AND(P78="Muy Baja",T78="Leve"),AND(P78="Muy Baja",T78="Menor"),AND(P78="Baja",T78="Leve")),"Bajo",IF(OR(AND(P78="Muy baja",T78="Moderado"),AND(P78="Baja",T78="Menor"),AND(P78="Baja",T78="Moderado"),AND(P78="Media",T78="Leve"),AND(P78="Media",T78="Menor"),AND(P78="Media",T78="Moderado"),AND(P78="Alta",T78="Leve"),AND(P78="Alta",T78="Menor")),"Moderado",IF(OR(AND(P78="Muy Baja",T78="Mayor"),AND(P78="Baja",T78="Mayor"),AND(P78="Media",T78="Mayor"),AND(P78="Alta",T78="Moderado"),AND(P78="Alta",T78="Mayor"),AND(P78="Muy Alta",T78="Leve"),AND(P78="Muy Alta",T78="Menor"),AND(P78="Muy Alta",T78="Moderado"),AND(P78="Muy Alta",T78="Mayor")),"Alto",IF(OR(AND(P78="Muy Baja",T78="Catastrófico"),AND(P78="Baja",T78="Catastrófico"),AND(P78="Media",T78="Catastrófico"),AND(P78="Alta",T78="Catastrófico"),AND(P78="Muy Alta",T78="Catastrófico")),"Extremo",""))))</f>
        <v>Extremo</v>
      </c>
      <c r="W78" s="233">
        <v>1</v>
      </c>
      <c r="X78" s="207" t="s">
        <v>1019</v>
      </c>
      <c r="Y78" s="230" t="str">
        <f t="shared" ref="Y78:Y85" si="188">IF(OR(Z78="Preventivo",Z78="Detectivo"),"Probabilidad",IF(Z78="Correctivo","Impacto",""))</f>
        <v>Probabilidad</v>
      </c>
      <c r="Z78" s="185" t="s">
        <v>208</v>
      </c>
      <c r="AA78" s="185" t="s">
        <v>216</v>
      </c>
      <c r="AB78" s="186" t="str">
        <f t="shared" si="168"/>
        <v>40%</v>
      </c>
      <c r="AC78" s="185" t="s">
        <v>219</v>
      </c>
      <c r="AD78" s="185" t="s">
        <v>224</v>
      </c>
      <c r="AE78" s="185" t="s">
        <v>228</v>
      </c>
      <c r="AF78" s="187">
        <f t="shared" ref="AF78" si="189">IFERROR(IF(Y78="Probabilidad",(Q78-(+Q78*AB78)),IF(Y78="Impacto",Q78,"")),"")</f>
        <v>0.36</v>
      </c>
      <c r="AG78" s="188" t="str">
        <f t="shared" ref="AG78:AG85" si="190">IFERROR(IF(AF78="","",IF(AF78&lt;=0.2,"Muy Baja",IF(AF78&lt;=0.4,"Baja",IF(AF78&lt;=0.6,"Media",IF(AF78&lt;=0.8,"Alta","Muy Alta"))))),"")</f>
        <v>Baja</v>
      </c>
      <c r="AH78" s="186">
        <f t="shared" ref="AH78:AH85" si="191">+AF78</f>
        <v>0.36</v>
      </c>
      <c r="AI78" s="188" t="str">
        <f t="shared" ref="AI78:AI85" ca="1" si="192">IFERROR(IF(AJ78="","",IF(AJ78&lt;=0.2,"Leve",IF(AJ78&lt;=0.4,"Menor",IF(AJ78&lt;=0.6,"Moderado",IF(AJ78&lt;=0.8,"Mayor","Catastrófico"))))),"")</f>
        <v>Catastrófico</v>
      </c>
      <c r="AJ78" s="186">
        <f t="shared" ref="AJ78" ca="1" si="193">IFERROR(IF(Y78="Impacto",(U78-(+U78*AB78)),IF(Y78="Probabilidad",U78,"")),"")</f>
        <v>1</v>
      </c>
      <c r="AK78" s="189" t="str">
        <f t="shared" ref="AK78:AK85" ca="1" si="194">IFERROR(IF(OR(AND(AG78="Muy Baja",AI78="Leve"),AND(AG78="Muy Baja",AI78="Menor"),AND(AG78="Baja",AI78="Leve")),"Bajo",IF(OR(AND(AG78="Muy baja",AI78="Moderado"),AND(AG78="Baja",AI78="Menor"),AND(AG78="Baja",AI78="Moderado"),AND(AG78="Media",AI78="Leve"),AND(AG78="Media",AI78="Menor"),AND(AG78="Media",AI78="Moderado"),AND(AG78="Alta",AI78="Leve"),AND(AG78="Alta",AI78="Menor")),"Moderado",IF(OR(AND(AG78="Muy Baja",AI78="Mayor"),AND(AG78="Baja",AI78="Mayor"),AND(AG78="Media",AI78="Mayor"),AND(AG78="Alta",AI78="Moderado"),AND(AG78="Alta",AI78="Mayor"),AND(AG78="Muy Alta",AI78="Leve"),AND(AG78="Muy Alta",AI78="Menor"),AND(AG78="Muy Alta",AI78="Moderado"),AND(AG78="Muy Alta",AI78="Mayor")),"Alto",IF(OR(AND(AG78="Muy Baja",AI78="Catastrófico"),AND(AG78="Baja",AI78="Catastrófico"),AND(AG78="Media",AI78="Catastrófico"),AND(AG78="Alta",AI78="Catastrófico"),AND(AG78="Muy Alta",AI78="Catastrófico")),"Extremo","")))),"")</f>
        <v>Extremo</v>
      </c>
      <c r="AL78" s="185" t="s">
        <v>262</v>
      </c>
      <c r="AM78" s="227"/>
      <c r="AN78" s="230"/>
      <c r="AO78" s="228"/>
      <c r="AP78" s="228"/>
      <c r="AQ78" s="227"/>
      <c r="AR78" s="229"/>
    </row>
    <row r="79" spans="1:44" s="191" customFormat="1" ht="201.75" customHeight="1" thickTop="1" thickBot="1" x14ac:dyDescent="0.3">
      <c r="A79" s="352"/>
      <c r="B79" s="369"/>
      <c r="C79" s="357"/>
      <c r="D79" s="359"/>
      <c r="E79" s="357"/>
      <c r="F79" s="360"/>
      <c r="G79" s="360"/>
      <c r="H79" s="361"/>
      <c r="I79" s="362"/>
      <c r="J79" s="362"/>
      <c r="K79" s="362"/>
      <c r="L79" s="362"/>
      <c r="M79" s="373"/>
      <c r="N79" s="357"/>
      <c r="O79" s="363"/>
      <c r="P79" s="364"/>
      <c r="Q79" s="365"/>
      <c r="R79" s="365"/>
      <c r="S79" s="365">
        <f ca="1">IF(NOT(ISERROR(MATCH(R79,_xlfn.ANCHORARRAY(H83),0))),#REF!&amp;"Por favor no seleccionar los criterios de impacto",R79)</f>
        <v>0</v>
      </c>
      <c r="T79" s="364"/>
      <c r="U79" s="365"/>
      <c r="V79" s="351"/>
      <c r="W79" s="233">
        <v>2</v>
      </c>
      <c r="X79" s="207" t="s">
        <v>1020</v>
      </c>
      <c r="Y79" s="230" t="str">
        <f t="shared" si="188"/>
        <v>Probabilidad</v>
      </c>
      <c r="Z79" s="185" t="s">
        <v>208</v>
      </c>
      <c r="AA79" s="185" t="s">
        <v>216</v>
      </c>
      <c r="AB79" s="186" t="str">
        <f t="shared" si="168"/>
        <v>40%</v>
      </c>
      <c r="AC79" s="185" t="s">
        <v>219</v>
      </c>
      <c r="AD79" s="185" t="s">
        <v>224</v>
      </c>
      <c r="AE79" s="185" t="s">
        <v>228</v>
      </c>
      <c r="AF79" s="187">
        <f t="shared" ref="AF79" si="195">IFERROR(IF(AND(Y78="Probabilidad",Y79="Probabilidad"),(AH78-(+AH78*AB79)),IF(Y79="Probabilidad",(Q78-(+Q78*AB79)),IF(Y79="Impacto",AH78,""))),"")</f>
        <v>0.216</v>
      </c>
      <c r="AG79" s="188" t="str">
        <f t="shared" si="190"/>
        <v>Baja</v>
      </c>
      <c r="AH79" s="186">
        <f t="shared" si="191"/>
        <v>0.216</v>
      </c>
      <c r="AI79" s="188" t="str">
        <f t="shared" ca="1" si="192"/>
        <v>Catastrófico</v>
      </c>
      <c r="AJ79" s="186">
        <f t="shared" ref="AJ79" ca="1" si="196">IFERROR(IF(AND(Y78="Impacto",Y79="Impacto"),(AJ78-(+AJ78*AB79)),IF(Y79="Impacto",(U78-(+U78*AB79)),IF(Y79="Probabilidad",AJ78,""))),"")</f>
        <v>1</v>
      </c>
      <c r="AK79" s="189" t="str">
        <f t="shared" ca="1" si="194"/>
        <v>Extremo</v>
      </c>
      <c r="AL79" s="185" t="s">
        <v>262</v>
      </c>
      <c r="AM79" s="227"/>
      <c r="AN79" s="230"/>
      <c r="AO79" s="228"/>
      <c r="AP79" s="228"/>
      <c r="AQ79" s="227"/>
      <c r="AR79" s="229"/>
    </row>
    <row r="80" spans="1:44" s="191" customFormat="1" ht="381.75" customHeight="1" thickTop="1" thickBot="1" x14ac:dyDescent="0.3">
      <c r="A80" s="286">
        <v>27</v>
      </c>
      <c r="B80" s="280" t="s">
        <v>1211</v>
      </c>
      <c r="C80" s="274" t="s">
        <v>269</v>
      </c>
      <c r="D80" s="275" t="s">
        <v>1212</v>
      </c>
      <c r="E80" s="275" t="s">
        <v>240</v>
      </c>
      <c r="F80" s="283" t="s">
        <v>611</v>
      </c>
      <c r="G80" s="283" t="s">
        <v>612</v>
      </c>
      <c r="H80" s="281" t="s">
        <v>1182</v>
      </c>
      <c r="I80" s="276" t="s">
        <v>593</v>
      </c>
      <c r="J80" s="276" t="s">
        <v>593</v>
      </c>
      <c r="K80" s="276" t="s">
        <v>593</v>
      </c>
      <c r="L80" s="276" t="s">
        <v>593</v>
      </c>
      <c r="M80" s="282" t="s">
        <v>244</v>
      </c>
      <c r="N80" s="275"/>
      <c r="O80" s="277">
        <v>5001</v>
      </c>
      <c r="P80" s="278" t="str">
        <f t="shared" ref="P80" si="197">IF(O80&lt;=0,"",IF(O80&lt;=2,"Muy Baja",IF(O80&lt;=24,"Baja",IF(O80&lt;=500,"Media",IF(O80&lt;=5000,"Alta","Muy Alta")))))</f>
        <v>Muy Alta</v>
      </c>
      <c r="Q80" s="279">
        <f t="shared" ref="Q80" si="198">IF(P80="","",IF(P80="Muy Baja",0.2,IF(P80="Baja",0.4,IF(P80="Media",0.6,IF(P80="Alta",0.8,IF(P80="Muy Alta",1,))))))</f>
        <v>1</v>
      </c>
      <c r="R80" s="279" t="s">
        <v>195</v>
      </c>
      <c r="S80" s="279" t="str">
        <f ca="1">IF(NOT(ISERROR(MATCH(R80,'Tabla Impacto'!$B$221:$B$223,0))),'Tabla Impacto'!$F$223&amp;"Por favor no seleccionar los criterios de impacto(Afectación Económica o presupuestal y Pérdida Reputacional)",R80)</f>
        <v xml:space="preserve">Mayor a 500 SMLMV </v>
      </c>
      <c r="T80" s="278" t="str">
        <f ca="1">+IF(OR(S80='[1]Tabla Impacto'!$C$11,S80='[1]Tabla Impacto'!$D$11),"Leve",IF(OR(S80='[1]Tabla Impacto'!$C$12,S80='[1]Tabla Impacto'!$D$12),"Menor",IF(OR(S80='[1]Tabla Impacto'!$C$13,S80='[1]Tabla Impacto'!$D$13),"Moderado",IF(OR(S80='[1]Tabla Impacto'!$C$14,S80='[1]Tabla Impacto'!$D$14),"Mayor",IF(OR(S80='[1]Tabla Impacto'!$C$15,S80='[1]Tabla Impacto'!$D$15),"Catastrófico","")))))</f>
        <v>Catastrófico</v>
      </c>
      <c r="U80" s="279">
        <f t="shared" ref="U80" ca="1" si="199">IF(T80="","",IF(T80="Leve",0.2,IF(T80="Menor",0.4,IF(T80="Moderado",0.6,IF(T80="Mayor",0.8,IF(T80="Catastrófico",1,))))))</f>
        <v>1</v>
      </c>
      <c r="V80" s="272" t="str">
        <f t="shared" ref="V80" ca="1" si="200">IF(OR(AND(P80="Muy Baja",T80="Leve"),AND(P80="Muy Baja",T80="Menor"),AND(P80="Baja",T80="Leve")),"Bajo",IF(OR(AND(P80="Muy baja",T80="Moderado"),AND(P80="Baja",T80="Menor"),AND(P80="Baja",T80="Moderado"),AND(P80="Media",T80="Leve"),AND(P80="Media",T80="Menor"),AND(P80="Media",T80="Moderado"),AND(P80="Alta",T80="Leve"),AND(P80="Alta",T80="Menor")),"Moderado",IF(OR(AND(P80="Muy Baja",T80="Mayor"),AND(P80="Baja",T80="Mayor"),AND(P80="Media",T80="Mayor"),AND(P80="Alta",T80="Moderado"),AND(P80="Alta",T80="Mayor"),AND(P80="Muy Alta",T80="Leve"),AND(P80="Muy Alta",T80="Menor"),AND(P80="Muy Alta",T80="Moderado"),AND(P80="Muy Alta",T80="Mayor")),"Alto",IF(OR(AND(P80="Muy Baja",T80="Catastrófico"),AND(P80="Baja",T80="Catastrófico"),AND(P80="Media",T80="Catastrófico"),AND(P80="Alta",T80="Catastrófico"),AND(P80="Muy Alta",T80="Catastrófico")),"Extremo",""))))</f>
        <v>Extremo</v>
      </c>
      <c r="W80" s="272">
        <v>1</v>
      </c>
      <c r="X80" s="207" t="s">
        <v>1027</v>
      </c>
      <c r="Y80" s="230" t="str">
        <f>IF(OR(Z80="Preventivo",Z80="Detectivo"),"Probabilidad",IF(Z80="Correctivo","Impacto",""))</f>
        <v>Probabilidad</v>
      </c>
      <c r="Z80" s="185" t="s">
        <v>208</v>
      </c>
      <c r="AA80" s="185" t="s">
        <v>216</v>
      </c>
      <c r="AB80" s="186" t="str">
        <f>IF(AND(Z80="Preventivo",AA80="Automático"),"50%",IF(AND(Z80="Preventivo",AA80="Manual"),"40%",IF(AND(Z80="Detectivo",AA80="Automático"),"40%",IF(AND(Z80="Detectivo",AA80="Manual"),"30%",IF(AND(Z80="Correctivo",AA80="Automático"),"35%",IF(AND(Z80="Correctivo",AA80="Manual"),"25%",""))))))</f>
        <v>40%</v>
      </c>
      <c r="AC80" s="185" t="s">
        <v>219</v>
      </c>
      <c r="AD80" s="185" t="s">
        <v>224</v>
      </c>
      <c r="AE80" s="185" t="s">
        <v>228</v>
      </c>
      <c r="AF80" s="187">
        <f>IFERROR(IF(AND(Y87="Probabilidad",Y80="Probabilidad"),(AH87-(+AH87*AB80)),IF(Y80="Probabilidad",(Q87-(+Q87*AB80)),IF(Y80="Impacto",AH87,""))),"")</f>
        <v>0.36</v>
      </c>
      <c r="AG80" s="188" t="str">
        <f>IFERROR(IF(AF80="","",IF(AF80&lt;=0.2,"Muy Baja",IF(AF80&lt;=0.4,"Baja",IF(AF80&lt;=0.6,"Media",IF(AF80&lt;=0.8,"Alta","Muy Alta"))))),"")</f>
        <v>Baja</v>
      </c>
      <c r="AH80" s="186">
        <f>+AF80</f>
        <v>0.36</v>
      </c>
      <c r="AI80" s="188" t="str">
        <f ca="1">IFERROR(IF(AJ80="","",IF(AJ80&lt;=0.2,"Leve",IF(AJ80&lt;=0.4,"Menor",IF(AJ80&lt;=0.6,"Moderado",IF(AJ80&lt;=0.8,"Mayor","Catastrófico"))))),"")</f>
        <v>Moderado</v>
      </c>
      <c r="AJ80" s="186">
        <f ca="1">IFERROR(IF(AND(Y87="Impacto",Y80="Impacto"),(AJ87-(+AJ87*AB80)),IF(Y80="Impacto",(U87-(+U87*AB80)),IF(Y80="Probabilidad",AJ87,""))),"")</f>
        <v>0.6</v>
      </c>
      <c r="AK80" s="189" t="str">
        <f ca="1">IFERROR(IF(OR(AND(AG80="Muy Baja",AI80="Leve"),AND(AG80="Muy Baja",AI80="Menor"),AND(AG80="Baja",AI80="Leve")),"Bajo",IF(OR(AND(AG80="Muy baja",AI80="Moderado"),AND(AG80="Baja",AI80="Menor"),AND(AG80="Baja",AI80="Moderado"),AND(AG80="Media",AI80="Leve"),AND(AG80="Media",AI80="Menor"),AND(AG80="Media",AI80="Moderado"),AND(AG80="Alta",AI80="Leve"),AND(AG80="Alta",AI80="Menor")),"Moderado",IF(OR(AND(AG80="Muy Baja",AI80="Mayor"),AND(AG80="Baja",AI80="Mayor"),AND(AG80="Media",AI80="Mayor"),AND(AG80="Alta",AI80="Moderado"),AND(AG80="Alta",AI80="Mayor"),AND(AG80="Muy Alta",AI80="Leve"),AND(AG80="Muy Alta",AI80="Menor"),AND(AG80="Muy Alta",AI80="Moderado"),AND(AG80="Muy Alta",AI80="Mayor")),"Alto",IF(OR(AND(AG80="Muy Baja",AI80="Catastrófico"),AND(AG80="Baja",AI80="Catastrófico"),AND(AG80="Media",AI80="Catastrófico"),AND(AG80="Alta",AI80="Catastrófico"),AND(AG80="Muy Alta",AI80="Catastrófico")),"Extremo","")))),"")</f>
        <v>Moderado</v>
      </c>
      <c r="AL80" s="185" t="s">
        <v>262</v>
      </c>
      <c r="AM80" s="275"/>
      <c r="AN80" s="277"/>
      <c r="AO80" s="284"/>
      <c r="AP80" s="284"/>
      <c r="AQ80" s="275"/>
      <c r="AR80" s="285"/>
    </row>
    <row r="81" spans="1:44" s="191" customFormat="1" ht="214.5" customHeight="1" thickTop="1" thickBot="1" x14ac:dyDescent="0.3">
      <c r="A81" s="352">
        <v>28</v>
      </c>
      <c r="B81" s="369" t="s">
        <v>594</v>
      </c>
      <c r="C81" s="357" t="s">
        <v>271</v>
      </c>
      <c r="D81" s="357" t="s">
        <v>595</v>
      </c>
      <c r="E81" s="357" t="s">
        <v>240</v>
      </c>
      <c r="F81" s="375" t="s">
        <v>596</v>
      </c>
      <c r="G81" s="375" t="s">
        <v>597</v>
      </c>
      <c r="H81" s="374" t="s">
        <v>1180</v>
      </c>
      <c r="I81" s="362" t="s">
        <v>474</v>
      </c>
      <c r="J81" s="362" t="s">
        <v>474</v>
      </c>
      <c r="K81" s="362" t="s">
        <v>474</v>
      </c>
      <c r="L81" s="362" t="s">
        <v>474</v>
      </c>
      <c r="M81" s="357" t="s">
        <v>239</v>
      </c>
      <c r="N81" s="357"/>
      <c r="O81" s="363">
        <v>5001</v>
      </c>
      <c r="P81" s="364" t="str">
        <f t="shared" si="184"/>
        <v>Muy Alta</v>
      </c>
      <c r="Q81" s="365">
        <f t="shared" si="185"/>
        <v>1</v>
      </c>
      <c r="R81" s="365" t="s">
        <v>190</v>
      </c>
      <c r="S81" s="365" t="str">
        <f ca="1">IF(NOT(ISERROR(MATCH(R81,'Tabla Impacto'!$B$221:$B$223,0))),'Tabla Impacto'!$F$223&amp;"Por favor no seleccionar los criterios de impacto(Afectación Económica o presupuestal y Pérdida Reputacional)",R81)</f>
        <v>El riesgo afecta la imagen de la entidad con algunos usuarios de relevancia frente al logro de los objetivos</v>
      </c>
      <c r="T81" s="364" t="str">
        <f ca="1">+IF(OR(S81='[1]Tabla Impacto'!$C$11,S81='[1]Tabla Impacto'!$D$11),"Leve",IF(OR(S81='[1]Tabla Impacto'!$C$12,S81='[1]Tabla Impacto'!$D$12),"Menor",IF(OR(S81='[1]Tabla Impacto'!$C$13,S81='[1]Tabla Impacto'!$D$13),"Moderado",IF(OR(S81='[1]Tabla Impacto'!$C$14,S81='[1]Tabla Impacto'!$D$14),"Mayor",IF(OR(S81='[1]Tabla Impacto'!$C$15,S81='[1]Tabla Impacto'!$D$15),"Catastrófico","")))))</f>
        <v>Moderado</v>
      </c>
      <c r="U81" s="365">
        <f t="shared" ref="U81" ca="1" si="201">IF(T81="","",IF(T81="Leve",0.2,IF(T81="Menor",0.4,IF(T81="Moderado",0.6,IF(T81="Mayor",0.8,IF(T81="Catastrófico",1,))))))</f>
        <v>0.6</v>
      </c>
      <c r="V81" s="351" t="str">
        <f t="shared" ref="V81" ca="1" si="202">IF(OR(AND(P81="Muy Baja",T81="Leve"),AND(P81="Muy Baja",T81="Menor"),AND(P81="Baja",T81="Leve")),"Bajo",IF(OR(AND(P81="Muy baja",T81="Moderado"),AND(P81="Baja",T81="Menor"),AND(P81="Baja",T81="Moderado"),AND(P81="Media",T81="Leve"),AND(P81="Media",T81="Menor"),AND(P81="Media",T81="Moderado"),AND(P81="Alta",T81="Leve"),AND(P81="Alta",T81="Menor")),"Moderado",IF(OR(AND(P81="Muy Baja",T81="Mayor"),AND(P81="Baja",T81="Mayor"),AND(P81="Media",T81="Mayor"),AND(P81="Alta",T81="Moderado"),AND(P81="Alta",T81="Mayor"),AND(P81="Muy Alta",T81="Leve"),AND(P81="Muy Alta",T81="Menor"),AND(P81="Muy Alta",T81="Moderado"),AND(P81="Muy Alta",T81="Mayor")),"Alto",IF(OR(AND(P81="Muy Baja",T81="Catastrófico"),AND(P81="Baja",T81="Catastrófico"),AND(P81="Media",T81="Catastrófico"),AND(P81="Alta",T81="Catastrófico"),AND(P81="Muy Alta",T81="Catastrófico")),"Extremo",""))))</f>
        <v>Alto</v>
      </c>
      <c r="W81" s="233">
        <v>1</v>
      </c>
      <c r="X81" s="207" t="s">
        <v>1021</v>
      </c>
      <c r="Y81" s="230" t="str">
        <f t="shared" si="188"/>
        <v>Probabilidad</v>
      </c>
      <c r="Z81" s="185" t="s">
        <v>208</v>
      </c>
      <c r="AA81" s="185" t="s">
        <v>216</v>
      </c>
      <c r="AB81" s="186" t="str">
        <f t="shared" si="168"/>
        <v>40%</v>
      </c>
      <c r="AC81" s="185" t="s">
        <v>219</v>
      </c>
      <c r="AD81" s="185" t="s">
        <v>224</v>
      </c>
      <c r="AE81" s="185" t="s">
        <v>228</v>
      </c>
      <c r="AF81" s="187">
        <f t="shared" ref="AF81" si="203">IFERROR(IF(Y81="Probabilidad",(Q81-(+Q81*AB81)),IF(Y81="Impacto",Q81,"")),"")</f>
        <v>0.6</v>
      </c>
      <c r="AG81" s="188" t="str">
        <f t="shared" si="190"/>
        <v>Media</v>
      </c>
      <c r="AH81" s="186">
        <f t="shared" si="191"/>
        <v>0.6</v>
      </c>
      <c r="AI81" s="188" t="str">
        <f t="shared" ca="1" si="192"/>
        <v>Moderado</v>
      </c>
      <c r="AJ81" s="186">
        <f t="shared" ref="AJ81" ca="1" si="204">IFERROR(IF(Y81="Impacto",(U81-(+U81*AB81)),IF(Y81="Probabilidad",U81,"")),"")</f>
        <v>0.6</v>
      </c>
      <c r="AK81" s="189" t="str">
        <f t="shared" ca="1" si="194"/>
        <v>Moderado</v>
      </c>
      <c r="AL81" s="185" t="s">
        <v>255</v>
      </c>
      <c r="AM81" s="227"/>
      <c r="AN81" s="230"/>
      <c r="AO81" s="228"/>
      <c r="AP81" s="228"/>
      <c r="AQ81" s="227"/>
      <c r="AR81" s="229"/>
    </row>
    <row r="82" spans="1:44" s="191" customFormat="1" ht="214.5" customHeight="1" thickTop="1" thickBot="1" x14ac:dyDescent="0.3">
      <c r="A82" s="352"/>
      <c r="B82" s="369"/>
      <c r="C82" s="357"/>
      <c r="D82" s="357"/>
      <c r="E82" s="357"/>
      <c r="F82" s="375"/>
      <c r="G82" s="375"/>
      <c r="H82" s="374"/>
      <c r="I82" s="362"/>
      <c r="J82" s="362"/>
      <c r="K82" s="362"/>
      <c r="L82" s="362"/>
      <c r="M82" s="357"/>
      <c r="N82" s="357"/>
      <c r="O82" s="363"/>
      <c r="P82" s="364"/>
      <c r="Q82" s="365"/>
      <c r="R82" s="365"/>
      <c r="S82" s="365">
        <f ca="1">IF(NOT(ISERROR(MATCH(R82,_xlfn.ANCHORARRAY(H85),0))),#REF!&amp;"Por favor no seleccionar los criterios de impacto",R82)</f>
        <v>0</v>
      </c>
      <c r="T82" s="364"/>
      <c r="U82" s="365"/>
      <c r="V82" s="351"/>
      <c r="W82" s="233">
        <v>2</v>
      </c>
      <c r="X82" s="207" t="s">
        <v>1022</v>
      </c>
      <c r="Y82" s="230" t="str">
        <f t="shared" si="188"/>
        <v>Probabilidad</v>
      </c>
      <c r="Z82" s="185" t="s">
        <v>208</v>
      </c>
      <c r="AA82" s="185" t="s">
        <v>216</v>
      </c>
      <c r="AB82" s="186" t="str">
        <f t="shared" si="168"/>
        <v>40%</v>
      </c>
      <c r="AC82" s="185" t="s">
        <v>219</v>
      </c>
      <c r="AD82" s="185" t="s">
        <v>224</v>
      </c>
      <c r="AE82" s="185" t="s">
        <v>228</v>
      </c>
      <c r="AF82" s="187">
        <f t="shared" ref="AF82" si="205">IFERROR(IF(AND(Y81="Probabilidad",Y82="Probabilidad"),(AH81-(+AH81*AB82)),IF(Y82="Probabilidad",(Q81-(+Q81*AB82)),IF(Y82="Impacto",AH81,""))),"")</f>
        <v>0.36</v>
      </c>
      <c r="AG82" s="188" t="str">
        <f t="shared" si="190"/>
        <v>Baja</v>
      </c>
      <c r="AH82" s="186">
        <f t="shared" si="191"/>
        <v>0.36</v>
      </c>
      <c r="AI82" s="188" t="str">
        <f t="shared" ca="1" si="192"/>
        <v>Moderado</v>
      </c>
      <c r="AJ82" s="186">
        <f t="shared" ref="AJ82" ca="1" si="206">IFERROR(IF(AND(Y81="Impacto",Y82="Impacto"),(AJ81-(+AJ81*AB82)),IF(Y82="Impacto",(U81-(+U81*AB82)),IF(Y82="Probabilidad",AJ81,""))),"")</f>
        <v>0.6</v>
      </c>
      <c r="AK82" s="189" t="str">
        <f t="shared" ca="1" si="194"/>
        <v>Moderado</v>
      </c>
      <c r="AL82" s="185" t="s">
        <v>255</v>
      </c>
      <c r="AM82" s="227"/>
      <c r="AN82" s="230"/>
      <c r="AO82" s="228"/>
      <c r="AP82" s="228"/>
      <c r="AQ82" s="227"/>
      <c r="AR82" s="229"/>
    </row>
    <row r="83" spans="1:44" s="191" customFormat="1" ht="121.5" customHeight="1" thickTop="1" thickBot="1" x14ac:dyDescent="0.3">
      <c r="A83" s="352">
        <v>29</v>
      </c>
      <c r="B83" s="369" t="s">
        <v>598</v>
      </c>
      <c r="C83" s="357" t="s">
        <v>271</v>
      </c>
      <c r="D83" s="357" t="s">
        <v>595</v>
      </c>
      <c r="E83" s="357" t="s">
        <v>240</v>
      </c>
      <c r="F83" s="375" t="s">
        <v>599</v>
      </c>
      <c r="G83" s="375" t="s">
        <v>600</v>
      </c>
      <c r="H83" s="374" t="s">
        <v>1127</v>
      </c>
      <c r="I83" s="362" t="s">
        <v>474</v>
      </c>
      <c r="J83" s="362" t="s">
        <v>474</v>
      </c>
      <c r="K83" s="362" t="s">
        <v>474</v>
      </c>
      <c r="L83" s="362" t="s">
        <v>474</v>
      </c>
      <c r="M83" s="357" t="s">
        <v>239</v>
      </c>
      <c r="N83" s="357"/>
      <c r="O83" s="363">
        <v>5001</v>
      </c>
      <c r="P83" s="364" t="str">
        <f t="shared" si="184"/>
        <v>Muy Alta</v>
      </c>
      <c r="Q83" s="365">
        <f t="shared" si="185"/>
        <v>1</v>
      </c>
      <c r="R83" s="365" t="s">
        <v>190</v>
      </c>
      <c r="S83" s="365" t="str">
        <f ca="1">IF(NOT(ISERROR(MATCH(R83,'Tabla Impacto'!$B$221:$B$223,0))),'Tabla Impacto'!$F$223&amp;"Por favor no seleccionar los criterios de impacto(Afectación Económica o presupuestal y Pérdida Reputacional)",R83)</f>
        <v>El riesgo afecta la imagen de la entidad con algunos usuarios de relevancia frente al logro de los objetivos</v>
      </c>
      <c r="T83" s="364" t="str">
        <f ca="1">+IF(OR(S83='[1]Tabla Impacto'!$C$11,S83='[1]Tabla Impacto'!$D$11),"Leve",IF(OR(S83='[1]Tabla Impacto'!$C$12,S83='[1]Tabla Impacto'!$D$12),"Menor",IF(OR(S83='[1]Tabla Impacto'!$C$13,S83='[1]Tabla Impacto'!$D$13),"Moderado",IF(OR(S83='[1]Tabla Impacto'!$C$14,S83='[1]Tabla Impacto'!$D$14),"Mayor",IF(OR(S83='[1]Tabla Impacto'!$C$15,S83='[1]Tabla Impacto'!$D$15),"Catastrófico","")))))</f>
        <v>Moderado</v>
      </c>
      <c r="U83" s="365">
        <f t="shared" ref="U83" ca="1" si="207">IF(T83="","",IF(T83="Leve",0.2,IF(T83="Menor",0.4,IF(T83="Moderado",0.6,IF(T83="Mayor",0.8,IF(T83="Catastrófico",1,))))))</f>
        <v>0.6</v>
      </c>
      <c r="V83" s="351" t="str">
        <f t="shared" ref="V83" ca="1" si="208">IF(OR(AND(P83="Muy Baja",T83="Leve"),AND(P83="Muy Baja",T83="Menor"),AND(P83="Baja",T83="Leve")),"Bajo",IF(OR(AND(P83="Muy baja",T83="Moderado"),AND(P83="Baja",T83="Menor"),AND(P83="Baja",T83="Moderado"),AND(P83="Media",T83="Leve"),AND(P83="Media",T83="Menor"),AND(P83="Media",T83="Moderado"),AND(P83="Alta",T83="Leve"),AND(P83="Alta",T83="Menor")),"Moderado",IF(OR(AND(P83="Muy Baja",T83="Mayor"),AND(P83="Baja",T83="Mayor"),AND(P83="Media",T83="Mayor"),AND(P83="Alta",T83="Moderado"),AND(P83="Alta",T83="Mayor"),AND(P83="Muy Alta",T83="Leve"),AND(P83="Muy Alta",T83="Menor"),AND(P83="Muy Alta",T83="Moderado"),AND(P83="Muy Alta",T83="Mayor")),"Alto",IF(OR(AND(P83="Muy Baja",T83="Catastrófico"),AND(P83="Baja",T83="Catastrófico"),AND(P83="Media",T83="Catastrófico"),AND(P83="Alta",T83="Catastrófico"),AND(P83="Muy Alta",T83="Catastrófico")),"Extremo",""))))</f>
        <v>Alto</v>
      </c>
      <c r="W83" s="233">
        <v>1</v>
      </c>
      <c r="X83" s="207" t="s">
        <v>1023</v>
      </c>
      <c r="Y83" s="230" t="str">
        <f t="shared" si="188"/>
        <v>Probabilidad</v>
      </c>
      <c r="Z83" s="185" t="s">
        <v>208</v>
      </c>
      <c r="AA83" s="185" t="s">
        <v>216</v>
      </c>
      <c r="AB83" s="186" t="str">
        <f t="shared" si="168"/>
        <v>40%</v>
      </c>
      <c r="AC83" s="185" t="s">
        <v>219</v>
      </c>
      <c r="AD83" s="185" t="s">
        <v>224</v>
      </c>
      <c r="AE83" s="185" t="s">
        <v>228</v>
      </c>
      <c r="AF83" s="187">
        <f t="shared" ref="AF83" si="209">IFERROR(IF(Y83="Probabilidad",(Q83-(+Q83*AB83)),IF(Y83="Impacto",Q83,"")),"")</f>
        <v>0.6</v>
      </c>
      <c r="AG83" s="188" t="str">
        <f t="shared" si="190"/>
        <v>Media</v>
      </c>
      <c r="AH83" s="186">
        <f t="shared" si="191"/>
        <v>0.6</v>
      </c>
      <c r="AI83" s="188" t="str">
        <f t="shared" ca="1" si="192"/>
        <v>Moderado</v>
      </c>
      <c r="AJ83" s="186">
        <f t="shared" ref="AJ83" ca="1" si="210">IFERROR(IF(Y83="Impacto",(U83-(+U83*AB83)),IF(Y83="Probabilidad",U83,"")),"")</f>
        <v>0.6</v>
      </c>
      <c r="AK83" s="189" t="str">
        <f t="shared" ca="1" si="194"/>
        <v>Moderado</v>
      </c>
      <c r="AL83" s="185" t="s">
        <v>255</v>
      </c>
      <c r="AM83" s="227"/>
      <c r="AN83" s="230"/>
      <c r="AO83" s="228"/>
      <c r="AP83" s="228"/>
      <c r="AQ83" s="227"/>
      <c r="AR83" s="229"/>
    </row>
    <row r="84" spans="1:44" s="191" customFormat="1" ht="147.75" customHeight="1" thickTop="1" thickBot="1" x14ac:dyDescent="0.3">
      <c r="A84" s="352"/>
      <c r="B84" s="369"/>
      <c r="C84" s="357"/>
      <c r="D84" s="357"/>
      <c r="E84" s="357"/>
      <c r="F84" s="375"/>
      <c r="G84" s="375"/>
      <c r="H84" s="374"/>
      <c r="I84" s="362"/>
      <c r="J84" s="362"/>
      <c r="K84" s="362"/>
      <c r="L84" s="362"/>
      <c r="M84" s="357"/>
      <c r="N84" s="357"/>
      <c r="O84" s="363"/>
      <c r="P84" s="364"/>
      <c r="Q84" s="365"/>
      <c r="R84" s="365"/>
      <c r="S84" s="365">
        <f ca="1">IF(NOT(ISERROR(MATCH(R84,_xlfn.ANCHORARRAY(H86),0))),#REF!&amp;"Por favor no seleccionar los criterios de impacto",R84)</f>
        <v>0</v>
      </c>
      <c r="T84" s="364"/>
      <c r="U84" s="365"/>
      <c r="V84" s="351"/>
      <c r="W84" s="233">
        <v>2</v>
      </c>
      <c r="X84" s="207" t="s">
        <v>601</v>
      </c>
      <c r="Y84" s="230" t="str">
        <f t="shared" si="188"/>
        <v>Probabilidad</v>
      </c>
      <c r="Z84" s="185" t="s">
        <v>208</v>
      </c>
      <c r="AA84" s="185" t="s">
        <v>216</v>
      </c>
      <c r="AB84" s="186" t="str">
        <f t="shared" si="168"/>
        <v>40%</v>
      </c>
      <c r="AC84" s="185" t="s">
        <v>219</v>
      </c>
      <c r="AD84" s="185" t="s">
        <v>224</v>
      </c>
      <c r="AE84" s="185" t="s">
        <v>228</v>
      </c>
      <c r="AF84" s="187">
        <f t="shared" ref="AF84" si="211">IFERROR(IF(AND(Y83="Probabilidad",Y84="Probabilidad"),(AH83-(+AH83*AB84)),IF(Y84="Probabilidad",(Q83-(+Q83*AB84)),IF(Y84="Impacto",AH83,""))),"")</f>
        <v>0.36</v>
      </c>
      <c r="AG84" s="188" t="str">
        <f t="shared" si="190"/>
        <v>Baja</v>
      </c>
      <c r="AH84" s="186">
        <f t="shared" si="191"/>
        <v>0.36</v>
      </c>
      <c r="AI84" s="188" t="str">
        <f t="shared" ca="1" si="192"/>
        <v>Moderado</v>
      </c>
      <c r="AJ84" s="186">
        <f t="shared" ref="AJ84" ca="1" si="212">IFERROR(IF(AND(Y83="Impacto",Y84="Impacto"),(AJ83-(+AJ83*AB84)),IF(Y84="Impacto",(U83-(+U83*AB84)),IF(Y84="Probabilidad",AJ83,""))),"")</f>
        <v>0.6</v>
      </c>
      <c r="AK84" s="189" t="str">
        <f t="shared" ca="1" si="194"/>
        <v>Moderado</v>
      </c>
      <c r="AL84" s="185" t="s">
        <v>255</v>
      </c>
      <c r="AM84" s="227"/>
      <c r="AN84" s="230"/>
      <c r="AO84" s="228"/>
      <c r="AP84" s="228"/>
      <c r="AQ84" s="227"/>
      <c r="AR84" s="229"/>
    </row>
    <row r="85" spans="1:44" s="191" customFormat="1" ht="408.75" customHeight="1" thickTop="1" thickBot="1" x14ac:dyDescent="0.3">
      <c r="A85" s="226">
        <v>30</v>
      </c>
      <c r="B85" s="242" t="s">
        <v>602</v>
      </c>
      <c r="C85" s="227" t="s">
        <v>271</v>
      </c>
      <c r="D85" s="244" t="s">
        <v>603</v>
      </c>
      <c r="E85" s="227" t="s">
        <v>240</v>
      </c>
      <c r="F85" s="234" t="s">
        <v>604</v>
      </c>
      <c r="G85" s="235" t="s">
        <v>605</v>
      </c>
      <c r="H85" s="251" t="s">
        <v>1181</v>
      </c>
      <c r="I85" s="231" t="s">
        <v>474</v>
      </c>
      <c r="J85" s="231" t="s">
        <v>474</v>
      </c>
      <c r="K85" s="231" t="s">
        <v>474</v>
      </c>
      <c r="L85" s="231" t="s">
        <v>474</v>
      </c>
      <c r="M85" s="227" t="s">
        <v>239</v>
      </c>
      <c r="N85" s="227"/>
      <c r="O85" s="230">
        <v>5001</v>
      </c>
      <c r="P85" s="232" t="str">
        <f t="shared" si="184"/>
        <v>Muy Alta</v>
      </c>
      <c r="Q85" s="225">
        <f t="shared" si="185"/>
        <v>1</v>
      </c>
      <c r="R85" s="225" t="s">
        <v>190</v>
      </c>
      <c r="S85" s="225"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3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25">
        <f t="shared" ref="U85" ca="1" si="213">IF(T85="","",IF(T85="Leve",0.2,IF(T85="Menor",0.4,IF(T85="Moderado",0.6,IF(T85="Mayor",0.8,IF(T85="Catastrófico",1,))))))</f>
        <v>0.6</v>
      </c>
      <c r="V85" s="233" t="str">
        <f t="shared" ref="V85" ca="1" si="214">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Alto</v>
      </c>
      <c r="W85" s="233">
        <v>1</v>
      </c>
      <c r="X85" s="207" t="s">
        <v>1024</v>
      </c>
      <c r="Y85" s="230" t="str">
        <f t="shared" si="188"/>
        <v>Probabilidad</v>
      </c>
      <c r="Z85" s="185" t="s">
        <v>208</v>
      </c>
      <c r="AA85" s="185" t="s">
        <v>216</v>
      </c>
      <c r="AB85" s="186" t="str">
        <f t="shared" si="168"/>
        <v>40%</v>
      </c>
      <c r="AC85" s="185" t="s">
        <v>219</v>
      </c>
      <c r="AD85" s="185" t="s">
        <v>224</v>
      </c>
      <c r="AE85" s="185" t="s">
        <v>228</v>
      </c>
      <c r="AF85" s="187">
        <f t="shared" ref="AF85" si="215">IFERROR(IF(Y85="Probabilidad",(Q85-(+Q85*AB85)),IF(Y85="Impacto",Q85,"")),"")</f>
        <v>0.6</v>
      </c>
      <c r="AG85" s="188" t="str">
        <f t="shared" si="190"/>
        <v>Media</v>
      </c>
      <c r="AH85" s="186">
        <f t="shared" si="191"/>
        <v>0.6</v>
      </c>
      <c r="AI85" s="188" t="str">
        <f t="shared" ca="1" si="192"/>
        <v>Moderado</v>
      </c>
      <c r="AJ85" s="186">
        <f t="shared" ref="AJ85" ca="1" si="216">IFERROR(IF(Y85="Impacto",(U85-(+U85*AB85)),IF(Y85="Probabilidad",U85,"")),"")</f>
        <v>0.6</v>
      </c>
      <c r="AK85" s="189" t="str">
        <f t="shared" ca="1" si="194"/>
        <v>Moderado</v>
      </c>
      <c r="AL85" s="185" t="s">
        <v>255</v>
      </c>
      <c r="AM85" s="227"/>
      <c r="AN85" s="230"/>
      <c r="AO85" s="228"/>
      <c r="AP85" s="228"/>
      <c r="AQ85" s="227"/>
      <c r="AR85" s="229"/>
    </row>
    <row r="86" spans="1:44" s="191" customFormat="1" ht="270" customHeight="1" thickTop="1" thickBot="1" x14ac:dyDescent="0.3">
      <c r="A86" s="226">
        <v>31</v>
      </c>
      <c r="B86" s="242" t="s">
        <v>606</v>
      </c>
      <c r="C86" s="227" t="s">
        <v>271</v>
      </c>
      <c r="D86" s="244" t="s">
        <v>607</v>
      </c>
      <c r="E86" s="227" t="s">
        <v>238</v>
      </c>
      <c r="F86" s="234" t="s">
        <v>608</v>
      </c>
      <c r="G86" s="234" t="s">
        <v>609</v>
      </c>
      <c r="H86" s="251" t="s">
        <v>1128</v>
      </c>
      <c r="I86" s="231" t="s">
        <v>474</v>
      </c>
      <c r="J86" s="231" t="s">
        <v>474</v>
      </c>
      <c r="K86" s="231" t="s">
        <v>474</v>
      </c>
      <c r="L86" s="231" t="s">
        <v>474</v>
      </c>
      <c r="M86" s="227" t="s">
        <v>239</v>
      </c>
      <c r="N86" s="227"/>
      <c r="O86" s="230">
        <v>5001</v>
      </c>
      <c r="P86" s="232" t="str">
        <f t="shared" ref="P86:P96" si="217">IF(O86&lt;=0,"",IF(O86&lt;=2,"Muy Baja",IF(O86&lt;=24,"Baja",IF(O86&lt;=500,"Media",IF(O86&lt;=5000,"Alta","Muy Alta")))))</f>
        <v>Muy Alta</v>
      </c>
      <c r="Q86" s="225">
        <f t="shared" ref="Q86:Q96" si="218">IF(P86="","",IF(P86="Muy Baja",0.2,IF(P86="Baja",0.4,IF(P86="Media",0.6,IF(P86="Alta",0.8,IF(P86="Muy Alta",1,))))))</f>
        <v>1</v>
      </c>
      <c r="R86" s="225" t="s">
        <v>190</v>
      </c>
      <c r="S86" s="225" t="str">
        <f ca="1">IF(NOT(ISERROR(MATCH(R86,'Tabla Impacto'!$B$221:$B$223,0))),'Tabla Impacto'!$F$223&amp;"Por favor no seleccionar los criterios de impacto(Afectación Económica o presupuestal y Pérdida Reputacional)",R86)</f>
        <v>El riesgo afecta la imagen de la entidad con algunos usuarios de relevancia frente al logro de los objetivos</v>
      </c>
      <c r="T86" s="232" t="str">
        <f ca="1">+IF(OR(S86='[1]Tabla Impacto'!$C$11,S86='[1]Tabla Impacto'!$D$11),"Leve",IF(OR(S86='[1]Tabla Impacto'!$C$12,S86='[1]Tabla Impacto'!$D$12),"Menor",IF(OR(S86='[1]Tabla Impacto'!$C$13,S86='[1]Tabla Impacto'!$D$13),"Moderado",IF(OR(S86='[1]Tabla Impacto'!$C$14,S86='[1]Tabla Impacto'!$D$14),"Mayor",IF(OR(S86='[1]Tabla Impacto'!$C$15,S86='[1]Tabla Impacto'!$D$15),"Catastrófico","")))))</f>
        <v>Moderado</v>
      </c>
      <c r="U86" s="225">
        <f t="shared" ref="U86" ca="1" si="219">IF(T86="","",IF(T86="Leve",0.2,IF(T86="Menor",0.4,IF(T86="Moderado",0.6,IF(T86="Mayor",0.8,IF(T86="Catastrófico",1,))))))</f>
        <v>0.6</v>
      </c>
      <c r="V86" s="233" t="str">
        <f t="shared" ref="V86" ca="1" si="220">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Alto</v>
      </c>
      <c r="W86" s="233">
        <v>1</v>
      </c>
      <c r="X86" s="207" t="s">
        <v>1025</v>
      </c>
      <c r="Y86" s="230" t="str">
        <f t="shared" ref="Y86:Y97" si="221">IF(OR(Z86="Preventivo",Z86="Detectivo"),"Probabilidad",IF(Z86="Correctivo","Impacto",""))</f>
        <v>Probabilidad</v>
      </c>
      <c r="Z86" s="185" t="s">
        <v>208</v>
      </c>
      <c r="AA86" s="185" t="s">
        <v>216</v>
      </c>
      <c r="AB86" s="186" t="str">
        <f t="shared" si="168"/>
        <v>40%</v>
      </c>
      <c r="AC86" s="185" t="s">
        <v>219</v>
      </c>
      <c r="AD86" s="185" t="s">
        <v>224</v>
      </c>
      <c r="AE86" s="185" t="s">
        <v>228</v>
      </c>
      <c r="AF86" s="187">
        <f t="shared" ref="AF86" si="222">IFERROR(IF(Y86="Probabilidad",(Q86-(+Q86*AB86)),IF(Y86="Impacto",Q86,"")),"")</f>
        <v>0.6</v>
      </c>
      <c r="AG86" s="188" t="str">
        <f t="shared" ref="AG86:AG97" si="223">IFERROR(IF(AF86="","",IF(AF86&lt;=0.2,"Muy Baja",IF(AF86&lt;=0.4,"Baja",IF(AF86&lt;=0.6,"Media",IF(AF86&lt;=0.8,"Alta","Muy Alta"))))),"")</f>
        <v>Media</v>
      </c>
      <c r="AH86" s="186">
        <f t="shared" ref="AH86:AH97" si="224">+AF86</f>
        <v>0.6</v>
      </c>
      <c r="AI86" s="188" t="str">
        <f t="shared" ref="AI86:AI97" ca="1" si="225">IFERROR(IF(AJ86="","",IF(AJ86&lt;=0.2,"Leve",IF(AJ86&lt;=0.4,"Menor",IF(AJ86&lt;=0.6,"Moderado",IF(AJ86&lt;=0.8,"Mayor","Catastrófico"))))),"")</f>
        <v>Moderado</v>
      </c>
      <c r="AJ86" s="186">
        <f t="shared" ref="AJ86" ca="1" si="226">IFERROR(IF(Y86="Impacto",(U86-(+U86*AB86)),IF(Y86="Probabilidad",U86,"")),"")</f>
        <v>0.6</v>
      </c>
      <c r="AK86" s="189" t="str">
        <f t="shared" ref="AK86:AK97" ca="1" si="227">IFERROR(IF(OR(AND(AG86="Muy Baja",AI86="Leve"),AND(AG86="Muy Baja",AI86="Menor"),AND(AG86="Baja",AI86="Leve")),"Bajo",IF(OR(AND(AG86="Muy baja",AI86="Moderado"),AND(AG86="Baja",AI86="Menor"),AND(AG86="Baja",AI86="Moderado"),AND(AG86="Media",AI86="Leve"),AND(AG86="Media",AI86="Menor"),AND(AG86="Media",AI86="Moderado"),AND(AG86="Alta",AI86="Leve"),AND(AG86="Alta",AI86="Menor")),"Moderado",IF(OR(AND(AG86="Muy Baja",AI86="Mayor"),AND(AG86="Baja",AI86="Mayor"),AND(AG86="Media",AI86="Mayor"),AND(AG86="Alta",AI86="Moderado"),AND(AG86="Alta",AI86="Mayor"),AND(AG86="Muy Alta",AI86="Leve"),AND(AG86="Muy Alta",AI86="Menor"),AND(AG86="Muy Alta",AI86="Moderado"),AND(AG86="Muy Alta",AI86="Mayor")),"Alto",IF(OR(AND(AG86="Muy Baja",AI86="Catastrófico"),AND(AG86="Baja",AI86="Catastrófico"),AND(AG86="Media",AI86="Catastrófico"),AND(AG86="Alta",AI86="Catastrófico"),AND(AG86="Muy Alta",AI86="Catastrófico")),"Extremo","")))),"")</f>
        <v>Moderado</v>
      </c>
      <c r="AL86" s="185" t="s">
        <v>255</v>
      </c>
      <c r="AM86" s="227"/>
      <c r="AN86" s="230"/>
      <c r="AO86" s="228"/>
      <c r="AP86" s="228"/>
      <c r="AQ86" s="227"/>
      <c r="AR86" s="229"/>
    </row>
    <row r="87" spans="1:44" s="191" customFormat="1" ht="385.5" customHeight="1" thickTop="1" thickBot="1" x14ac:dyDescent="0.3">
      <c r="A87" s="273">
        <v>32</v>
      </c>
      <c r="B87" s="280" t="s">
        <v>610</v>
      </c>
      <c r="C87" s="275" t="s">
        <v>271</v>
      </c>
      <c r="D87" s="275" t="s">
        <v>607</v>
      </c>
      <c r="E87" s="275" t="s">
        <v>240</v>
      </c>
      <c r="F87" s="283" t="s">
        <v>611</v>
      </c>
      <c r="G87" s="283" t="s">
        <v>612</v>
      </c>
      <c r="H87" s="281" t="s">
        <v>1182</v>
      </c>
      <c r="I87" s="276" t="s">
        <v>593</v>
      </c>
      <c r="J87" s="276" t="s">
        <v>593</v>
      </c>
      <c r="K87" s="276" t="s">
        <v>593</v>
      </c>
      <c r="L87" s="276" t="s">
        <v>593</v>
      </c>
      <c r="M87" s="282" t="s">
        <v>244</v>
      </c>
      <c r="N87" s="275"/>
      <c r="O87" s="277">
        <v>5001</v>
      </c>
      <c r="P87" s="278" t="str">
        <f t="shared" si="217"/>
        <v>Muy Alta</v>
      </c>
      <c r="Q87" s="279">
        <f t="shared" si="218"/>
        <v>1</v>
      </c>
      <c r="R87" s="279" t="s">
        <v>190</v>
      </c>
      <c r="S87" s="279" t="str">
        <f ca="1">IF(NOT(ISERROR(MATCH(R87,'Tabla Impacto'!$B$221:$B$223,0))),'Tabla Impacto'!$F$223&amp;"Por favor no seleccionar los criterios de impacto(Afectación Económica o presupuestal y Pérdida Reputacional)",R87)</f>
        <v>El riesgo afecta la imagen de la entidad con algunos usuarios de relevancia frente al logro de los objetivos</v>
      </c>
      <c r="T87" s="278" t="str">
        <f ca="1">+IF(OR(S87='[1]Tabla Impacto'!$C$11,S87='[1]Tabla Impacto'!$D$11),"Leve",IF(OR(S87='[1]Tabla Impacto'!$C$12,S87='[1]Tabla Impacto'!$D$12),"Menor",IF(OR(S87='[1]Tabla Impacto'!$C$13,S87='[1]Tabla Impacto'!$D$13),"Moderado",IF(OR(S87='[1]Tabla Impacto'!$C$14,S87='[1]Tabla Impacto'!$D$14),"Mayor",IF(OR(S87='[1]Tabla Impacto'!$C$15,S87='[1]Tabla Impacto'!$D$15),"Catastrófico","")))))</f>
        <v>Moderado</v>
      </c>
      <c r="U87" s="279">
        <f t="shared" ref="U87" ca="1" si="228">IF(T87="","",IF(T87="Leve",0.2,IF(T87="Menor",0.4,IF(T87="Moderado",0.6,IF(T87="Mayor",0.8,IF(T87="Catastrófico",1,))))))</f>
        <v>0.6</v>
      </c>
      <c r="V87" s="272" t="str">
        <f t="shared" ref="V87" ca="1" si="229">IF(OR(AND(P87="Muy Baja",T87="Leve"),AND(P87="Muy Baja",T87="Menor"),AND(P87="Baja",T87="Leve")),"Bajo",IF(OR(AND(P87="Muy baja",T87="Moderado"),AND(P87="Baja",T87="Menor"),AND(P87="Baja",T87="Moderado"),AND(P87="Media",T87="Leve"),AND(P87="Media",T87="Menor"),AND(P87="Media",T87="Moderado"),AND(P87="Alta",T87="Leve"),AND(P87="Alta",T87="Menor")),"Moderado",IF(OR(AND(P87="Muy Baja",T87="Mayor"),AND(P87="Baja",T87="Mayor"),AND(P87="Media",T87="Mayor"),AND(P87="Alta",T87="Moderado"),AND(P87="Alta",T87="Mayor"),AND(P87="Muy Alta",T87="Leve"),AND(P87="Muy Alta",T87="Menor"),AND(P87="Muy Alta",T87="Moderado"),AND(P87="Muy Alta",T87="Mayor")),"Alto",IF(OR(AND(P87="Muy Baja",T87="Catastrófico"),AND(P87="Baja",T87="Catastrófico"),AND(P87="Media",T87="Catastrófico"),AND(P87="Alta",T87="Catastrófico"),AND(P87="Muy Alta",T87="Catastrófico")),"Extremo",""))))</f>
        <v>Alto</v>
      </c>
      <c r="W87" s="233">
        <v>1</v>
      </c>
      <c r="X87" s="207" t="s">
        <v>1026</v>
      </c>
      <c r="Y87" s="230" t="str">
        <f t="shared" si="221"/>
        <v>Probabilidad</v>
      </c>
      <c r="Z87" s="185" t="s">
        <v>208</v>
      </c>
      <c r="AA87" s="185" t="s">
        <v>216</v>
      </c>
      <c r="AB87" s="186" t="str">
        <f t="shared" si="168"/>
        <v>40%</v>
      </c>
      <c r="AC87" s="185" t="s">
        <v>219</v>
      </c>
      <c r="AD87" s="185" t="s">
        <v>224</v>
      </c>
      <c r="AE87" s="185" t="s">
        <v>228</v>
      </c>
      <c r="AF87" s="187">
        <f t="shared" ref="AF87" si="230">IFERROR(IF(Y87="Probabilidad",(Q87-(+Q87*AB87)),IF(Y87="Impacto",Q87,"")),"")</f>
        <v>0.6</v>
      </c>
      <c r="AG87" s="188" t="str">
        <f t="shared" si="223"/>
        <v>Media</v>
      </c>
      <c r="AH87" s="186">
        <f t="shared" si="224"/>
        <v>0.6</v>
      </c>
      <c r="AI87" s="188" t="str">
        <f t="shared" ca="1" si="225"/>
        <v>Moderado</v>
      </c>
      <c r="AJ87" s="186">
        <f t="shared" ref="AJ87" ca="1" si="231">IFERROR(IF(Y87="Impacto",(U87-(+U87*AB87)),IF(Y87="Probabilidad",U87,"")),"")</f>
        <v>0.6</v>
      </c>
      <c r="AK87" s="189" t="str">
        <f t="shared" ca="1" si="227"/>
        <v>Moderado</v>
      </c>
      <c r="AL87" s="185" t="s">
        <v>262</v>
      </c>
      <c r="AM87" s="227"/>
      <c r="AN87" s="230"/>
      <c r="AO87" s="228"/>
      <c r="AP87" s="228"/>
      <c r="AQ87" s="227"/>
      <c r="AR87" s="229"/>
    </row>
    <row r="88" spans="1:44" s="191" customFormat="1" ht="235.5" customHeight="1" thickTop="1" thickBot="1" x14ac:dyDescent="0.3">
      <c r="A88" s="226">
        <v>33</v>
      </c>
      <c r="B88" s="242" t="s">
        <v>613</v>
      </c>
      <c r="C88" s="227" t="s">
        <v>271</v>
      </c>
      <c r="D88" s="244" t="s">
        <v>607</v>
      </c>
      <c r="E88" s="227" t="s">
        <v>240</v>
      </c>
      <c r="F88" s="234" t="s">
        <v>563</v>
      </c>
      <c r="G88" s="234" t="s">
        <v>614</v>
      </c>
      <c r="H88" s="251" t="s">
        <v>1129</v>
      </c>
      <c r="I88" s="231" t="s">
        <v>474</v>
      </c>
      <c r="J88" s="231" t="s">
        <v>474</v>
      </c>
      <c r="K88" s="231" t="s">
        <v>474</v>
      </c>
      <c r="L88" s="231" t="s">
        <v>474</v>
      </c>
      <c r="M88" s="227" t="s">
        <v>241</v>
      </c>
      <c r="N88" s="227"/>
      <c r="O88" s="230">
        <v>5001</v>
      </c>
      <c r="P88" s="232" t="str">
        <f t="shared" si="217"/>
        <v>Muy Alta</v>
      </c>
      <c r="Q88" s="225">
        <f t="shared" si="218"/>
        <v>1</v>
      </c>
      <c r="R88" s="225" t="s">
        <v>190</v>
      </c>
      <c r="S88" s="225" t="str">
        <f ca="1">IF(NOT(ISERROR(MATCH(R88,'Tabla Impacto'!$B$221:$B$223,0))),'Tabla Impacto'!$F$223&amp;"Por favor no seleccionar los criterios de impacto(Afectación Económica o presupuestal y Pérdida Reputacional)",R88)</f>
        <v>El riesgo afecta la imagen de la entidad con algunos usuarios de relevancia frente al logro de los objetivos</v>
      </c>
      <c r="T88" s="232" t="str">
        <f ca="1">+IF(OR(S88='[1]Tabla Impacto'!$C$11,S88='[1]Tabla Impacto'!$D$11),"Leve",IF(OR(S88='[1]Tabla Impacto'!$C$12,S88='[1]Tabla Impacto'!$D$12),"Menor",IF(OR(S88='[1]Tabla Impacto'!$C$13,S88='[1]Tabla Impacto'!$D$13),"Moderado",IF(OR(S88='[1]Tabla Impacto'!$C$14,S88='[1]Tabla Impacto'!$D$14),"Mayor",IF(OR(S88='[1]Tabla Impacto'!$C$15,S88='[1]Tabla Impacto'!$D$15),"Catastrófico","")))))</f>
        <v>Moderado</v>
      </c>
      <c r="U88" s="225">
        <f t="shared" ref="U88" ca="1" si="232">IF(T88="","",IF(T88="Leve",0.2,IF(T88="Menor",0.4,IF(T88="Moderado",0.6,IF(T88="Mayor",0.8,IF(T88="Catastrófico",1,))))))</f>
        <v>0.6</v>
      </c>
      <c r="V88" s="233" t="str">
        <f t="shared" ref="V88" ca="1" si="233">IF(OR(AND(P88="Muy Baja",T88="Leve"),AND(P88="Muy Baja",T88="Menor"),AND(P88="Baja",T88="Leve")),"Bajo",IF(OR(AND(P88="Muy baja",T88="Moderado"),AND(P88="Baja",T88="Menor"),AND(P88="Baja",T88="Moderado"),AND(P88="Media",T88="Leve"),AND(P88="Media",T88="Menor"),AND(P88="Media",T88="Moderado"),AND(P88="Alta",T88="Leve"),AND(P88="Alta",T88="Menor")),"Moderado",IF(OR(AND(P88="Muy Baja",T88="Mayor"),AND(P88="Baja",T88="Mayor"),AND(P88="Media",T88="Mayor"),AND(P88="Alta",T88="Moderado"),AND(P88="Alta",T88="Mayor"),AND(P88="Muy Alta",T88="Leve"),AND(P88="Muy Alta",T88="Menor"),AND(P88="Muy Alta",T88="Moderado"),AND(P88="Muy Alta",T88="Mayor")),"Alto",IF(OR(AND(P88="Muy Baja",T88="Catastrófico"),AND(P88="Baja",T88="Catastrófico"),AND(P88="Media",T88="Catastrófico"),AND(P88="Alta",T88="Catastrófico"),AND(P88="Muy Alta",T88="Catastrófico")),"Extremo",""))))</f>
        <v>Alto</v>
      </c>
      <c r="W88" s="233">
        <v>1</v>
      </c>
      <c r="X88" s="207" t="s">
        <v>1028</v>
      </c>
      <c r="Y88" s="230" t="str">
        <f t="shared" si="221"/>
        <v>Probabilidad</v>
      </c>
      <c r="Z88" s="185" t="s">
        <v>208</v>
      </c>
      <c r="AA88" s="185" t="s">
        <v>216</v>
      </c>
      <c r="AB88" s="186" t="str">
        <f t="shared" si="168"/>
        <v>40%</v>
      </c>
      <c r="AC88" s="185" t="s">
        <v>219</v>
      </c>
      <c r="AD88" s="185" t="s">
        <v>224</v>
      </c>
      <c r="AE88" s="185" t="s">
        <v>228</v>
      </c>
      <c r="AF88" s="187">
        <f t="shared" ref="AF88" si="234">IFERROR(IF(Y88="Probabilidad",(Q88-(+Q88*AB88)),IF(Y88="Impacto",Q88,"")),"")</f>
        <v>0.6</v>
      </c>
      <c r="AG88" s="188" t="str">
        <f t="shared" si="223"/>
        <v>Media</v>
      </c>
      <c r="AH88" s="186">
        <f t="shared" si="224"/>
        <v>0.6</v>
      </c>
      <c r="AI88" s="188" t="str">
        <f t="shared" ca="1" si="225"/>
        <v>Moderado</v>
      </c>
      <c r="AJ88" s="186">
        <f t="shared" ref="AJ88" ca="1" si="235">IFERROR(IF(Y88="Impacto",(U88-(+U88*AB88)),IF(Y88="Probabilidad",U88,"")),"")</f>
        <v>0.6</v>
      </c>
      <c r="AK88" s="189" t="str">
        <f t="shared" ca="1" si="227"/>
        <v>Moderado</v>
      </c>
      <c r="AL88" s="185" t="s">
        <v>255</v>
      </c>
      <c r="AM88" s="227"/>
      <c r="AN88" s="230"/>
      <c r="AO88" s="228"/>
      <c r="AP88" s="228"/>
      <c r="AQ88" s="227"/>
      <c r="AR88" s="229"/>
    </row>
    <row r="89" spans="1:44" s="191" customFormat="1" ht="293.25" customHeight="1" thickTop="1" thickBot="1" x14ac:dyDescent="0.3">
      <c r="A89" s="226">
        <v>34</v>
      </c>
      <c r="B89" s="242" t="s">
        <v>615</v>
      </c>
      <c r="C89" s="227" t="s">
        <v>272</v>
      </c>
      <c r="D89" s="243" t="s">
        <v>972</v>
      </c>
      <c r="E89" s="227" t="s">
        <v>238</v>
      </c>
      <c r="F89" s="234" t="s">
        <v>616</v>
      </c>
      <c r="G89" s="234" t="s">
        <v>617</v>
      </c>
      <c r="H89" s="251" t="s">
        <v>1130</v>
      </c>
      <c r="I89" s="231" t="s">
        <v>474</v>
      </c>
      <c r="J89" s="231" t="s">
        <v>474</v>
      </c>
      <c r="K89" s="231" t="s">
        <v>474</v>
      </c>
      <c r="L89" s="231" t="s">
        <v>474</v>
      </c>
      <c r="M89" s="227" t="s">
        <v>239</v>
      </c>
      <c r="N89" s="227"/>
      <c r="O89" s="230">
        <v>365</v>
      </c>
      <c r="P89" s="232" t="str">
        <f t="shared" si="217"/>
        <v>Media</v>
      </c>
      <c r="Q89" s="225">
        <f t="shared" si="218"/>
        <v>0.6</v>
      </c>
      <c r="R89" s="225" t="s">
        <v>187</v>
      </c>
      <c r="S89" s="225" t="str">
        <f ca="1">IF(NOT(ISERROR(MATCH(R89,'Tabla Impacto'!$B$221:$B$223,0))),'Tabla Impacto'!$F$223&amp;"Por favor no seleccionar los criterios de impacto(Afectación Económica o presupuestal y Pérdida Reputacional)",R89)</f>
        <v>El riesgo afecta la imagen de la entidad internamente, de conocimiento general, nivel interno, de junta dircetiva y accionistas y/o de provedores</v>
      </c>
      <c r="T89" s="232" t="str">
        <f ca="1">+IF(OR(S89='[1]Tabla Impacto'!$C$11,S89='[1]Tabla Impacto'!$D$11),"Leve",IF(OR(S89='[1]Tabla Impacto'!$C$12,S89='[1]Tabla Impacto'!$D$12),"Menor",IF(OR(S89='[1]Tabla Impacto'!$C$13,S89='[1]Tabla Impacto'!$D$13),"Moderado",IF(OR(S89='[1]Tabla Impacto'!$C$14,S89='[1]Tabla Impacto'!$D$14),"Mayor",IF(OR(S89='[1]Tabla Impacto'!$C$15,S89='[1]Tabla Impacto'!$D$15),"Catastrófico","")))))</f>
        <v>Menor</v>
      </c>
      <c r="U89" s="225">
        <f t="shared" ref="U89" ca="1" si="236">IF(T89="","",IF(T89="Leve",0.2,IF(T89="Menor",0.4,IF(T89="Moderado",0.6,IF(T89="Mayor",0.8,IF(T89="Catastrófico",1,))))))</f>
        <v>0.4</v>
      </c>
      <c r="V89" s="233" t="str">
        <f t="shared" ref="V89" ca="1" si="237">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Moderado</v>
      </c>
      <c r="W89" s="233">
        <v>1</v>
      </c>
      <c r="X89" s="207" t="s">
        <v>618</v>
      </c>
      <c r="Y89" s="230" t="str">
        <f t="shared" si="221"/>
        <v>Probabilidad</v>
      </c>
      <c r="Z89" s="185" t="s">
        <v>208</v>
      </c>
      <c r="AA89" s="185" t="s">
        <v>216</v>
      </c>
      <c r="AB89" s="186" t="str">
        <f t="shared" si="168"/>
        <v>40%</v>
      </c>
      <c r="AC89" s="185" t="s">
        <v>219</v>
      </c>
      <c r="AD89" s="185" t="s">
        <v>224</v>
      </c>
      <c r="AE89" s="185" t="s">
        <v>228</v>
      </c>
      <c r="AF89" s="187">
        <f t="shared" ref="AF89" si="238">IFERROR(IF(Y89="Probabilidad",(Q89-(+Q89*AB89)),IF(Y89="Impacto",Q89,"")),"")</f>
        <v>0.36</v>
      </c>
      <c r="AG89" s="188" t="str">
        <f t="shared" si="223"/>
        <v>Baja</v>
      </c>
      <c r="AH89" s="186">
        <f t="shared" si="224"/>
        <v>0.36</v>
      </c>
      <c r="AI89" s="188" t="str">
        <f t="shared" ca="1" si="225"/>
        <v>Menor</v>
      </c>
      <c r="AJ89" s="186">
        <f t="shared" ref="AJ89" ca="1" si="239">IFERROR(IF(Y89="Impacto",(U89-(+U89*AB89)),IF(Y89="Probabilidad",U89,"")),"")</f>
        <v>0.4</v>
      </c>
      <c r="AK89" s="189" t="str">
        <f t="shared" ca="1" si="227"/>
        <v>Moderado</v>
      </c>
      <c r="AL89" s="185" t="s">
        <v>255</v>
      </c>
      <c r="AM89" s="227"/>
      <c r="AN89" s="230"/>
      <c r="AO89" s="228"/>
      <c r="AP89" s="228"/>
      <c r="AQ89" s="227"/>
      <c r="AR89" s="229"/>
    </row>
    <row r="90" spans="1:44" s="191" customFormat="1" ht="226.5" customHeight="1" thickTop="1" thickBot="1" x14ac:dyDescent="0.3">
      <c r="A90" s="226">
        <v>35</v>
      </c>
      <c r="B90" s="242" t="s">
        <v>619</v>
      </c>
      <c r="C90" s="227" t="s">
        <v>272</v>
      </c>
      <c r="D90" s="243" t="s">
        <v>620</v>
      </c>
      <c r="E90" s="227" t="s">
        <v>238</v>
      </c>
      <c r="F90" s="234" t="s">
        <v>621</v>
      </c>
      <c r="G90" s="234" t="s">
        <v>622</v>
      </c>
      <c r="H90" s="251" t="s">
        <v>1131</v>
      </c>
      <c r="I90" s="231" t="s">
        <v>474</v>
      </c>
      <c r="J90" s="231" t="s">
        <v>474</v>
      </c>
      <c r="K90" s="231" t="s">
        <v>474</v>
      </c>
      <c r="L90" s="231" t="s">
        <v>474</v>
      </c>
      <c r="M90" s="227" t="s">
        <v>239</v>
      </c>
      <c r="N90" s="227"/>
      <c r="O90" s="230">
        <v>365</v>
      </c>
      <c r="P90" s="232" t="str">
        <f t="shared" si="217"/>
        <v>Media</v>
      </c>
      <c r="Q90" s="225">
        <f t="shared" si="218"/>
        <v>0.6</v>
      </c>
      <c r="R90" s="225" t="s">
        <v>187</v>
      </c>
      <c r="S90" s="225" t="str">
        <f ca="1">IF(NOT(ISERROR(MATCH(R90,'Tabla Impacto'!$B$221:$B$223,0))),'Tabla Impacto'!$F$223&amp;"Por favor no seleccionar los criterios de impacto(Afectación Económica o presupuestal y Pérdida Reputacional)",R90)</f>
        <v>El riesgo afecta la imagen de la entidad internamente, de conocimiento general, nivel interno, de junta dircetiva y accionistas y/o de provedores</v>
      </c>
      <c r="T90" s="232" t="str">
        <f ca="1">+IF(OR(S90='[1]Tabla Impacto'!$C$11,S90='[1]Tabla Impacto'!$D$11),"Leve",IF(OR(S90='[1]Tabla Impacto'!$C$12,S90='[1]Tabla Impacto'!$D$12),"Menor",IF(OR(S90='[1]Tabla Impacto'!$C$13,S90='[1]Tabla Impacto'!$D$13),"Moderado",IF(OR(S90='[1]Tabla Impacto'!$C$14,S90='[1]Tabla Impacto'!$D$14),"Mayor",IF(OR(S90='[1]Tabla Impacto'!$C$15,S90='[1]Tabla Impacto'!$D$15),"Catastrófico","")))))</f>
        <v>Menor</v>
      </c>
      <c r="U90" s="225">
        <f t="shared" ref="U90" ca="1" si="240">IF(T90="","",IF(T90="Leve",0.2,IF(T90="Menor",0.4,IF(T90="Moderado",0.6,IF(T90="Mayor",0.8,IF(T90="Catastrófico",1,))))))</f>
        <v>0.4</v>
      </c>
      <c r="V90" s="233" t="str">
        <f t="shared" ref="V90" ca="1" si="241">IF(OR(AND(P90="Muy Baja",T90="Leve"),AND(P90="Muy Baja",T90="Menor"),AND(P90="Baja",T90="Leve")),"Bajo",IF(OR(AND(P90="Muy baja",T90="Moderado"),AND(P90="Baja",T90="Menor"),AND(P90="Baja",T90="Moderado"),AND(P90="Media",T90="Leve"),AND(P90="Media",T90="Menor"),AND(P90="Media",T90="Moderado"),AND(P90="Alta",T90="Leve"),AND(P90="Alta",T90="Menor")),"Moderado",IF(OR(AND(P90="Muy Baja",T90="Mayor"),AND(P90="Baja",T90="Mayor"),AND(P90="Media",T90="Mayor"),AND(P90="Alta",T90="Moderado"),AND(P90="Alta",T90="Mayor"),AND(P90="Muy Alta",T90="Leve"),AND(P90="Muy Alta",T90="Menor"),AND(P90="Muy Alta",T90="Moderado"),AND(P90="Muy Alta",T90="Mayor")),"Alto",IF(OR(AND(P90="Muy Baja",T90="Catastrófico"),AND(P90="Baja",T90="Catastrófico"),AND(P90="Media",T90="Catastrófico"),AND(P90="Alta",T90="Catastrófico"),AND(P90="Muy Alta",T90="Catastrófico")),"Extremo",""))))</f>
        <v>Moderado</v>
      </c>
      <c r="W90" s="233">
        <v>1</v>
      </c>
      <c r="X90" s="207" t="s">
        <v>623</v>
      </c>
      <c r="Y90" s="230" t="str">
        <f t="shared" si="221"/>
        <v>Probabilidad</v>
      </c>
      <c r="Z90" s="185" t="s">
        <v>208</v>
      </c>
      <c r="AA90" s="185" t="s">
        <v>216</v>
      </c>
      <c r="AB90" s="186" t="str">
        <f t="shared" ref="AB90:AB110" si="242">IF(AND(Z90="Preventivo",AA90="Automático"),"50%",IF(AND(Z90="Preventivo",AA90="Manual"),"40%",IF(AND(Z90="Detectivo",AA90="Automático"),"40%",IF(AND(Z90="Detectivo",AA90="Manual"),"30%",IF(AND(Z90="Correctivo",AA90="Automático"),"35%",IF(AND(Z90="Correctivo",AA90="Manual"),"25%",""))))))</f>
        <v>40%</v>
      </c>
      <c r="AC90" s="185" t="s">
        <v>219</v>
      </c>
      <c r="AD90" s="185" t="s">
        <v>224</v>
      </c>
      <c r="AE90" s="185" t="s">
        <v>228</v>
      </c>
      <c r="AF90" s="187">
        <f t="shared" ref="AF90" si="243">IFERROR(IF(Y90="Probabilidad",(Q90-(+Q90*AB90)),IF(Y90="Impacto",Q90,"")),"")</f>
        <v>0.36</v>
      </c>
      <c r="AG90" s="188" t="str">
        <f t="shared" si="223"/>
        <v>Baja</v>
      </c>
      <c r="AH90" s="186">
        <f t="shared" si="224"/>
        <v>0.36</v>
      </c>
      <c r="AI90" s="188" t="str">
        <f t="shared" ca="1" si="225"/>
        <v>Menor</v>
      </c>
      <c r="AJ90" s="186">
        <f t="shared" ref="AJ90" ca="1" si="244">IFERROR(IF(Y90="Impacto",(U90-(+U90*AB90)),IF(Y90="Probabilidad",U90,"")),"")</f>
        <v>0.4</v>
      </c>
      <c r="AK90" s="189" t="str">
        <f t="shared" ca="1" si="227"/>
        <v>Moderado</v>
      </c>
      <c r="AL90" s="185" t="s">
        <v>255</v>
      </c>
      <c r="AM90" s="227"/>
      <c r="AN90" s="230"/>
      <c r="AO90" s="228"/>
      <c r="AP90" s="228"/>
      <c r="AQ90" s="227"/>
      <c r="AR90" s="229"/>
    </row>
    <row r="91" spans="1:44" s="191" customFormat="1" ht="156" customHeight="1" thickTop="1" thickBot="1" x14ac:dyDescent="0.3">
      <c r="A91" s="352">
        <v>36</v>
      </c>
      <c r="B91" s="369" t="s">
        <v>624</v>
      </c>
      <c r="C91" s="357" t="s">
        <v>272</v>
      </c>
      <c r="D91" s="359" t="s">
        <v>625</v>
      </c>
      <c r="E91" s="357" t="s">
        <v>240</v>
      </c>
      <c r="F91" s="375" t="s">
        <v>626</v>
      </c>
      <c r="G91" s="375" t="s">
        <v>627</v>
      </c>
      <c r="H91" s="374" t="s">
        <v>1132</v>
      </c>
      <c r="I91" s="362" t="s">
        <v>474</v>
      </c>
      <c r="J91" s="362" t="s">
        <v>474</v>
      </c>
      <c r="K91" s="362" t="s">
        <v>474</v>
      </c>
      <c r="L91" s="362" t="s">
        <v>474</v>
      </c>
      <c r="M91" s="357" t="s">
        <v>239</v>
      </c>
      <c r="N91" s="357"/>
      <c r="O91" s="363">
        <v>6000</v>
      </c>
      <c r="P91" s="364" t="str">
        <f t="shared" si="217"/>
        <v>Muy Alta</v>
      </c>
      <c r="Q91" s="365">
        <f t="shared" si="218"/>
        <v>1</v>
      </c>
      <c r="R91" s="365" t="s">
        <v>190</v>
      </c>
      <c r="S91" s="365"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364"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365">
        <f t="shared" ref="U91" ca="1" si="245">IF(T91="","",IF(T91="Leve",0.2,IF(T91="Menor",0.4,IF(T91="Moderado",0.6,IF(T91="Mayor",0.8,IF(T91="Catastrófico",1,))))))</f>
        <v>0.6</v>
      </c>
      <c r="V91" s="351" t="str">
        <f t="shared" ref="V91" ca="1" si="246">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33">
        <v>1</v>
      </c>
      <c r="X91" s="207" t="s">
        <v>628</v>
      </c>
      <c r="Y91" s="230" t="str">
        <f t="shared" si="221"/>
        <v>Probabilidad</v>
      </c>
      <c r="Z91" s="185" t="s">
        <v>208</v>
      </c>
      <c r="AA91" s="185" t="s">
        <v>216</v>
      </c>
      <c r="AB91" s="186" t="str">
        <f t="shared" si="242"/>
        <v>40%</v>
      </c>
      <c r="AC91" s="185" t="s">
        <v>219</v>
      </c>
      <c r="AD91" s="185" t="s">
        <v>224</v>
      </c>
      <c r="AE91" s="185" t="s">
        <v>228</v>
      </c>
      <c r="AF91" s="187">
        <f t="shared" ref="AF91" si="247">IFERROR(IF(Y91="Probabilidad",(Q91-(+Q91*AB91)),IF(Y91="Impacto",Q91,"")),"")</f>
        <v>0.6</v>
      </c>
      <c r="AG91" s="188" t="str">
        <f t="shared" si="223"/>
        <v>Media</v>
      </c>
      <c r="AH91" s="186">
        <f t="shared" si="224"/>
        <v>0.6</v>
      </c>
      <c r="AI91" s="188" t="str">
        <f t="shared" ca="1" si="225"/>
        <v>Moderado</v>
      </c>
      <c r="AJ91" s="186">
        <f t="shared" ref="AJ91" ca="1" si="248">IFERROR(IF(Y91="Impacto",(U91-(+U91*AB91)),IF(Y91="Probabilidad",U91,"")),"")</f>
        <v>0.6</v>
      </c>
      <c r="AK91" s="189" t="str">
        <f t="shared" ca="1" si="227"/>
        <v>Moderado</v>
      </c>
      <c r="AL91" s="185" t="s">
        <v>255</v>
      </c>
      <c r="AM91" s="227"/>
      <c r="AN91" s="230"/>
      <c r="AO91" s="228"/>
      <c r="AP91" s="228"/>
      <c r="AQ91" s="227"/>
      <c r="AR91" s="229"/>
    </row>
    <row r="92" spans="1:44" s="191" customFormat="1" ht="156" customHeight="1" thickTop="1" thickBot="1" x14ac:dyDescent="0.3">
      <c r="A92" s="352"/>
      <c r="B92" s="369"/>
      <c r="C92" s="357"/>
      <c r="D92" s="359"/>
      <c r="E92" s="357"/>
      <c r="F92" s="375"/>
      <c r="G92" s="375"/>
      <c r="H92" s="374"/>
      <c r="I92" s="362"/>
      <c r="J92" s="362"/>
      <c r="K92" s="362"/>
      <c r="L92" s="362"/>
      <c r="M92" s="357"/>
      <c r="N92" s="357"/>
      <c r="O92" s="363"/>
      <c r="P92" s="364"/>
      <c r="Q92" s="365"/>
      <c r="R92" s="365"/>
      <c r="S92" s="365">
        <f ca="1">IF(NOT(ISERROR(MATCH(R92,_xlfn.ANCHORARRAY(H95),0))),#REF!&amp;"Por favor no seleccionar los criterios de impacto",R92)</f>
        <v>0</v>
      </c>
      <c r="T92" s="364"/>
      <c r="U92" s="365"/>
      <c r="V92" s="351"/>
      <c r="W92" s="233">
        <v>2</v>
      </c>
      <c r="X92" s="207" t="s">
        <v>629</v>
      </c>
      <c r="Y92" s="230" t="str">
        <f t="shared" si="221"/>
        <v>Probabilidad</v>
      </c>
      <c r="Z92" s="185" t="s">
        <v>208</v>
      </c>
      <c r="AA92" s="185" t="s">
        <v>216</v>
      </c>
      <c r="AB92" s="186" t="str">
        <f t="shared" si="242"/>
        <v>40%</v>
      </c>
      <c r="AC92" s="185" t="s">
        <v>219</v>
      </c>
      <c r="AD92" s="185" t="s">
        <v>224</v>
      </c>
      <c r="AE92" s="185" t="s">
        <v>228</v>
      </c>
      <c r="AF92" s="187">
        <f t="shared" ref="AF92" si="249">IFERROR(IF(AND(Y91="Probabilidad",Y92="Probabilidad"),(AH91-(+AH91*AB92)),IF(Y92="Probabilidad",(Q91-(+Q91*AB92)),IF(Y92="Impacto",AH91,""))),"")</f>
        <v>0.36</v>
      </c>
      <c r="AG92" s="188" t="str">
        <f t="shared" si="223"/>
        <v>Baja</v>
      </c>
      <c r="AH92" s="186">
        <f t="shared" si="224"/>
        <v>0.36</v>
      </c>
      <c r="AI92" s="188" t="str">
        <f t="shared" ca="1" si="225"/>
        <v>Moderado</v>
      </c>
      <c r="AJ92" s="186">
        <f t="shared" ref="AJ92" ca="1" si="250">IFERROR(IF(AND(Y91="Impacto",Y92="Impacto"),(AJ91-(+AJ91*AB92)),IF(Y92="Impacto",(U91-(+U91*AB92)),IF(Y92="Probabilidad",AJ91,""))),"")</f>
        <v>0.6</v>
      </c>
      <c r="AK92" s="189" t="str">
        <f t="shared" ca="1" si="227"/>
        <v>Moderado</v>
      </c>
      <c r="AL92" s="185" t="s">
        <v>255</v>
      </c>
      <c r="AM92" s="227"/>
      <c r="AN92" s="230"/>
      <c r="AO92" s="228"/>
      <c r="AP92" s="228"/>
      <c r="AQ92" s="227"/>
      <c r="AR92" s="229"/>
    </row>
    <row r="93" spans="1:44" s="191" customFormat="1" ht="252.75" customHeight="1" thickTop="1" thickBot="1" x14ac:dyDescent="0.3">
      <c r="A93" s="352">
        <v>37</v>
      </c>
      <c r="B93" s="369" t="s">
        <v>630</v>
      </c>
      <c r="C93" s="357" t="s">
        <v>272</v>
      </c>
      <c r="D93" s="359" t="s">
        <v>631</v>
      </c>
      <c r="E93" s="357" t="s">
        <v>240</v>
      </c>
      <c r="F93" s="375" t="s">
        <v>632</v>
      </c>
      <c r="G93" s="375" t="s">
        <v>633</v>
      </c>
      <c r="H93" s="374" t="s">
        <v>1133</v>
      </c>
      <c r="I93" s="362" t="s">
        <v>474</v>
      </c>
      <c r="J93" s="362" t="s">
        <v>474</v>
      </c>
      <c r="K93" s="362" t="s">
        <v>474</v>
      </c>
      <c r="L93" s="362" t="s">
        <v>474</v>
      </c>
      <c r="M93" s="357" t="s">
        <v>239</v>
      </c>
      <c r="N93" s="357"/>
      <c r="O93" s="363">
        <v>5001</v>
      </c>
      <c r="P93" s="364" t="str">
        <f t="shared" si="217"/>
        <v>Muy Alta</v>
      </c>
      <c r="Q93" s="365">
        <f t="shared" si="218"/>
        <v>1</v>
      </c>
      <c r="R93" s="365" t="s">
        <v>190</v>
      </c>
      <c r="S93" s="365" t="str">
        <f ca="1">IF(NOT(ISERROR(MATCH(R93,'Tabla Impacto'!$B$221:$B$223,0))),'Tabla Impacto'!$F$223&amp;"Por favor no seleccionar los criterios de impacto(Afectación Económica o presupuestal y Pérdida Reputacional)",R93)</f>
        <v>El riesgo afecta la imagen de la entidad con algunos usuarios de relevancia frente al logro de los objetivos</v>
      </c>
      <c r="T93" s="364" t="str">
        <f ca="1">+IF(OR(S93='[1]Tabla Impacto'!$C$11,S93='[1]Tabla Impacto'!$D$11),"Leve",IF(OR(S93='[1]Tabla Impacto'!$C$12,S93='[1]Tabla Impacto'!$D$12),"Menor",IF(OR(S93='[1]Tabla Impacto'!$C$13,S93='[1]Tabla Impacto'!$D$13),"Moderado",IF(OR(S93='[1]Tabla Impacto'!$C$14,S93='[1]Tabla Impacto'!$D$14),"Mayor",IF(OR(S93='[1]Tabla Impacto'!$C$15,S93='[1]Tabla Impacto'!$D$15),"Catastrófico","")))))</f>
        <v>Moderado</v>
      </c>
      <c r="U93" s="365">
        <f t="shared" ref="U93" ca="1" si="251">IF(T93="","",IF(T93="Leve",0.2,IF(T93="Menor",0.4,IF(T93="Moderado",0.6,IF(T93="Mayor",0.8,IF(T93="Catastrófico",1,))))))</f>
        <v>0.6</v>
      </c>
      <c r="V93" s="351" t="str">
        <f t="shared" ref="V93" ca="1" si="252">IF(OR(AND(P93="Muy Baja",T93="Leve"),AND(P93="Muy Baja",T93="Menor"),AND(P93="Baja",T93="Leve")),"Bajo",IF(OR(AND(P93="Muy baja",T93="Moderado"),AND(P93="Baja",T93="Menor"),AND(P93="Baja",T93="Moderado"),AND(P93="Media",T93="Leve"),AND(P93="Media",T93="Menor"),AND(P93="Media",T93="Moderado"),AND(P93="Alta",T93="Leve"),AND(P93="Alta",T93="Menor")),"Moderado",IF(OR(AND(P93="Muy Baja",T93="Mayor"),AND(P93="Baja",T93="Mayor"),AND(P93="Media",T93="Mayor"),AND(P93="Alta",T93="Moderado"),AND(P93="Alta",T93="Mayor"),AND(P93="Muy Alta",T93="Leve"),AND(P93="Muy Alta",T93="Menor"),AND(P93="Muy Alta",T93="Moderado"),AND(P93="Muy Alta",T93="Mayor")),"Alto",IF(OR(AND(P93="Muy Baja",T93="Catastrófico"),AND(P93="Baja",T93="Catastrófico"),AND(P93="Media",T93="Catastrófico"),AND(P93="Alta",T93="Catastrófico"),AND(P93="Muy Alta",T93="Catastrófico")),"Extremo",""))))</f>
        <v>Alto</v>
      </c>
      <c r="W93" s="233">
        <v>1</v>
      </c>
      <c r="X93" s="207" t="s">
        <v>1029</v>
      </c>
      <c r="Y93" s="230" t="str">
        <f t="shared" si="221"/>
        <v>Probabilidad</v>
      </c>
      <c r="Z93" s="185" t="s">
        <v>208</v>
      </c>
      <c r="AA93" s="185" t="s">
        <v>216</v>
      </c>
      <c r="AB93" s="186" t="str">
        <f t="shared" si="242"/>
        <v>40%</v>
      </c>
      <c r="AC93" s="185" t="s">
        <v>219</v>
      </c>
      <c r="AD93" s="185" t="s">
        <v>224</v>
      </c>
      <c r="AE93" s="185" t="s">
        <v>228</v>
      </c>
      <c r="AF93" s="187">
        <f t="shared" ref="AF93" si="253">IFERROR(IF(Y93="Probabilidad",(Q93-(+Q93*AB93)),IF(Y93="Impacto",Q93,"")),"")</f>
        <v>0.6</v>
      </c>
      <c r="AG93" s="188" t="str">
        <f t="shared" si="223"/>
        <v>Media</v>
      </c>
      <c r="AH93" s="186">
        <f t="shared" si="224"/>
        <v>0.6</v>
      </c>
      <c r="AI93" s="188" t="str">
        <f t="shared" ca="1" si="225"/>
        <v>Moderado</v>
      </c>
      <c r="AJ93" s="186">
        <f t="shared" ref="AJ93" ca="1" si="254">IFERROR(IF(Y93="Impacto",(U93-(+U93*AB93)),IF(Y93="Probabilidad",U93,"")),"")</f>
        <v>0.6</v>
      </c>
      <c r="AK93" s="189" t="str">
        <f t="shared" ca="1" si="227"/>
        <v>Moderado</v>
      </c>
      <c r="AL93" s="185" t="s">
        <v>255</v>
      </c>
      <c r="AM93" s="227"/>
      <c r="AN93" s="230"/>
      <c r="AO93" s="228"/>
      <c r="AP93" s="228"/>
      <c r="AQ93" s="227"/>
      <c r="AR93" s="229"/>
    </row>
    <row r="94" spans="1:44" s="191" customFormat="1" ht="218.25" customHeight="1" thickTop="1" thickBot="1" x14ac:dyDescent="0.3">
      <c r="A94" s="352"/>
      <c r="B94" s="369"/>
      <c r="C94" s="357"/>
      <c r="D94" s="359"/>
      <c r="E94" s="357"/>
      <c r="F94" s="375"/>
      <c r="G94" s="375"/>
      <c r="H94" s="374"/>
      <c r="I94" s="362"/>
      <c r="J94" s="362"/>
      <c r="K94" s="362"/>
      <c r="L94" s="362"/>
      <c r="M94" s="357"/>
      <c r="N94" s="357"/>
      <c r="O94" s="363"/>
      <c r="P94" s="364"/>
      <c r="Q94" s="365"/>
      <c r="R94" s="365"/>
      <c r="S94" s="365">
        <f ca="1">IF(NOT(ISERROR(MATCH(R94,_xlfn.ANCHORARRAY(#REF!),0))),#REF!&amp;"Por favor no seleccionar los criterios de impacto",R94)</f>
        <v>0</v>
      </c>
      <c r="T94" s="364"/>
      <c r="U94" s="365"/>
      <c r="V94" s="351"/>
      <c r="W94" s="233">
        <v>2</v>
      </c>
      <c r="X94" s="207" t="s">
        <v>634</v>
      </c>
      <c r="Y94" s="230" t="str">
        <f t="shared" si="221"/>
        <v>Probabilidad</v>
      </c>
      <c r="Z94" s="185" t="s">
        <v>208</v>
      </c>
      <c r="AA94" s="185" t="s">
        <v>216</v>
      </c>
      <c r="AB94" s="186" t="str">
        <f t="shared" si="242"/>
        <v>40%</v>
      </c>
      <c r="AC94" s="185" t="s">
        <v>219</v>
      </c>
      <c r="AD94" s="185" t="s">
        <v>224</v>
      </c>
      <c r="AE94" s="185" t="s">
        <v>228</v>
      </c>
      <c r="AF94" s="187">
        <f t="shared" ref="AF94" si="255">IFERROR(IF(AND(Y93="Probabilidad",Y94="Probabilidad"),(AH93-(+AH93*AB94)),IF(Y94="Probabilidad",(Q93-(+Q93*AB94)),IF(Y94="Impacto",AH93,""))),"")</f>
        <v>0.36</v>
      </c>
      <c r="AG94" s="188" t="str">
        <f t="shared" si="223"/>
        <v>Baja</v>
      </c>
      <c r="AH94" s="186">
        <f t="shared" si="224"/>
        <v>0.36</v>
      </c>
      <c r="AI94" s="188" t="str">
        <f t="shared" ca="1" si="225"/>
        <v>Moderado</v>
      </c>
      <c r="AJ94" s="186">
        <f t="shared" ref="AJ94" ca="1" si="256">IFERROR(IF(AND(Y93="Impacto",Y94="Impacto"),(AJ93-(+AJ93*AB94)),IF(Y94="Impacto",(U93-(+U93*AB94)),IF(Y94="Probabilidad",AJ93,""))),"")</f>
        <v>0.6</v>
      </c>
      <c r="AK94" s="189" t="str">
        <f t="shared" ca="1" si="227"/>
        <v>Moderado</v>
      </c>
      <c r="AL94" s="185" t="s">
        <v>255</v>
      </c>
      <c r="AM94" s="227"/>
      <c r="AN94" s="230"/>
      <c r="AO94" s="228"/>
      <c r="AP94" s="228"/>
      <c r="AQ94" s="227"/>
      <c r="AR94" s="229"/>
    </row>
    <row r="95" spans="1:44" s="191" customFormat="1" ht="229.5" customHeight="1" thickTop="1" thickBot="1" x14ac:dyDescent="0.3">
      <c r="A95" s="226">
        <v>38</v>
      </c>
      <c r="B95" s="242" t="s">
        <v>635</v>
      </c>
      <c r="C95" s="227" t="s">
        <v>272</v>
      </c>
      <c r="D95" s="243" t="s">
        <v>631</v>
      </c>
      <c r="E95" s="227" t="s">
        <v>240</v>
      </c>
      <c r="F95" s="234" t="s">
        <v>636</v>
      </c>
      <c r="G95" s="234" t="s">
        <v>637</v>
      </c>
      <c r="H95" s="251" t="s">
        <v>1134</v>
      </c>
      <c r="I95" s="231" t="s">
        <v>474</v>
      </c>
      <c r="J95" s="231" t="s">
        <v>474</v>
      </c>
      <c r="K95" s="231" t="s">
        <v>474</v>
      </c>
      <c r="L95" s="231" t="s">
        <v>474</v>
      </c>
      <c r="M95" s="227" t="s">
        <v>241</v>
      </c>
      <c r="N95" s="227"/>
      <c r="O95" s="230">
        <v>5001</v>
      </c>
      <c r="P95" s="232" t="str">
        <f t="shared" si="217"/>
        <v>Muy Alta</v>
      </c>
      <c r="Q95" s="225">
        <f t="shared" si="218"/>
        <v>1</v>
      </c>
      <c r="R95" s="225" t="s">
        <v>190</v>
      </c>
      <c r="S95" s="225" t="str">
        <f ca="1">IF(NOT(ISERROR(MATCH(R95,'Tabla Impacto'!$B$221:$B$223,0))),'Tabla Impacto'!$F$223&amp;"Por favor no seleccionar los criterios de impacto(Afectación Económica o presupuestal y Pérdida Reputacional)",R95)</f>
        <v>El riesgo afecta la imagen de la entidad con algunos usuarios de relevancia frente al logro de los objetivos</v>
      </c>
      <c r="T95" s="232" t="str">
        <f ca="1">+IF(OR(S95='[1]Tabla Impacto'!$C$11,S95='[1]Tabla Impacto'!$D$11),"Leve",IF(OR(S95='[1]Tabla Impacto'!$C$12,S95='[1]Tabla Impacto'!$D$12),"Menor",IF(OR(S95='[1]Tabla Impacto'!$C$13,S95='[1]Tabla Impacto'!$D$13),"Moderado",IF(OR(S95='[1]Tabla Impacto'!$C$14,S95='[1]Tabla Impacto'!$D$14),"Mayor",IF(OR(S95='[1]Tabla Impacto'!$C$15,S95='[1]Tabla Impacto'!$D$15),"Catastrófico","")))))</f>
        <v>Moderado</v>
      </c>
      <c r="U95" s="225">
        <f t="shared" ref="U95" ca="1" si="257">IF(T95="","",IF(T95="Leve",0.2,IF(T95="Menor",0.4,IF(T95="Moderado",0.6,IF(T95="Mayor",0.8,IF(T95="Catastrófico",1,))))))</f>
        <v>0.6</v>
      </c>
      <c r="V95" s="233" t="str">
        <f t="shared" ref="V95" ca="1" si="258">IF(OR(AND(P95="Muy Baja",T95="Leve"),AND(P95="Muy Baja",T95="Menor"),AND(P95="Baja",T95="Leve")),"Bajo",IF(OR(AND(P95="Muy baja",T95="Moderado"),AND(P95="Baja",T95="Menor"),AND(P95="Baja",T95="Moderado"),AND(P95="Media",T95="Leve"),AND(P95="Media",T95="Menor"),AND(P95="Media",T95="Moderado"),AND(P95="Alta",T95="Leve"),AND(P95="Alta",T95="Menor")),"Moderado",IF(OR(AND(P95="Muy Baja",T95="Mayor"),AND(P95="Baja",T95="Mayor"),AND(P95="Media",T95="Mayor"),AND(P95="Alta",T95="Moderado"),AND(P95="Alta",T95="Mayor"),AND(P95="Muy Alta",T95="Leve"),AND(P95="Muy Alta",T95="Menor"),AND(P95="Muy Alta",T95="Moderado"),AND(P95="Muy Alta",T95="Mayor")),"Alto",IF(OR(AND(P95="Muy Baja",T95="Catastrófico"),AND(P95="Baja",T95="Catastrófico"),AND(P95="Media",T95="Catastrófico"),AND(P95="Alta",T95="Catastrófico"),AND(P95="Muy Alta",T95="Catastrófico")),"Extremo",""))))</f>
        <v>Alto</v>
      </c>
      <c r="W95" s="233">
        <v>1</v>
      </c>
      <c r="X95" s="207" t="s">
        <v>1030</v>
      </c>
      <c r="Y95" s="230" t="str">
        <f t="shared" si="221"/>
        <v>Probabilidad</v>
      </c>
      <c r="Z95" s="185" t="s">
        <v>208</v>
      </c>
      <c r="AA95" s="185" t="s">
        <v>216</v>
      </c>
      <c r="AB95" s="186" t="str">
        <f t="shared" si="242"/>
        <v>40%</v>
      </c>
      <c r="AC95" s="185" t="s">
        <v>219</v>
      </c>
      <c r="AD95" s="185" t="s">
        <v>224</v>
      </c>
      <c r="AE95" s="185" t="s">
        <v>228</v>
      </c>
      <c r="AF95" s="187">
        <f t="shared" ref="AF95" si="259">IFERROR(IF(Y95="Probabilidad",(Q95-(+Q95*AB95)),IF(Y95="Impacto",Q95,"")),"")</f>
        <v>0.6</v>
      </c>
      <c r="AG95" s="188" t="str">
        <f t="shared" si="223"/>
        <v>Media</v>
      </c>
      <c r="AH95" s="186">
        <f t="shared" si="224"/>
        <v>0.6</v>
      </c>
      <c r="AI95" s="188" t="str">
        <f t="shared" ca="1" si="225"/>
        <v>Moderado</v>
      </c>
      <c r="AJ95" s="186">
        <f t="shared" ref="AJ95" ca="1" si="260">IFERROR(IF(Y95="Impacto",(U95-(+U95*AB95)),IF(Y95="Probabilidad",U95,"")),"")</f>
        <v>0.6</v>
      </c>
      <c r="AK95" s="189" t="str">
        <f t="shared" ca="1" si="227"/>
        <v>Moderado</v>
      </c>
      <c r="AL95" s="185" t="s">
        <v>255</v>
      </c>
      <c r="AM95" s="227"/>
      <c r="AN95" s="230"/>
      <c r="AO95" s="228"/>
      <c r="AP95" s="228"/>
      <c r="AQ95" s="227"/>
      <c r="AR95" s="229"/>
    </row>
    <row r="96" spans="1:44" s="191" customFormat="1" ht="148.5" customHeight="1" thickTop="1" thickBot="1" x14ac:dyDescent="0.3">
      <c r="A96" s="352">
        <v>39</v>
      </c>
      <c r="B96" s="369" t="s">
        <v>640</v>
      </c>
      <c r="C96" s="357" t="s">
        <v>273</v>
      </c>
      <c r="D96" s="357" t="s">
        <v>638</v>
      </c>
      <c r="E96" s="357" t="s">
        <v>236</v>
      </c>
      <c r="F96" s="375" t="s">
        <v>641</v>
      </c>
      <c r="G96" s="375" t="s">
        <v>642</v>
      </c>
      <c r="H96" s="374" t="s">
        <v>1135</v>
      </c>
      <c r="I96" s="362" t="s">
        <v>474</v>
      </c>
      <c r="J96" s="362" t="s">
        <v>474</v>
      </c>
      <c r="K96" s="362" t="s">
        <v>474</v>
      </c>
      <c r="L96" s="362" t="s">
        <v>474</v>
      </c>
      <c r="M96" s="357" t="s">
        <v>246</v>
      </c>
      <c r="N96" s="357"/>
      <c r="O96" s="363">
        <v>4</v>
      </c>
      <c r="P96" s="364" t="str">
        <f t="shared" si="217"/>
        <v>Baja</v>
      </c>
      <c r="Q96" s="365">
        <f t="shared" si="218"/>
        <v>0.4</v>
      </c>
      <c r="R96" s="365" t="s">
        <v>189</v>
      </c>
      <c r="S96" s="365" t="str">
        <f ca="1">IF(NOT(ISERROR(MATCH(R96,'Tabla Impacto'!$B$221:$B$223,0))),'Tabla Impacto'!$F$223&amp;"Por favor no seleccionar los criterios de impacto(Afectación Económica o presupuestal y Pérdida Reputacional)",R96)</f>
        <v xml:space="preserve">Entre 50 y 100 SMLMV </v>
      </c>
      <c r="T96" s="364" t="str">
        <f ca="1">+IF(OR(S96='[1]Tabla Impacto'!$C$11,S96='[1]Tabla Impacto'!$D$11),"Leve",IF(OR(S96='[1]Tabla Impacto'!$C$12,S96='[1]Tabla Impacto'!$D$12),"Menor",IF(OR(S96='[1]Tabla Impacto'!$C$13,S96='[1]Tabla Impacto'!$D$13),"Moderado",IF(OR(S96='[1]Tabla Impacto'!$C$14,S96='[1]Tabla Impacto'!$D$14),"Mayor",IF(OR(S96='[1]Tabla Impacto'!$C$15,S96='[1]Tabla Impacto'!$D$15),"Catastrófico","")))))</f>
        <v>Moderado</v>
      </c>
      <c r="U96" s="365">
        <f t="shared" ref="U96" ca="1" si="261">IF(T96="","",IF(T96="Leve",0.2,IF(T96="Menor",0.4,IF(T96="Moderado",0.6,IF(T96="Mayor",0.8,IF(T96="Catastrófico",1,))))))</f>
        <v>0.6</v>
      </c>
      <c r="V96" s="351" t="str">
        <f t="shared" ref="V96" ca="1" si="262">IF(OR(AND(P96="Muy Baja",T96="Leve"),AND(P96="Muy Baja",T96="Menor"),AND(P96="Baja",T96="Leve")),"Bajo",IF(OR(AND(P96="Muy baja",T96="Moderado"),AND(P96="Baja",T96="Menor"),AND(P96="Baja",T96="Moderado"),AND(P96="Media",T96="Leve"),AND(P96="Media",T96="Menor"),AND(P96="Media",T96="Moderado"),AND(P96="Alta",T96="Leve"),AND(P96="Alta",T96="Menor")),"Moderado",IF(OR(AND(P96="Muy Baja",T96="Mayor"),AND(P96="Baja",T96="Mayor"),AND(P96="Media",T96="Mayor"),AND(P96="Alta",T96="Moderado"),AND(P96="Alta",T96="Mayor"),AND(P96="Muy Alta",T96="Leve"),AND(P96="Muy Alta",T96="Menor"),AND(P96="Muy Alta",T96="Moderado"),AND(P96="Muy Alta",T96="Mayor")),"Alto",IF(OR(AND(P96="Muy Baja",T96="Catastrófico"),AND(P96="Baja",T96="Catastrófico"),AND(P96="Media",T96="Catastrófico"),AND(P96="Alta",T96="Catastrófico"),AND(P96="Muy Alta",T96="Catastrófico")),"Extremo",""))))</f>
        <v>Moderado</v>
      </c>
      <c r="W96" s="233">
        <v>1</v>
      </c>
      <c r="X96" s="207" t="s">
        <v>1031</v>
      </c>
      <c r="Y96" s="230" t="str">
        <f t="shared" si="221"/>
        <v>Probabilidad</v>
      </c>
      <c r="Z96" s="185" t="s">
        <v>208</v>
      </c>
      <c r="AA96" s="185" t="s">
        <v>216</v>
      </c>
      <c r="AB96" s="186" t="str">
        <f t="shared" si="242"/>
        <v>40%</v>
      </c>
      <c r="AC96" s="185" t="s">
        <v>219</v>
      </c>
      <c r="AD96" s="185" t="s">
        <v>224</v>
      </c>
      <c r="AE96" s="185" t="s">
        <v>228</v>
      </c>
      <c r="AF96" s="187">
        <f t="shared" ref="AF96" si="263">IFERROR(IF(Y96="Probabilidad",(Q96-(+Q96*AB96)),IF(Y96="Impacto",Q96,"")),"")</f>
        <v>0.24</v>
      </c>
      <c r="AG96" s="188" t="str">
        <f t="shared" si="223"/>
        <v>Baja</v>
      </c>
      <c r="AH96" s="186">
        <f t="shared" si="224"/>
        <v>0.24</v>
      </c>
      <c r="AI96" s="188" t="str">
        <f t="shared" ca="1" si="225"/>
        <v>Moderado</v>
      </c>
      <c r="AJ96" s="186">
        <f t="shared" ref="AJ96" ca="1" si="264">IFERROR(IF(Y96="Impacto",(U96-(+U96*AB96)),IF(Y96="Probabilidad",U96,"")),"")</f>
        <v>0.6</v>
      </c>
      <c r="AK96" s="189" t="str">
        <f t="shared" ca="1" si="227"/>
        <v>Moderado</v>
      </c>
      <c r="AL96" s="185" t="s">
        <v>255</v>
      </c>
      <c r="AM96" s="227"/>
      <c r="AN96" s="230"/>
      <c r="AO96" s="228"/>
      <c r="AP96" s="228"/>
      <c r="AQ96" s="227"/>
      <c r="AR96" s="229"/>
    </row>
    <row r="97" spans="1:44" s="191" customFormat="1" ht="148.5" customHeight="1" thickTop="1" thickBot="1" x14ac:dyDescent="0.3">
      <c r="A97" s="352"/>
      <c r="B97" s="369"/>
      <c r="C97" s="357"/>
      <c r="D97" s="357"/>
      <c r="E97" s="357"/>
      <c r="F97" s="375"/>
      <c r="G97" s="375"/>
      <c r="H97" s="374"/>
      <c r="I97" s="362"/>
      <c r="J97" s="362"/>
      <c r="K97" s="362"/>
      <c r="L97" s="362"/>
      <c r="M97" s="357"/>
      <c r="N97" s="357"/>
      <c r="O97" s="363"/>
      <c r="P97" s="364"/>
      <c r="Q97" s="365"/>
      <c r="R97" s="365"/>
      <c r="S97" s="365">
        <f ca="1">IF(NOT(ISERROR(MATCH(R97,_xlfn.ANCHORARRAY(H101),0))),#REF!&amp;"Por favor no seleccionar los criterios de impacto",R97)</f>
        <v>0</v>
      </c>
      <c r="T97" s="364"/>
      <c r="U97" s="365"/>
      <c r="V97" s="351"/>
      <c r="W97" s="233">
        <v>2</v>
      </c>
      <c r="X97" s="207" t="s">
        <v>639</v>
      </c>
      <c r="Y97" s="230" t="str">
        <f t="shared" si="221"/>
        <v>Probabilidad</v>
      </c>
      <c r="Z97" s="185" t="s">
        <v>208</v>
      </c>
      <c r="AA97" s="185" t="s">
        <v>216</v>
      </c>
      <c r="AB97" s="186" t="str">
        <f t="shared" si="242"/>
        <v>40%</v>
      </c>
      <c r="AC97" s="185" t="s">
        <v>219</v>
      </c>
      <c r="AD97" s="185" t="s">
        <v>224</v>
      </c>
      <c r="AE97" s="185" t="s">
        <v>228</v>
      </c>
      <c r="AF97" s="187">
        <f t="shared" ref="AF97" si="265">IFERROR(IF(AND(Y96="Probabilidad",Y97="Probabilidad"),(AH96-(+AH96*AB97)),IF(Y97="Probabilidad",(Q96-(+Q96*AB97)),IF(Y97="Impacto",AH96,""))),"")</f>
        <v>0.14399999999999999</v>
      </c>
      <c r="AG97" s="188" t="str">
        <f t="shared" si="223"/>
        <v>Muy Baja</v>
      </c>
      <c r="AH97" s="186">
        <f t="shared" si="224"/>
        <v>0.14399999999999999</v>
      </c>
      <c r="AI97" s="188" t="str">
        <f t="shared" ca="1" si="225"/>
        <v>Moderado</v>
      </c>
      <c r="AJ97" s="186">
        <f t="shared" ref="AJ97" ca="1" si="266">IFERROR(IF(AND(Y96="Impacto",Y97="Impacto"),(AJ96-(+AJ96*AB97)),IF(Y97="Impacto",(U96-(+U96*AB97)),IF(Y97="Probabilidad",AJ96,""))),"")</f>
        <v>0.6</v>
      </c>
      <c r="AK97" s="189" t="str">
        <f t="shared" ca="1" si="227"/>
        <v>Moderado</v>
      </c>
      <c r="AL97" s="185" t="s">
        <v>255</v>
      </c>
      <c r="AM97" s="227"/>
      <c r="AN97" s="230"/>
      <c r="AO97" s="228"/>
      <c r="AP97" s="228"/>
      <c r="AQ97" s="227"/>
      <c r="AR97" s="229"/>
    </row>
    <row r="98" spans="1:44" s="191" customFormat="1" ht="133.5" customHeight="1" thickTop="1" thickBot="1" x14ac:dyDescent="0.3">
      <c r="A98" s="444">
        <v>40</v>
      </c>
      <c r="B98" s="446" t="s">
        <v>643</v>
      </c>
      <c r="C98" s="354" t="s">
        <v>273</v>
      </c>
      <c r="D98" s="354" t="s">
        <v>973</v>
      </c>
      <c r="E98" s="354" t="s">
        <v>238</v>
      </c>
      <c r="F98" s="354" t="s">
        <v>644</v>
      </c>
      <c r="G98" s="354" t="s">
        <v>645</v>
      </c>
      <c r="H98" s="448" t="s">
        <v>1136</v>
      </c>
      <c r="I98" s="450" t="s">
        <v>474</v>
      </c>
      <c r="J98" s="450" t="s">
        <v>474</v>
      </c>
      <c r="K98" s="450" t="s">
        <v>474</v>
      </c>
      <c r="L98" s="450" t="s">
        <v>474</v>
      </c>
      <c r="M98" s="354" t="s">
        <v>239</v>
      </c>
      <c r="N98" s="354"/>
      <c r="O98" s="452">
        <v>4</v>
      </c>
      <c r="P98" s="389" t="str">
        <f t="shared" ref="P98:P113" si="267">IF(O98&lt;=0,"",IF(O98&lt;=2,"Muy Baja",IF(O98&lt;=24,"Baja",IF(O98&lt;=500,"Media",IF(O98&lt;=5000,"Alta","Muy Alta")))))</f>
        <v>Baja</v>
      </c>
      <c r="Q98" s="348">
        <f t="shared" ref="Q98:Q113" si="268">IF(P98="","",IF(P98="Muy Baja",0.2,IF(P98="Baja",0.4,IF(P98="Media",0.6,IF(P98="Alta",0.8,IF(P98="Muy Alta",1,))))))</f>
        <v>0.4</v>
      </c>
      <c r="R98" s="348" t="s">
        <v>190</v>
      </c>
      <c r="S98" s="348" t="str">
        <f ca="1">IF(NOT(ISERROR(MATCH(R98,'Tabla Impacto'!$B$221:$B$223,0))),'Tabla Impacto'!$F$223&amp;"Por favor no seleccionar los criterios de impacto(Afectación Económica o presupuestal y Pérdida Reputacional)",R98)</f>
        <v>El riesgo afecta la imagen de la entidad con algunos usuarios de relevancia frente al logro de los objetivos</v>
      </c>
      <c r="T98" s="389" t="str">
        <f ca="1">+IF(OR(S98='[1]Tabla Impacto'!$C$11,S98='[1]Tabla Impacto'!$D$11),"Leve",IF(OR(S98='[1]Tabla Impacto'!$C$12,S98='[1]Tabla Impacto'!$D$12),"Menor",IF(OR(S98='[1]Tabla Impacto'!$C$13,S98='[1]Tabla Impacto'!$D$13),"Moderado",IF(OR(S98='[1]Tabla Impacto'!$C$14,S98='[1]Tabla Impacto'!$D$14),"Mayor",IF(OR(S98='[1]Tabla Impacto'!$C$15,S98='[1]Tabla Impacto'!$D$15),"Catastrófico","")))))</f>
        <v>Moderado</v>
      </c>
      <c r="U98" s="348">
        <f t="shared" ref="U98" ca="1" si="269">IF(T98="","",IF(T98="Leve",0.2,IF(T98="Menor",0.4,IF(T98="Moderado",0.6,IF(T98="Mayor",0.8,IF(T98="Catastrófico",1,))))))</f>
        <v>0.6</v>
      </c>
      <c r="V98" s="391" t="str">
        <f t="shared" ref="V98" ca="1" si="270">IF(OR(AND(P98="Muy Baja",T98="Leve"),AND(P98="Muy Baja",T98="Menor"),AND(P98="Baja",T98="Leve")),"Bajo",IF(OR(AND(P98="Muy baja",T98="Moderado"),AND(P98="Baja",T98="Menor"),AND(P98="Baja",T98="Moderado"),AND(P98="Media",T98="Leve"),AND(P98="Media",T98="Menor"),AND(P98="Media",T98="Moderado"),AND(P98="Alta",T98="Leve"),AND(P98="Alta",T98="Menor")),"Moderado",IF(OR(AND(P98="Muy Baja",T98="Mayor"),AND(P98="Baja",T98="Mayor"),AND(P98="Media",T98="Mayor"),AND(P98="Alta",T98="Moderado"),AND(P98="Alta",T98="Mayor"),AND(P98="Muy Alta",T98="Leve"),AND(P98="Muy Alta",T98="Menor"),AND(P98="Muy Alta",T98="Moderado"),AND(P98="Muy Alta",T98="Mayor")),"Alto",IF(OR(AND(P98="Muy Baja",T98="Catastrófico"),AND(P98="Baja",T98="Catastrófico"),AND(P98="Media",T98="Catastrófico"),AND(P98="Alta",T98="Catastrófico"),AND(P98="Muy Alta",T98="Catastrófico")),"Extremo",""))))</f>
        <v>Moderado</v>
      </c>
      <c r="W98" s="233">
        <v>1</v>
      </c>
      <c r="X98" s="207" t="s">
        <v>1209</v>
      </c>
      <c r="Y98" s="230" t="str">
        <f t="shared" ref="Y98:Y115" si="271">IF(OR(Z98="Preventivo",Z98="Detectivo"),"Probabilidad",IF(Z98="Correctivo","Impacto",""))</f>
        <v>Probabilidad</v>
      </c>
      <c r="Z98" s="185" t="s">
        <v>208</v>
      </c>
      <c r="AA98" s="185" t="s">
        <v>216</v>
      </c>
      <c r="AB98" s="186" t="str">
        <f t="shared" si="242"/>
        <v>40%</v>
      </c>
      <c r="AC98" s="185" t="s">
        <v>219</v>
      </c>
      <c r="AD98" s="185" t="s">
        <v>224</v>
      </c>
      <c r="AE98" s="185" t="s">
        <v>228</v>
      </c>
      <c r="AF98" s="187">
        <f t="shared" ref="AF98" si="272">IFERROR(IF(Y98="Probabilidad",(Q98-(+Q98*AB98)),IF(Y98="Impacto",Q98,"")),"")</f>
        <v>0.24</v>
      </c>
      <c r="AG98" s="188" t="str">
        <f t="shared" ref="AG98:AG115" si="273">IFERROR(IF(AF98="","",IF(AF98&lt;=0.2,"Muy Baja",IF(AF98&lt;=0.4,"Baja",IF(AF98&lt;=0.6,"Media",IF(AF98&lt;=0.8,"Alta","Muy Alta"))))),"")</f>
        <v>Baja</v>
      </c>
      <c r="AH98" s="186">
        <f t="shared" ref="AH98:AH115" si="274">+AF98</f>
        <v>0.24</v>
      </c>
      <c r="AI98" s="188" t="str">
        <f t="shared" ref="AI98:AI115" ca="1" si="275">IFERROR(IF(AJ98="","",IF(AJ98&lt;=0.2,"Leve",IF(AJ98&lt;=0.4,"Menor",IF(AJ98&lt;=0.6,"Moderado",IF(AJ98&lt;=0.8,"Mayor","Catastrófico"))))),"")</f>
        <v>Moderado</v>
      </c>
      <c r="AJ98" s="186">
        <f t="shared" ref="AJ98" ca="1" si="276">IFERROR(IF(Y98="Impacto",(U98-(+U98*AB98)),IF(Y98="Probabilidad",U98,"")),"")</f>
        <v>0.6</v>
      </c>
      <c r="AK98" s="189" t="str">
        <f t="shared" ref="AK98:AK115" ca="1" si="277">IFERROR(IF(OR(AND(AG98="Muy Baja",AI98="Leve"),AND(AG98="Muy Baja",AI98="Menor"),AND(AG98="Baja",AI98="Leve")),"Bajo",IF(OR(AND(AG98="Muy baja",AI98="Moderado"),AND(AG98="Baja",AI98="Menor"),AND(AG98="Baja",AI98="Moderado"),AND(AG98="Media",AI98="Leve"),AND(AG98="Media",AI98="Menor"),AND(AG98="Media",AI98="Moderado"),AND(AG98="Alta",AI98="Leve"),AND(AG98="Alta",AI98="Menor")),"Moderado",IF(OR(AND(AG98="Muy Baja",AI98="Mayor"),AND(AG98="Baja",AI98="Mayor"),AND(AG98="Media",AI98="Mayor"),AND(AG98="Alta",AI98="Moderado"),AND(AG98="Alta",AI98="Mayor"),AND(AG98="Muy Alta",AI98="Leve"),AND(AG98="Muy Alta",AI98="Menor"),AND(AG98="Muy Alta",AI98="Moderado"),AND(AG98="Muy Alta",AI98="Mayor")),"Alto",IF(OR(AND(AG98="Muy Baja",AI98="Catastrófico"),AND(AG98="Baja",AI98="Catastrófico"),AND(AG98="Media",AI98="Catastrófico"),AND(AG98="Alta",AI98="Catastrófico"),AND(AG98="Muy Alta",AI98="Catastrófico")),"Extremo","")))),"")</f>
        <v>Moderado</v>
      </c>
      <c r="AL98" s="185" t="s">
        <v>255</v>
      </c>
      <c r="AM98" s="227"/>
      <c r="AN98" s="230"/>
      <c r="AO98" s="228"/>
      <c r="AP98" s="228"/>
      <c r="AQ98" s="227"/>
      <c r="AR98" s="229"/>
    </row>
    <row r="99" spans="1:44" s="191" customFormat="1" ht="133.5" customHeight="1" thickTop="1" thickBot="1" x14ac:dyDescent="0.3">
      <c r="A99" s="445"/>
      <c r="B99" s="447"/>
      <c r="C99" s="355"/>
      <c r="D99" s="355"/>
      <c r="E99" s="355"/>
      <c r="F99" s="355"/>
      <c r="G99" s="355"/>
      <c r="H99" s="449"/>
      <c r="I99" s="451"/>
      <c r="J99" s="451"/>
      <c r="K99" s="451"/>
      <c r="L99" s="451"/>
      <c r="M99" s="355"/>
      <c r="N99" s="355"/>
      <c r="O99" s="453"/>
      <c r="P99" s="390"/>
      <c r="Q99" s="349"/>
      <c r="R99" s="349"/>
      <c r="S99" s="349"/>
      <c r="T99" s="390"/>
      <c r="U99" s="349"/>
      <c r="V99" s="392"/>
      <c r="W99" s="233">
        <v>2</v>
      </c>
      <c r="X99" s="207" t="s">
        <v>1210</v>
      </c>
      <c r="Y99" s="230" t="str">
        <f t="shared" si="271"/>
        <v>Probabilidad</v>
      </c>
      <c r="Z99" s="185" t="s">
        <v>208</v>
      </c>
      <c r="AA99" s="185" t="s">
        <v>216</v>
      </c>
      <c r="AB99" s="186" t="str">
        <f t="shared" si="242"/>
        <v>40%</v>
      </c>
      <c r="AC99" s="185" t="s">
        <v>219</v>
      </c>
      <c r="AD99" s="185" t="s">
        <v>224</v>
      </c>
      <c r="AE99" s="185" t="s">
        <v>228</v>
      </c>
      <c r="AF99" s="187">
        <f t="shared" ref="AF99:AF100" si="278">IFERROR(IF(AND(Y98="Probabilidad",Y99="Probabilidad"),(AH98-(+AH98*AB99)),IF(Y99="Probabilidad",(Q98-(+Q98*AB99)),IF(Y99="Impacto",AH98,""))),"")</f>
        <v>0.14399999999999999</v>
      </c>
      <c r="AG99" s="188" t="str">
        <f t="shared" si="273"/>
        <v>Muy Baja</v>
      </c>
      <c r="AH99" s="186">
        <f t="shared" si="274"/>
        <v>0.14399999999999999</v>
      </c>
      <c r="AI99" s="188" t="str">
        <f t="shared" ca="1" si="275"/>
        <v>Moderado</v>
      </c>
      <c r="AJ99" s="186">
        <f t="shared" ref="AJ99" ca="1" si="279">IFERROR(IF(AND(Y98="Impacto",Y99="Impacto"),(AJ98-(+AJ98*AB99)),IF(Y99="Impacto",(U98-(+U98*AB99)),IF(Y99="Probabilidad",AJ98,""))),"")</f>
        <v>0.6</v>
      </c>
      <c r="AK99" s="189" t="str">
        <f t="shared" ca="1" si="277"/>
        <v>Moderado</v>
      </c>
      <c r="AL99" s="185" t="s">
        <v>255</v>
      </c>
      <c r="AM99" s="227"/>
      <c r="AN99" s="230"/>
      <c r="AO99" s="228"/>
      <c r="AP99" s="228"/>
      <c r="AQ99" s="227"/>
      <c r="AR99" s="229"/>
    </row>
    <row r="100" spans="1:44" s="191" customFormat="1" ht="173.25" customHeight="1" thickTop="1" thickBot="1" x14ac:dyDescent="0.3">
      <c r="A100" s="445"/>
      <c r="B100" s="447"/>
      <c r="C100" s="355"/>
      <c r="D100" s="355"/>
      <c r="E100" s="355"/>
      <c r="F100" s="355"/>
      <c r="G100" s="355"/>
      <c r="H100" s="449"/>
      <c r="I100" s="451"/>
      <c r="J100" s="451"/>
      <c r="K100" s="451"/>
      <c r="L100" s="451"/>
      <c r="M100" s="355"/>
      <c r="N100" s="355"/>
      <c r="O100" s="453"/>
      <c r="P100" s="390"/>
      <c r="Q100" s="349"/>
      <c r="R100" s="349"/>
      <c r="S100" s="350"/>
      <c r="T100" s="390"/>
      <c r="U100" s="349"/>
      <c r="V100" s="392"/>
      <c r="W100" s="271">
        <v>3</v>
      </c>
      <c r="X100" s="207" t="s">
        <v>1208</v>
      </c>
      <c r="Y100" s="270" t="str">
        <f t="shared" si="271"/>
        <v>Probabilidad</v>
      </c>
      <c r="Z100" s="185" t="s">
        <v>208</v>
      </c>
      <c r="AA100" s="185" t="s">
        <v>216</v>
      </c>
      <c r="AB100" s="186" t="str">
        <f t="shared" si="242"/>
        <v>40%</v>
      </c>
      <c r="AC100" s="185" t="s">
        <v>222</v>
      </c>
      <c r="AD100" s="185" t="s">
        <v>224</v>
      </c>
      <c r="AE100" s="185" t="s">
        <v>228</v>
      </c>
      <c r="AF100" s="187">
        <f t="shared" si="278"/>
        <v>8.6399999999999991E-2</v>
      </c>
      <c r="AG100" s="188" t="str">
        <f t="shared" ref="AG100" si="280">IFERROR(IF(AF100="","",IF(AF100&lt;=0.2,"Muy Baja",IF(AF100&lt;=0.4,"Baja",IF(AF100&lt;=0.6,"Media",IF(AF100&lt;=0.8,"Alta","Muy Alta"))))),"")</f>
        <v>Muy Baja</v>
      </c>
      <c r="AH100" s="186">
        <f t="shared" ref="AH100" si="281">+AF100</f>
        <v>8.6399999999999991E-2</v>
      </c>
      <c r="AI100" s="188" t="str">
        <f t="shared" ref="AI100" ca="1" si="282">IFERROR(IF(AJ100="","",IF(AJ100&lt;=0.2,"Leve",IF(AJ100&lt;=0.4,"Menor",IF(AJ100&lt;=0.6,"Moderado",IF(AJ100&lt;=0.8,"Mayor","Catastrófico"))))),"")</f>
        <v>Moderado</v>
      </c>
      <c r="AJ100" s="186">
        <f t="shared" ref="AJ100" ca="1" si="283">IFERROR(IF(AND(Y99="Impacto",Y100="Impacto"),(AJ99-(+AJ99*AB100)),IF(Y100="Impacto",(U99-(+U99*AB100)),IF(Y100="Probabilidad",AJ99,""))),"")</f>
        <v>0.6</v>
      </c>
      <c r="AK100" s="189" t="str">
        <f t="shared" ref="AK100" ca="1" si="284">IFERROR(IF(OR(AND(AG100="Muy Baja",AI100="Leve"),AND(AG100="Muy Baja",AI100="Menor"),AND(AG100="Baja",AI100="Leve")),"Bajo",IF(OR(AND(AG100="Muy baja",AI100="Moderado"),AND(AG100="Baja",AI100="Menor"),AND(AG100="Baja",AI100="Moderado"),AND(AG100="Media",AI100="Leve"),AND(AG100="Media",AI100="Menor"),AND(AG100="Media",AI100="Moderado"),AND(AG100="Alta",AI100="Leve"),AND(AG100="Alta",AI100="Menor")),"Moderado",IF(OR(AND(AG100="Muy Baja",AI100="Mayor"),AND(AG100="Baja",AI100="Mayor"),AND(AG100="Media",AI100="Mayor"),AND(AG100="Alta",AI100="Moderado"),AND(AG100="Alta",AI100="Mayor"),AND(AG100="Muy Alta",AI100="Leve"),AND(AG100="Muy Alta",AI100="Menor"),AND(AG100="Muy Alta",AI100="Moderado"),AND(AG100="Muy Alta",AI100="Mayor")),"Alto",IF(OR(AND(AG100="Muy Baja",AI100="Catastrófico"),AND(AG100="Baja",AI100="Catastrófico"),AND(AG100="Media",AI100="Catastrófico"),AND(AG100="Alta",AI100="Catastrófico"),AND(AG100="Muy Alta",AI100="Catastrófico")),"Extremo","")))),"")</f>
        <v>Moderado</v>
      </c>
      <c r="AL100" s="185" t="s">
        <v>255</v>
      </c>
      <c r="AM100" s="268"/>
      <c r="AN100" s="270"/>
      <c r="AO100" s="267"/>
      <c r="AP100" s="267"/>
      <c r="AQ100" s="268"/>
      <c r="AR100" s="269"/>
    </row>
    <row r="101" spans="1:44" s="191" customFormat="1" ht="152.25" customHeight="1" thickTop="1" thickBot="1" x14ac:dyDescent="0.3">
      <c r="A101" s="352">
        <v>41</v>
      </c>
      <c r="B101" s="369" t="s">
        <v>646</v>
      </c>
      <c r="C101" s="357" t="s">
        <v>273</v>
      </c>
      <c r="D101" s="357" t="s">
        <v>974</v>
      </c>
      <c r="E101" s="357" t="s">
        <v>240</v>
      </c>
      <c r="F101" s="375" t="s">
        <v>648</v>
      </c>
      <c r="G101" s="375" t="s">
        <v>649</v>
      </c>
      <c r="H101" s="374" t="s">
        <v>1137</v>
      </c>
      <c r="I101" s="362" t="s">
        <v>474</v>
      </c>
      <c r="J101" s="362" t="s">
        <v>474</v>
      </c>
      <c r="K101" s="362" t="s">
        <v>474</v>
      </c>
      <c r="L101" s="362" t="s">
        <v>474</v>
      </c>
      <c r="M101" s="357" t="s">
        <v>239</v>
      </c>
      <c r="N101" s="357"/>
      <c r="O101" s="363">
        <v>4</v>
      </c>
      <c r="P101" s="364" t="str">
        <f t="shared" si="267"/>
        <v>Baja</v>
      </c>
      <c r="Q101" s="365">
        <f t="shared" si="268"/>
        <v>0.4</v>
      </c>
      <c r="R101" s="365" t="s">
        <v>184</v>
      </c>
      <c r="S101" s="365" t="str">
        <f ca="1">IF(NOT(ISERROR(MATCH(R101,'Tabla Impacto'!$B$221:$B$223,0))),'Tabla Impacto'!$F$223&amp;"Por favor no seleccionar los criterios de impacto(Afectación Económica o presupuestal y Pérdida Reputacional)",R101)</f>
        <v>El riesgo afecta la imagen de alguna área de la organización</v>
      </c>
      <c r="T101" s="364" t="str">
        <f ca="1">+IF(OR(S101='[1]Tabla Impacto'!$C$11,S101='[1]Tabla Impacto'!$D$11),"Leve",IF(OR(S101='[1]Tabla Impacto'!$C$12,S101='[1]Tabla Impacto'!$D$12),"Menor",IF(OR(S101='[1]Tabla Impacto'!$C$13,S101='[1]Tabla Impacto'!$D$13),"Moderado",IF(OR(S101='[1]Tabla Impacto'!$C$14,S101='[1]Tabla Impacto'!$D$14),"Mayor",IF(OR(S101='[1]Tabla Impacto'!$C$15,S101='[1]Tabla Impacto'!$D$15),"Catastrófico","")))))</f>
        <v>Leve</v>
      </c>
      <c r="U101" s="365">
        <f t="shared" ref="U101" ca="1" si="285">IF(T101="","",IF(T101="Leve",0.2,IF(T101="Menor",0.4,IF(T101="Moderado",0.6,IF(T101="Mayor",0.8,IF(T101="Catastrófico",1,))))))</f>
        <v>0.2</v>
      </c>
      <c r="V101" s="351" t="str">
        <f t="shared" ref="V101" ca="1" si="286">IF(OR(AND(P101="Muy Baja",T101="Leve"),AND(P101="Muy Baja",T101="Menor"),AND(P101="Baja",T101="Leve")),"Bajo",IF(OR(AND(P101="Muy baja",T101="Moderado"),AND(P101="Baja",T101="Menor"),AND(P101="Baja",T101="Moderado"),AND(P101="Media",T101="Leve"),AND(P101="Media",T101="Menor"),AND(P101="Media",T101="Moderado"),AND(P101="Alta",T101="Leve"),AND(P101="Alta",T101="Menor")),"Moderado",IF(OR(AND(P101="Muy Baja",T101="Mayor"),AND(P101="Baja",T101="Mayor"),AND(P101="Media",T101="Mayor"),AND(P101="Alta",T101="Moderado"),AND(P101="Alta",T101="Mayor"),AND(P101="Muy Alta",T101="Leve"),AND(P101="Muy Alta",T101="Menor"),AND(P101="Muy Alta",T101="Moderado"),AND(P101="Muy Alta",T101="Mayor")),"Alto",IF(OR(AND(P101="Muy Baja",T101="Catastrófico"),AND(P101="Baja",T101="Catastrófico"),AND(P101="Media",T101="Catastrófico"),AND(P101="Alta",T101="Catastrófico"),AND(P101="Muy Alta",T101="Catastrófico")),"Extremo",""))))</f>
        <v>Bajo</v>
      </c>
      <c r="W101" s="233">
        <v>1</v>
      </c>
      <c r="X101" s="207" t="s">
        <v>650</v>
      </c>
      <c r="Y101" s="230" t="str">
        <f t="shared" si="271"/>
        <v>Probabilidad</v>
      </c>
      <c r="Z101" s="185" t="s">
        <v>208</v>
      </c>
      <c r="AA101" s="185" t="s">
        <v>216</v>
      </c>
      <c r="AB101" s="186" t="str">
        <f t="shared" si="242"/>
        <v>40%</v>
      </c>
      <c r="AC101" s="185" t="s">
        <v>219</v>
      </c>
      <c r="AD101" s="185" t="s">
        <v>224</v>
      </c>
      <c r="AE101" s="185" t="s">
        <v>228</v>
      </c>
      <c r="AF101" s="187">
        <f t="shared" ref="AF101" si="287">IFERROR(IF(Y101="Probabilidad",(Q101-(+Q101*AB101)),IF(Y101="Impacto",Q101,"")),"")</f>
        <v>0.24</v>
      </c>
      <c r="AG101" s="188" t="str">
        <f t="shared" si="273"/>
        <v>Baja</v>
      </c>
      <c r="AH101" s="186">
        <f t="shared" si="274"/>
        <v>0.24</v>
      </c>
      <c r="AI101" s="188" t="str">
        <f t="shared" ca="1" si="275"/>
        <v>Leve</v>
      </c>
      <c r="AJ101" s="186">
        <f t="shared" ref="AJ101" ca="1" si="288">IFERROR(IF(Y101="Impacto",(U101-(+U101*AB101)),IF(Y101="Probabilidad",U101,"")),"")</f>
        <v>0.2</v>
      </c>
      <c r="AK101" s="189" t="str">
        <f t="shared" ca="1" si="277"/>
        <v>Bajo</v>
      </c>
      <c r="AL101" s="185" t="s">
        <v>255</v>
      </c>
      <c r="AM101" s="227"/>
      <c r="AN101" s="230"/>
      <c r="AO101" s="228"/>
      <c r="AP101" s="228"/>
      <c r="AQ101" s="227"/>
      <c r="AR101" s="229"/>
    </row>
    <row r="102" spans="1:44" s="191" customFormat="1" ht="156.75" customHeight="1" thickTop="1" thickBot="1" x14ac:dyDescent="0.3">
      <c r="A102" s="352"/>
      <c r="B102" s="369"/>
      <c r="C102" s="357"/>
      <c r="D102" s="357"/>
      <c r="E102" s="357"/>
      <c r="F102" s="375"/>
      <c r="G102" s="375"/>
      <c r="H102" s="374"/>
      <c r="I102" s="362"/>
      <c r="J102" s="362"/>
      <c r="K102" s="362"/>
      <c r="L102" s="362"/>
      <c r="M102" s="357"/>
      <c r="N102" s="357"/>
      <c r="O102" s="363"/>
      <c r="P102" s="364"/>
      <c r="Q102" s="365"/>
      <c r="R102" s="365"/>
      <c r="S102" s="365">
        <f ca="1">IF(NOT(ISERROR(MATCH(R102,_xlfn.ANCHORARRAY(H106),0))),Q108&amp;"Por favor no seleccionar los criterios de impacto",R102)</f>
        <v>0</v>
      </c>
      <c r="T102" s="364"/>
      <c r="U102" s="365"/>
      <c r="V102" s="351"/>
      <c r="W102" s="233">
        <v>2</v>
      </c>
      <c r="X102" s="207" t="s">
        <v>651</v>
      </c>
      <c r="Y102" s="230" t="str">
        <f t="shared" si="271"/>
        <v>Probabilidad</v>
      </c>
      <c r="Z102" s="185" t="s">
        <v>208</v>
      </c>
      <c r="AA102" s="185" t="s">
        <v>216</v>
      </c>
      <c r="AB102" s="186" t="str">
        <f t="shared" si="242"/>
        <v>40%</v>
      </c>
      <c r="AC102" s="185" t="s">
        <v>219</v>
      </c>
      <c r="AD102" s="185" t="s">
        <v>224</v>
      </c>
      <c r="AE102" s="185" t="s">
        <v>228</v>
      </c>
      <c r="AF102" s="187">
        <f t="shared" ref="AF102" si="289">IFERROR(IF(AND(Y101="Probabilidad",Y102="Probabilidad"),(AH101-(+AH101*AB102)),IF(Y102="Probabilidad",(Q101-(+Q101*AB102)),IF(Y102="Impacto",AH101,""))),"")</f>
        <v>0.14399999999999999</v>
      </c>
      <c r="AG102" s="188" t="str">
        <f t="shared" si="273"/>
        <v>Muy Baja</v>
      </c>
      <c r="AH102" s="186">
        <f t="shared" si="274"/>
        <v>0.14399999999999999</v>
      </c>
      <c r="AI102" s="188" t="str">
        <f t="shared" ca="1" si="275"/>
        <v>Leve</v>
      </c>
      <c r="AJ102" s="186">
        <f t="shared" ref="AJ102" ca="1" si="290">IFERROR(IF(AND(Y101="Impacto",Y102="Impacto"),(AJ101-(+AJ101*AB102)),IF(Y102="Impacto",(U101-(+U101*AB102)),IF(Y102="Probabilidad",AJ101,""))),"")</f>
        <v>0.2</v>
      </c>
      <c r="AK102" s="189" t="str">
        <f t="shared" ca="1" si="277"/>
        <v>Bajo</v>
      </c>
      <c r="AL102" s="185" t="s">
        <v>255</v>
      </c>
      <c r="AM102" s="227"/>
      <c r="AN102" s="230"/>
      <c r="AO102" s="228"/>
      <c r="AP102" s="228"/>
      <c r="AQ102" s="227"/>
      <c r="AR102" s="229"/>
    </row>
    <row r="103" spans="1:44" s="191" customFormat="1" ht="141" customHeight="1" thickTop="1" thickBot="1" x14ac:dyDescent="0.3">
      <c r="A103" s="352">
        <v>42</v>
      </c>
      <c r="B103" s="369" t="s">
        <v>652</v>
      </c>
      <c r="C103" s="359" t="s">
        <v>273</v>
      </c>
      <c r="D103" s="359" t="s">
        <v>647</v>
      </c>
      <c r="E103" s="359" t="s">
        <v>240</v>
      </c>
      <c r="F103" s="360" t="s">
        <v>653</v>
      </c>
      <c r="G103" s="360" t="s">
        <v>654</v>
      </c>
      <c r="H103" s="361" t="s">
        <v>1138</v>
      </c>
      <c r="I103" s="362" t="s">
        <v>474</v>
      </c>
      <c r="J103" s="362" t="s">
        <v>474</v>
      </c>
      <c r="K103" s="362" t="s">
        <v>474</v>
      </c>
      <c r="L103" s="362" t="s">
        <v>474</v>
      </c>
      <c r="M103" s="357" t="s">
        <v>239</v>
      </c>
      <c r="N103" s="357"/>
      <c r="O103" s="363">
        <v>4</v>
      </c>
      <c r="P103" s="364" t="str">
        <f t="shared" si="267"/>
        <v>Baja</v>
      </c>
      <c r="Q103" s="365">
        <f t="shared" si="268"/>
        <v>0.4</v>
      </c>
      <c r="R103" s="365" t="s">
        <v>190</v>
      </c>
      <c r="S103" s="365" t="str">
        <f ca="1">IF(NOT(ISERROR(MATCH(R103,'Tabla Impacto'!$B$221:$B$223,0))),'Tabla Impacto'!$F$223&amp;"Por favor no seleccionar los criterios de impacto(Afectación Económica o presupuestal y Pérdida Reputacional)",R103)</f>
        <v>El riesgo afecta la imagen de la entidad con algunos usuarios de relevancia frente al logro de los objetivos</v>
      </c>
      <c r="T103" s="364"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Moderado</v>
      </c>
      <c r="U103" s="365">
        <f t="shared" ref="U103" ca="1" si="291">IF(T103="","",IF(T103="Leve",0.2,IF(T103="Menor",0.4,IF(T103="Moderado",0.6,IF(T103="Mayor",0.8,IF(T103="Catastrófico",1,))))))</f>
        <v>0.6</v>
      </c>
      <c r="V103" s="351" t="str">
        <f t="shared" ref="V103" ca="1" si="292">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233">
        <v>1</v>
      </c>
      <c r="X103" s="209" t="s">
        <v>655</v>
      </c>
      <c r="Y103" s="230" t="str">
        <f t="shared" si="271"/>
        <v>Probabilidad</v>
      </c>
      <c r="Z103" s="185" t="s">
        <v>208</v>
      </c>
      <c r="AA103" s="185" t="s">
        <v>216</v>
      </c>
      <c r="AB103" s="186" t="str">
        <f t="shared" si="242"/>
        <v>40%</v>
      </c>
      <c r="AC103" s="185" t="s">
        <v>219</v>
      </c>
      <c r="AD103" s="185" t="s">
        <v>224</v>
      </c>
      <c r="AE103" s="185" t="s">
        <v>228</v>
      </c>
      <c r="AF103" s="187">
        <f t="shared" ref="AF103" si="293">IFERROR(IF(Y103="Probabilidad",(Q103-(+Q103*AB103)),IF(Y103="Impacto",Q103,"")),"")</f>
        <v>0.24</v>
      </c>
      <c r="AG103" s="188" t="str">
        <f t="shared" si="273"/>
        <v>Baja</v>
      </c>
      <c r="AH103" s="186">
        <f t="shared" si="274"/>
        <v>0.24</v>
      </c>
      <c r="AI103" s="188" t="str">
        <f t="shared" ca="1" si="275"/>
        <v>Moderado</v>
      </c>
      <c r="AJ103" s="186">
        <f t="shared" ref="AJ103" ca="1" si="294">IFERROR(IF(Y103="Impacto",(U103-(+U103*AB103)),IF(Y103="Probabilidad",U103,"")),"")</f>
        <v>0.6</v>
      </c>
      <c r="AK103" s="189" t="str">
        <f t="shared" ca="1" si="277"/>
        <v>Moderado</v>
      </c>
      <c r="AL103" s="185" t="s">
        <v>255</v>
      </c>
      <c r="AM103" s="227"/>
      <c r="AN103" s="230"/>
      <c r="AO103" s="228"/>
      <c r="AP103" s="228"/>
      <c r="AQ103" s="227"/>
      <c r="AR103" s="229"/>
    </row>
    <row r="104" spans="1:44" s="191" customFormat="1" ht="174" customHeight="1" thickTop="1" thickBot="1" x14ac:dyDescent="0.3">
      <c r="A104" s="352"/>
      <c r="B104" s="369"/>
      <c r="C104" s="359"/>
      <c r="D104" s="359"/>
      <c r="E104" s="359"/>
      <c r="F104" s="360"/>
      <c r="G104" s="360"/>
      <c r="H104" s="361"/>
      <c r="I104" s="362"/>
      <c r="J104" s="362"/>
      <c r="K104" s="362"/>
      <c r="L104" s="362"/>
      <c r="M104" s="357"/>
      <c r="N104" s="357"/>
      <c r="O104" s="363"/>
      <c r="P104" s="364"/>
      <c r="Q104" s="365"/>
      <c r="R104" s="365"/>
      <c r="S104" s="365">
        <f ca="1">IF(NOT(ISERROR(MATCH(R104,_xlfn.ANCHORARRAY(H110),0))),#REF!&amp;"Por favor no seleccionar los criterios de impacto",R104)</f>
        <v>0</v>
      </c>
      <c r="T104" s="364"/>
      <c r="U104" s="365"/>
      <c r="V104" s="351"/>
      <c r="W104" s="233">
        <v>2</v>
      </c>
      <c r="X104" s="209" t="s">
        <v>656</v>
      </c>
      <c r="Y104" s="230" t="str">
        <f t="shared" si="271"/>
        <v>Probabilidad</v>
      </c>
      <c r="Z104" s="185" t="s">
        <v>208</v>
      </c>
      <c r="AA104" s="185" t="s">
        <v>216</v>
      </c>
      <c r="AB104" s="186" t="str">
        <f t="shared" si="242"/>
        <v>40%</v>
      </c>
      <c r="AC104" s="185" t="s">
        <v>219</v>
      </c>
      <c r="AD104" s="185" t="s">
        <v>224</v>
      </c>
      <c r="AE104" s="185" t="s">
        <v>228</v>
      </c>
      <c r="AF104" s="187">
        <f t="shared" ref="AF104" si="295">IFERROR(IF(AND(Y103="Probabilidad",Y104="Probabilidad"),(AH103-(+AH103*AB104)),IF(Y104="Probabilidad",(Q103-(+Q103*AB104)),IF(Y104="Impacto",AH103,""))),"")</f>
        <v>0.14399999999999999</v>
      </c>
      <c r="AG104" s="188" t="str">
        <f t="shared" si="273"/>
        <v>Muy Baja</v>
      </c>
      <c r="AH104" s="186">
        <f t="shared" si="274"/>
        <v>0.14399999999999999</v>
      </c>
      <c r="AI104" s="188" t="str">
        <f t="shared" ca="1" si="275"/>
        <v>Moderado</v>
      </c>
      <c r="AJ104" s="186">
        <f t="shared" ref="AJ104" ca="1" si="296">IFERROR(IF(AND(Y103="Impacto",Y104="Impacto"),(AJ103-(+AJ103*AB104)),IF(Y104="Impacto",(U103-(+U103*AB104)),IF(Y104="Probabilidad",AJ103,""))),"")</f>
        <v>0.6</v>
      </c>
      <c r="AK104" s="189" t="str">
        <f t="shared" ca="1" si="277"/>
        <v>Moderado</v>
      </c>
      <c r="AL104" s="185" t="s">
        <v>255</v>
      </c>
      <c r="AM104" s="227"/>
      <c r="AN104" s="230"/>
      <c r="AO104" s="228"/>
      <c r="AP104" s="228"/>
      <c r="AQ104" s="227"/>
      <c r="AR104" s="229"/>
    </row>
    <row r="105" spans="1:44" s="191" customFormat="1" ht="325.5" customHeight="1" thickTop="1" thickBot="1" x14ac:dyDescent="0.3">
      <c r="A105" s="288">
        <v>43</v>
      </c>
      <c r="B105" s="298" t="s">
        <v>1225</v>
      </c>
      <c r="C105" s="291" t="s">
        <v>273</v>
      </c>
      <c r="D105" s="291" t="s">
        <v>638</v>
      </c>
      <c r="E105" s="291" t="s">
        <v>238</v>
      </c>
      <c r="F105" s="292" t="s">
        <v>1226</v>
      </c>
      <c r="G105" s="292" t="s">
        <v>1227</v>
      </c>
      <c r="H105" s="293" t="s">
        <v>1228</v>
      </c>
      <c r="I105" s="294" t="s">
        <v>474</v>
      </c>
      <c r="J105" s="294" t="s">
        <v>474</v>
      </c>
      <c r="K105" s="294" t="s">
        <v>474</v>
      </c>
      <c r="L105" s="294" t="s">
        <v>474</v>
      </c>
      <c r="M105" s="290" t="s">
        <v>239</v>
      </c>
      <c r="N105" s="290"/>
      <c r="O105" s="295">
        <v>4</v>
      </c>
      <c r="P105" s="296" t="str">
        <f t="shared" ref="P105" si="297">IF(O105&lt;=0,"",IF(O105&lt;=2,"Muy Baja",IF(O105&lt;=24,"Baja",IF(O105&lt;=500,"Media",IF(O105&lt;=5000,"Alta","Muy Alta")))))</f>
        <v>Baja</v>
      </c>
      <c r="Q105" s="297">
        <f t="shared" ref="Q105" si="298">IF(P105="","",IF(P105="Muy Baja",0.2,IF(P105="Baja",0.4,IF(P105="Media",0.6,IF(P105="Alta",0.8,IF(P105="Muy Alta",1,))))))</f>
        <v>0.4</v>
      </c>
      <c r="R105" s="297" t="s">
        <v>190</v>
      </c>
      <c r="S105" s="297" t="str">
        <f ca="1">IF(NOT(ISERROR(MATCH(R105,'Tabla Impacto'!$B$221:$B$223,0))),'Tabla Impacto'!$F$223&amp;"Por favor no seleccionar los criterios de impacto(Afectación Económica o presupuestal y Pérdida Reputacional)",R105)</f>
        <v>El riesgo afecta la imagen de la entidad con algunos usuarios de relevancia frente al logro de los objetivos</v>
      </c>
      <c r="T105" s="296" t="str">
        <f ca="1">+IF(OR(S105='[1]Tabla Impacto'!$C$11,S105='[1]Tabla Impacto'!$D$11),"Leve",IF(OR(S105='[1]Tabla Impacto'!$C$12,S105='[1]Tabla Impacto'!$D$12),"Menor",IF(OR(S105='[1]Tabla Impacto'!$C$13,S105='[1]Tabla Impacto'!$D$13),"Moderado",IF(OR(S105='[1]Tabla Impacto'!$C$14,S105='[1]Tabla Impacto'!$D$14),"Mayor",IF(OR(S105='[1]Tabla Impacto'!$C$15,S105='[1]Tabla Impacto'!$D$15),"Catastrófico","")))))</f>
        <v>Moderado</v>
      </c>
      <c r="U105" s="297">
        <f t="shared" ref="U105" ca="1" si="299">IF(T105="","",IF(T105="Leve",0.2,IF(T105="Menor",0.4,IF(T105="Moderado",0.6,IF(T105="Mayor",0.8,IF(T105="Catastrófico",1,))))))</f>
        <v>0.6</v>
      </c>
      <c r="V105" s="287" t="str">
        <f t="shared" ref="V105" ca="1" si="300">IF(OR(AND(P105="Muy Baja",T105="Leve"),AND(P105="Muy Baja",T105="Menor"),AND(P105="Baja",T105="Leve")),"Bajo",IF(OR(AND(P105="Muy baja",T105="Moderado"),AND(P105="Baja",T105="Menor"),AND(P105="Baja",T105="Moderado"),AND(P105="Media",T105="Leve"),AND(P105="Media",T105="Menor"),AND(P105="Media",T105="Moderado"),AND(P105="Alta",T105="Leve"),AND(P105="Alta",T105="Menor")),"Moderado",IF(OR(AND(P105="Muy Baja",T105="Mayor"),AND(P105="Baja",T105="Mayor"),AND(P105="Media",T105="Mayor"),AND(P105="Alta",T105="Moderado"),AND(P105="Alta",T105="Mayor"),AND(P105="Muy Alta",T105="Leve"),AND(P105="Muy Alta",T105="Menor"),AND(P105="Muy Alta",T105="Moderado"),AND(P105="Muy Alta",T105="Mayor")),"Alto",IF(OR(AND(P105="Muy Baja",T105="Catastrófico"),AND(P105="Baja",T105="Catastrófico"),AND(P105="Media",T105="Catastrófico"),AND(P105="Alta",T105="Catastrófico"),AND(P105="Muy Alta",T105="Catastrófico")),"Extremo",""))))</f>
        <v>Moderado</v>
      </c>
      <c r="W105" s="287">
        <v>1</v>
      </c>
      <c r="X105" s="209" t="s">
        <v>1229</v>
      </c>
      <c r="Y105" s="295" t="str">
        <f t="shared" si="271"/>
        <v>Probabilidad</v>
      </c>
      <c r="Z105" s="185" t="s">
        <v>208</v>
      </c>
      <c r="AA105" s="185" t="s">
        <v>216</v>
      </c>
      <c r="AB105" s="186" t="str">
        <f t="shared" ref="AB105" si="301">IF(AND(Z105="Preventivo",AA105="Automático"),"50%",IF(AND(Z105="Preventivo",AA105="Manual"),"40%",IF(AND(Z105="Detectivo",AA105="Automático"),"40%",IF(AND(Z105="Detectivo",AA105="Manual"),"30%",IF(AND(Z105="Correctivo",AA105="Automático"),"35%",IF(AND(Z105="Correctivo",AA105="Manual"),"25%",""))))))</f>
        <v>40%</v>
      </c>
      <c r="AC105" s="185" t="s">
        <v>219</v>
      </c>
      <c r="AD105" s="185" t="s">
        <v>224</v>
      </c>
      <c r="AE105" s="185" t="s">
        <v>228</v>
      </c>
      <c r="AF105" s="187">
        <f>IFERROR(IF(Y105="Probabilidad",(Q105-(+Q105*AB105)),IF(Y105="Impacto",Q105,"")),"")</f>
        <v>0.24</v>
      </c>
      <c r="AG105" s="188" t="str">
        <f t="shared" ref="AG105" si="302">IFERROR(IF(AF105="","",IF(AF105&lt;=0.2,"Muy Baja",IF(AF105&lt;=0.4,"Baja",IF(AF105&lt;=0.6,"Media",IF(AF105&lt;=0.8,"Alta","Muy Alta"))))),"")</f>
        <v>Baja</v>
      </c>
      <c r="AH105" s="186">
        <f t="shared" ref="AH105" si="303">+AF105</f>
        <v>0.24</v>
      </c>
      <c r="AI105" s="188" t="str">
        <f t="shared" ref="AI105" ca="1" si="304">IFERROR(IF(AJ105="","",IF(AJ105&lt;=0.2,"Leve",IF(AJ105&lt;=0.4,"Menor",IF(AJ105&lt;=0.6,"Moderado",IF(AJ105&lt;=0.8,"Mayor","Catastrófico"))))),"")</f>
        <v>Moderado</v>
      </c>
      <c r="AJ105" s="186">
        <f t="shared" ref="AJ105" ca="1" si="305">IFERROR(IF(AND(Y104="Impacto",Y105="Impacto"),(AJ104-(+AJ104*AB105)),IF(Y105="Impacto",(U104-(+U104*AB105)),IF(Y105="Probabilidad",AJ104,""))),"")</f>
        <v>0.6</v>
      </c>
      <c r="AK105" s="189" t="str">
        <f t="shared" ref="AK105" ca="1" si="306">IFERROR(IF(OR(AND(AG105="Muy Baja",AI105="Leve"),AND(AG105="Muy Baja",AI105="Menor"),AND(AG105="Baja",AI105="Leve")),"Bajo",IF(OR(AND(AG105="Muy baja",AI105="Moderado"),AND(AG105="Baja",AI105="Menor"),AND(AG105="Baja",AI105="Moderado"),AND(AG105="Media",AI105="Leve"),AND(AG105="Media",AI105="Menor"),AND(AG105="Media",AI105="Moderado"),AND(AG105="Alta",AI105="Leve"),AND(AG105="Alta",AI105="Menor")),"Moderado",IF(OR(AND(AG105="Muy Baja",AI105="Mayor"),AND(AG105="Baja",AI105="Mayor"),AND(AG105="Media",AI105="Mayor"),AND(AG105="Alta",AI105="Moderado"),AND(AG105="Alta",AI105="Mayor"),AND(AG105="Muy Alta",AI105="Leve"),AND(AG105="Muy Alta",AI105="Menor"),AND(AG105="Muy Alta",AI105="Moderado"),AND(AG105="Muy Alta",AI105="Mayor")),"Alto",IF(OR(AND(AG105="Muy Baja",AI105="Catastrófico"),AND(AG105="Baja",AI105="Catastrófico"),AND(AG105="Media",AI105="Catastrófico"),AND(AG105="Alta",AI105="Catastrófico"),AND(AG105="Muy Alta",AI105="Catastrófico")),"Extremo","")))),"")</f>
        <v>Moderado</v>
      </c>
      <c r="AL105" s="185" t="s">
        <v>255</v>
      </c>
      <c r="AM105" s="290"/>
      <c r="AN105" s="295"/>
      <c r="AO105" s="299"/>
      <c r="AP105" s="299"/>
      <c r="AQ105" s="290"/>
      <c r="AR105" s="300"/>
    </row>
    <row r="106" spans="1:44" s="191" customFormat="1" ht="152.25" customHeight="1" thickTop="1" thickBot="1" x14ac:dyDescent="0.3">
      <c r="A106" s="352">
        <v>44</v>
      </c>
      <c r="B106" s="369" t="s">
        <v>657</v>
      </c>
      <c r="C106" s="357" t="s">
        <v>274</v>
      </c>
      <c r="D106" s="357" t="s">
        <v>658</v>
      </c>
      <c r="E106" s="357" t="s">
        <v>240</v>
      </c>
      <c r="F106" s="375" t="s">
        <v>659</v>
      </c>
      <c r="G106" s="375" t="s">
        <v>660</v>
      </c>
      <c r="H106" s="374" t="s">
        <v>1139</v>
      </c>
      <c r="I106" s="362" t="s">
        <v>474</v>
      </c>
      <c r="J106" s="362" t="s">
        <v>474</v>
      </c>
      <c r="K106" s="362" t="s">
        <v>474</v>
      </c>
      <c r="L106" s="362" t="s">
        <v>474</v>
      </c>
      <c r="M106" s="357" t="s">
        <v>239</v>
      </c>
      <c r="N106" s="357"/>
      <c r="O106" s="363">
        <v>4000</v>
      </c>
      <c r="P106" s="364" t="str">
        <f t="shared" si="267"/>
        <v>Alta</v>
      </c>
      <c r="Q106" s="365">
        <f t="shared" si="268"/>
        <v>0.8</v>
      </c>
      <c r="R106" s="365" t="s">
        <v>187</v>
      </c>
      <c r="S106" s="365" t="str">
        <f ca="1">IF(NOT(ISERROR(MATCH(R106,'Tabla Impacto'!$B$221:$B$223,0))),'Tabla Impacto'!$F$223&amp;"Por favor no seleccionar los criterios de impacto(Afectación Económica o presupuestal y Pérdida Reputacional)",R106)</f>
        <v>El riesgo afecta la imagen de la entidad internamente, de conocimiento general, nivel interno, de junta dircetiva y accionistas y/o de provedores</v>
      </c>
      <c r="T106" s="364" t="str">
        <f ca="1">+IF(OR(S106='[1]Tabla Impacto'!$C$11,S106='[1]Tabla Impacto'!$D$11),"Leve",IF(OR(S106='[1]Tabla Impacto'!$C$12,S106='[1]Tabla Impacto'!$D$12),"Menor",IF(OR(S106='[1]Tabla Impacto'!$C$13,S106='[1]Tabla Impacto'!$D$13),"Moderado",IF(OR(S106='[1]Tabla Impacto'!$C$14,S106='[1]Tabla Impacto'!$D$14),"Mayor",IF(OR(S106='[1]Tabla Impacto'!$C$15,S106='[1]Tabla Impacto'!$D$15),"Catastrófico","")))))</f>
        <v>Menor</v>
      </c>
      <c r="U106" s="365">
        <f t="shared" ref="U106" ca="1" si="307">IF(T106="","",IF(T106="Leve",0.2,IF(T106="Menor",0.4,IF(T106="Moderado",0.6,IF(T106="Mayor",0.8,IF(T106="Catastrófico",1,))))))</f>
        <v>0.4</v>
      </c>
      <c r="V106" s="351" t="str">
        <f t="shared" ref="V106" ca="1" si="308">IF(OR(AND(P106="Muy Baja",T106="Leve"),AND(P106="Muy Baja",T106="Menor"),AND(P106="Baja",T106="Leve")),"Bajo",IF(OR(AND(P106="Muy baja",T106="Moderado"),AND(P106="Baja",T106="Menor"),AND(P106="Baja",T106="Moderado"),AND(P106="Media",T106="Leve"),AND(P106="Media",T106="Menor"),AND(P106="Media",T106="Moderado"),AND(P106="Alta",T106="Leve"),AND(P106="Alta",T106="Menor")),"Moderado",IF(OR(AND(P106="Muy Baja",T106="Mayor"),AND(P106="Baja",T106="Mayor"),AND(P106="Media",T106="Mayor"),AND(P106="Alta",T106="Moderado"),AND(P106="Alta",T106="Mayor"),AND(P106="Muy Alta",T106="Leve"),AND(P106="Muy Alta",T106="Menor"),AND(P106="Muy Alta",T106="Moderado"),AND(P106="Muy Alta",T106="Mayor")),"Alto",IF(OR(AND(P106="Muy Baja",T106="Catastrófico"),AND(P106="Baja",T106="Catastrófico"),AND(P106="Media",T106="Catastrófico"),AND(P106="Alta",T106="Catastrófico"),AND(P106="Muy Alta",T106="Catastrófico")),"Extremo",""))))</f>
        <v>Moderado</v>
      </c>
      <c r="W106" s="233">
        <v>1</v>
      </c>
      <c r="X106" s="210" t="s">
        <v>1032</v>
      </c>
      <c r="Y106" s="230" t="str">
        <f t="shared" si="271"/>
        <v>Probabilidad</v>
      </c>
      <c r="Z106" s="185" t="s">
        <v>208</v>
      </c>
      <c r="AA106" s="185" t="s">
        <v>216</v>
      </c>
      <c r="AB106" s="186" t="str">
        <f t="shared" si="242"/>
        <v>40%</v>
      </c>
      <c r="AC106" s="185" t="s">
        <v>219</v>
      </c>
      <c r="AD106" s="185" t="s">
        <v>224</v>
      </c>
      <c r="AE106" s="185" t="s">
        <v>228</v>
      </c>
      <c r="AF106" s="187">
        <f t="shared" ref="AF106" si="309">IFERROR(IF(Y106="Probabilidad",(Q106-(+Q106*AB106)),IF(Y106="Impacto",Q106,"")),"")</f>
        <v>0.48</v>
      </c>
      <c r="AG106" s="188" t="str">
        <f t="shared" si="273"/>
        <v>Media</v>
      </c>
      <c r="AH106" s="186">
        <f t="shared" si="274"/>
        <v>0.48</v>
      </c>
      <c r="AI106" s="188" t="str">
        <f t="shared" ca="1" si="275"/>
        <v>Menor</v>
      </c>
      <c r="AJ106" s="186">
        <f t="shared" ref="AJ106" ca="1" si="310">IFERROR(IF(Y106="Impacto",(U106-(+U106*AB106)),IF(Y106="Probabilidad",U106,"")),"")</f>
        <v>0.4</v>
      </c>
      <c r="AK106" s="189" t="str">
        <f t="shared" ca="1" si="277"/>
        <v>Moderado</v>
      </c>
      <c r="AL106" s="185" t="s">
        <v>255</v>
      </c>
      <c r="AM106" s="227"/>
      <c r="AN106" s="230"/>
      <c r="AO106" s="228"/>
      <c r="AP106" s="228"/>
      <c r="AQ106" s="227"/>
      <c r="AR106" s="229"/>
    </row>
    <row r="107" spans="1:44" s="191" customFormat="1" ht="149.25" customHeight="1" thickTop="1" thickBot="1" x14ac:dyDescent="0.3">
      <c r="A107" s="352"/>
      <c r="B107" s="369"/>
      <c r="C107" s="357"/>
      <c r="D107" s="357"/>
      <c r="E107" s="357"/>
      <c r="F107" s="375"/>
      <c r="G107" s="375"/>
      <c r="H107" s="374"/>
      <c r="I107" s="362"/>
      <c r="J107" s="362"/>
      <c r="K107" s="362"/>
      <c r="L107" s="362"/>
      <c r="M107" s="357"/>
      <c r="N107" s="357"/>
      <c r="O107" s="363"/>
      <c r="P107" s="364"/>
      <c r="Q107" s="365"/>
      <c r="R107" s="365"/>
      <c r="S107" s="365">
        <f ca="1">IF(NOT(ISERROR(MATCH(R107,_xlfn.ANCHORARRAY(H111),0))),#REF!&amp;"Por favor no seleccionar los criterios de impacto",R107)</f>
        <v>0</v>
      </c>
      <c r="T107" s="364"/>
      <c r="U107" s="365"/>
      <c r="V107" s="351"/>
      <c r="W107" s="233">
        <v>2</v>
      </c>
      <c r="X107" s="208" t="s">
        <v>661</v>
      </c>
      <c r="Y107" s="230" t="str">
        <f t="shared" si="271"/>
        <v>Probabilidad</v>
      </c>
      <c r="Z107" s="185" t="s">
        <v>208</v>
      </c>
      <c r="AA107" s="185" t="s">
        <v>216</v>
      </c>
      <c r="AB107" s="186" t="str">
        <f t="shared" si="242"/>
        <v>40%</v>
      </c>
      <c r="AC107" s="185" t="s">
        <v>219</v>
      </c>
      <c r="AD107" s="185" t="s">
        <v>224</v>
      </c>
      <c r="AE107" s="185" t="s">
        <v>228</v>
      </c>
      <c r="AF107" s="187">
        <f t="shared" ref="AF107:AF109" si="311">IFERROR(IF(AND(Y106="Probabilidad",Y107="Probabilidad"),(AH106-(+AH106*AB107)),IF(Y107="Probabilidad",(Q106-(+Q106*AB107)),IF(Y107="Impacto",AH106,""))),"")</f>
        <v>0.28799999999999998</v>
      </c>
      <c r="AG107" s="188" t="str">
        <f t="shared" si="273"/>
        <v>Baja</v>
      </c>
      <c r="AH107" s="186">
        <f t="shared" si="274"/>
        <v>0.28799999999999998</v>
      </c>
      <c r="AI107" s="188" t="str">
        <f t="shared" ca="1" si="275"/>
        <v>Menor</v>
      </c>
      <c r="AJ107" s="186">
        <f t="shared" ref="AJ107" ca="1" si="312">IFERROR(IF(AND(Y106="Impacto",Y107="Impacto"),(AJ106-(+AJ106*AB107)),IF(Y107="Impacto",(U106-(+U106*AB107)),IF(Y107="Probabilidad",AJ106,""))),"")</f>
        <v>0.4</v>
      </c>
      <c r="AK107" s="189" t="str">
        <f t="shared" ca="1" si="277"/>
        <v>Moderado</v>
      </c>
      <c r="AL107" s="185" t="s">
        <v>255</v>
      </c>
      <c r="AM107" s="227"/>
      <c r="AN107" s="230"/>
      <c r="AO107" s="228"/>
      <c r="AP107" s="228"/>
      <c r="AQ107" s="227"/>
      <c r="AR107" s="229"/>
    </row>
    <row r="108" spans="1:44" s="191" customFormat="1" ht="139.5" customHeight="1" thickTop="1" thickBot="1" x14ac:dyDescent="0.3">
      <c r="A108" s="352"/>
      <c r="B108" s="369"/>
      <c r="C108" s="357"/>
      <c r="D108" s="357"/>
      <c r="E108" s="357"/>
      <c r="F108" s="375"/>
      <c r="G108" s="375"/>
      <c r="H108" s="374"/>
      <c r="I108" s="362"/>
      <c r="J108" s="362"/>
      <c r="K108" s="362"/>
      <c r="L108" s="362"/>
      <c r="M108" s="357"/>
      <c r="N108" s="357"/>
      <c r="O108" s="363"/>
      <c r="P108" s="364"/>
      <c r="Q108" s="365"/>
      <c r="R108" s="365"/>
      <c r="S108" s="365">
        <f ca="1">IF(NOT(ISERROR(MATCH(R108,_xlfn.ANCHORARRAY(#REF!),0))),#REF!&amp;"Por favor no seleccionar los criterios de impacto",R108)</f>
        <v>0</v>
      </c>
      <c r="T108" s="364"/>
      <c r="U108" s="365"/>
      <c r="V108" s="351"/>
      <c r="W108" s="233">
        <v>3</v>
      </c>
      <c r="X108" s="210" t="s">
        <v>1033</v>
      </c>
      <c r="Y108" s="230" t="str">
        <f t="shared" si="271"/>
        <v>Probabilidad</v>
      </c>
      <c r="Z108" s="185" t="s">
        <v>208</v>
      </c>
      <c r="AA108" s="185" t="s">
        <v>216</v>
      </c>
      <c r="AB108" s="186" t="str">
        <f t="shared" si="242"/>
        <v>40%</v>
      </c>
      <c r="AC108" s="185" t="s">
        <v>219</v>
      </c>
      <c r="AD108" s="185" t="s">
        <v>224</v>
      </c>
      <c r="AE108" s="185" t="s">
        <v>228</v>
      </c>
      <c r="AF108" s="187">
        <f t="shared" si="311"/>
        <v>0.17279999999999998</v>
      </c>
      <c r="AG108" s="188" t="str">
        <f t="shared" si="273"/>
        <v>Muy Baja</v>
      </c>
      <c r="AH108" s="186">
        <f t="shared" si="274"/>
        <v>0.17279999999999998</v>
      </c>
      <c r="AI108" s="188" t="str">
        <f t="shared" ca="1" si="275"/>
        <v>Menor</v>
      </c>
      <c r="AJ108" s="186">
        <f t="shared" ref="AJ108:AJ109" ca="1" si="313">IFERROR(IF(AND(Y107="Impacto",Y108="Impacto"),(AJ107-(+AJ107*AB108)),IF(AND(Y107="Probabilidad",Y108="Impacto"),(AJ106-(+AJ106*AB108)),IF(Y108="Probabilidad",AJ107,""))),"")</f>
        <v>0.4</v>
      </c>
      <c r="AK108" s="189" t="str">
        <f t="shared" ca="1" si="277"/>
        <v>Bajo</v>
      </c>
      <c r="AL108" s="185" t="s">
        <v>255</v>
      </c>
      <c r="AM108" s="227"/>
      <c r="AN108" s="230"/>
      <c r="AO108" s="228"/>
      <c r="AP108" s="228"/>
      <c r="AQ108" s="227"/>
      <c r="AR108" s="229"/>
    </row>
    <row r="109" spans="1:44" s="191" customFormat="1" ht="125.25" customHeight="1" thickTop="1" thickBot="1" x14ac:dyDescent="0.3">
      <c r="A109" s="352"/>
      <c r="B109" s="369"/>
      <c r="C109" s="357"/>
      <c r="D109" s="357"/>
      <c r="E109" s="357"/>
      <c r="F109" s="375"/>
      <c r="G109" s="375"/>
      <c r="H109" s="374"/>
      <c r="I109" s="362"/>
      <c r="J109" s="362"/>
      <c r="K109" s="362"/>
      <c r="L109" s="362"/>
      <c r="M109" s="357"/>
      <c r="N109" s="357"/>
      <c r="O109" s="363"/>
      <c r="P109" s="364"/>
      <c r="Q109" s="365"/>
      <c r="R109" s="365"/>
      <c r="S109" s="365">
        <f ca="1">IF(NOT(ISERROR(MATCH(R109,_xlfn.ANCHORARRAY(#REF!),0))),#REF!&amp;"Por favor no seleccionar los criterios de impacto",R109)</f>
        <v>0</v>
      </c>
      <c r="T109" s="364"/>
      <c r="U109" s="365"/>
      <c r="V109" s="351"/>
      <c r="W109" s="233">
        <v>4</v>
      </c>
      <c r="X109" s="210" t="s">
        <v>1034</v>
      </c>
      <c r="Y109" s="230" t="str">
        <f t="shared" si="271"/>
        <v>Probabilidad</v>
      </c>
      <c r="Z109" s="185" t="s">
        <v>208</v>
      </c>
      <c r="AA109" s="185" t="s">
        <v>216</v>
      </c>
      <c r="AB109" s="186" t="str">
        <f t="shared" si="242"/>
        <v>40%</v>
      </c>
      <c r="AC109" s="185" t="s">
        <v>219</v>
      </c>
      <c r="AD109" s="185" t="s">
        <v>224</v>
      </c>
      <c r="AE109" s="185" t="s">
        <v>228</v>
      </c>
      <c r="AF109" s="187">
        <f t="shared" si="311"/>
        <v>0.10367999999999998</v>
      </c>
      <c r="AG109" s="188" t="str">
        <f t="shared" si="273"/>
        <v>Muy Baja</v>
      </c>
      <c r="AH109" s="186">
        <f t="shared" si="274"/>
        <v>0.10367999999999998</v>
      </c>
      <c r="AI109" s="188" t="str">
        <f t="shared" ca="1" si="275"/>
        <v>Menor</v>
      </c>
      <c r="AJ109" s="186">
        <f t="shared" ca="1" si="313"/>
        <v>0.4</v>
      </c>
      <c r="AK109" s="189" t="str">
        <f t="shared" ca="1" si="277"/>
        <v>Bajo</v>
      </c>
      <c r="AL109" s="185" t="s">
        <v>255</v>
      </c>
      <c r="AM109" s="227"/>
      <c r="AN109" s="230"/>
      <c r="AO109" s="228"/>
      <c r="AP109" s="228"/>
      <c r="AQ109" s="227"/>
      <c r="AR109" s="229"/>
    </row>
    <row r="110" spans="1:44" s="191" customFormat="1" ht="189.75" customHeight="1" thickTop="1" thickBot="1" x14ac:dyDescent="0.3">
      <c r="A110" s="226">
        <v>45</v>
      </c>
      <c r="B110" s="242" t="s">
        <v>662</v>
      </c>
      <c r="C110" s="237" t="s">
        <v>274</v>
      </c>
      <c r="D110" s="243" t="s">
        <v>663</v>
      </c>
      <c r="E110" s="237" t="s">
        <v>240</v>
      </c>
      <c r="F110" s="238" t="s">
        <v>664</v>
      </c>
      <c r="G110" s="238" t="s">
        <v>665</v>
      </c>
      <c r="H110" s="252" t="s">
        <v>1140</v>
      </c>
      <c r="I110" s="231" t="s">
        <v>474</v>
      </c>
      <c r="J110" s="231" t="s">
        <v>474</v>
      </c>
      <c r="K110" s="231" t="s">
        <v>474</v>
      </c>
      <c r="L110" s="231" t="s">
        <v>474</v>
      </c>
      <c r="M110" s="227" t="s">
        <v>239</v>
      </c>
      <c r="N110" s="227"/>
      <c r="O110" s="230">
        <v>365</v>
      </c>
      <c r="P110" s="232" t="str">
        <f t="shared" si="267"/>
        <v>Media</v>
      </c>
      <c r="Q110" s="225">
        <f t="shared" si="268"/>
        <v>0.6</v>
      </c>
      <c r="R110" s="225" t="s">
        <v>184</v>
      </c>
      <c r="S110" s="225" t="str">
        <f ca="1">IF(NOT(ISERROR(MATCH(R110,'Tabla Impacto'!$B$221:$B$223,0))),'Tabla Impacto'!$F$223&amp;"Por favor no seleccionar los criterios de impacto(Afectación Económica o presupuestal y Pérdida Reputacional)",R110)</f>
        <v>El riesgo afecta la imagen de alguna área de la organización</v>
      </c>
      <c r="T110" s="232" t="str">
        <f ca="1">+IF(OR(S110='[1]Tabla Impacto'!$C$11,S110='[1]Tabla Impacto'!$D$11),"Leve",IF(OR(S110='[1]Tabla Impacto'!$C$12,S110='[1]Tabla Impacto'!$D$12),"Menor",IF(OR(S110='[1]Tabla Impacto'!$C$13,S110='[1]Tabla Impacto'!$D$13),"Moderado",IF(OR(S110='[1]Tabla Impacto'!$C$14,S110='[1]Tabla Impacto'!$D$14),"Mayor",IF(OR(S110='[1]Tabla Impacto'!$C$15,S110='[1]Tabla Impacto'!$D$15),"Catastrófico","")))))</f>
        <v>Leve</v>
      </c>
      <c r="U110" s="225">
        <f t="shared" ref="U110" ca="1" si="314">IF(T110="","",IF(T110="Leve",0.2,IF(T110="Menor",0.4,IF(T110="Moderado",0.6,IF(T110="Mayor",0.8,IF(T110="Catastrófico",1,))))))</f>
        <v>0.2</v>
      </c>
      <c r="V110" s="233" t="str">
        <f t="shared" ref="V110" ca="1" si="315">IF(OR(AND(P110="Muy Baja",T110="Leve"),AND(P110="Muy Baja",T110="Menor"),AND(P110="Baja",T110="Leve")),"Bajo",IF(OR(AND(P110="Muy baja",T110="Moderado"),AND(P110="Baja",T110="Menor"),AND(P110="Baja",T110="Moderado"),AND(P110="Media",T110="Leve"),AND(P110="Media",T110="Menor"),AND(P110="Media",T110="Moderado"),AND(P110="Alta",T110="Leve"),AND(P110="Alta",T110="Menor")),"Moderado",IF(OR(AND(P110="Muy Baja",T110="Mayor"),AND(P110="Baja",T110="Mayor"),AND(P110="Media",T110="Mayor"),AND(P110="Alta",T110="Moderado"),AND(P110="Alta",T110="Mayor"),AND(P110="Muy Alta",T110="Leve"),AND(P110="Muy Alta",T110="Menor"),AND(P110="Muy Alta",T110="Moderado"),AND(P110="Muy Alta",T110="Mayor")),"Alto",IF(OR(AND(P110="Muy Baja",T110="Catastrófico"),AND(P110="Baja",T110="Catastrófico"),AND(P110="Media",T110="Catastrófico"),AND(P110="Alta",T110="Catastrófico"),AND(P110="Muy Alta",T110="Catastrófico")),"Extremo",""))))</f>
        <v>Moderado</v>
      </c>
      <c r="W110" s="233">
        <v>1</v>
      </c>
      <c r="X110" s="207" t="s">
        <v>1035</v>
      </c>
      <c r="Y110" s="230" t="str">
        <f t="shared" si="271"/>
        <v>Probabilidad</v>
      </c>
      <c r="Z110" s="185" t="s">
        <v>208</v>
      </c>
      <c r="AA110" s="185" t="s">
        <v>216</v>
      </c>
      <c r="AB110" s="186" t="str">
        <f t="shared" si="242"/>
        <v>40%</v>
      </c>
      <c r="AC110" s="185" t="s">
        <v>219</v>
      </c>
      <c r="AD110" s="185" t="s">
        <v>224</v>
      </c>
      <c r="AE110" s="185" t="s">
        <v>228</v>
      </c>
      <c r="AF110" s="187">
        <f t="shared" ref="AF110" si="316">IFERROR(IF(Y110="Probabilidad",(Q110-(+Q110*AB110)),IF(Y110="Impacto",Q110,"")),"")</f>
        <v>0.36</v>
      </c>
      <c r="AG110" s="188" t="str">
        <f t="shared" si="273"/>
        <v>Baja</v>
      </c>
      <c r="AH110" s="186">
        <f t="shared" si="274"/>
        <v>0.36</v>
      </c>
      <c r="AI110" s="188" t="str">
        <f t="shared" ca="1" si="275"/>
        <v>Leve</v>
      </c>
      <c r="AJ110" s="186">
        <f t="shared" ref="AJ110" ca="1" si="317">IFERROR(IF(Y110="Impacto",(U110-(+U110*AB110)),IF(Y110="Probabilidad",U110,"")),"")</f>
        <v>0.2</v>
      </c>
      <c r="AK110" s="189" t="str">
        <f t="shared" ca="1" si="277"/>
        <v>Bajo</v>
      </c>
      <c r="AL110" s="185" t="s">
        <v>255</v>
      </c>
      <c r="AM110" s="227"/>
      <c r="AN110" s="230"/>
      <c r="AO110" s="228"/>
      <c r="AP110" s="228"/>
      <c r="AQ110" s="227"/>
      <c r="AR110" s="229"/>
    </row>
    <row r="111" spans="1:44" s="191" customFormat="1" ht="409.5" customHeight="1" thickTop="1" thickBot="1" x14ac:dyDescent="0.3">
      <c r="A111" s="226">
        <v>46</v>
      </c>
      <c r="B111" s="242" t="s">
        <v>666</v>
      </c>
      <c r="C111" s="237" t="s">
        <v>274</v>
      </c>
      <c r="D111" s="243" t="s">
        <v>667</v>
      </c>
      <c r="E111" s="237" t="s">
        <v>240</v>
      </c>
      <c r="F111" s="238" t="s">
        <v>611</v>
      </c>
      <c r="G111" s="238" t="s">
        <v>668</v>
      </c>
      <c r="H111" s="252" t="s">
        <v>1183</v>
      </c>
      <c r="I111" s="231" t="s">
        <v>593</v>
      </c>
      <c r="J111" s="231" t="s">
        <v>593</v>
      </c>
      <c r="K111" s="231" t="s">
        <v>593</v>
      </c>
      <c r="L111" s="231" t="s">
        <v>593</v>
      </c>
      <c r="M111" s="239" t="s">
        <v>244</v>
      </c>
      <c r="N111" s="227"/>
      <c r="O111" s="230">
        <v>365</v>
      </c>
      <c r="P111" s="232" t="str">
        <f t="shared" si="267"/>
        <v>Media</v>
      </c>
      <c r="Q111" s="225">
        <f t="shared" si="268"/>
        <v>0.6</v>
      </c>
      <c r="R111" s="225" t="s">
        <v>190</v>
      </c>
      <c r="S111" s="225" t="str">
        <f ca="1">IF(NOT(ISERROR(MATCH(R111,'Tabla Impacto'!$B$221:$B$223,0))),'Tabla Impacto'!$F$223&amp;"Por favor no seleccionar los criterios de impacto(Afectación Económica o presupuestal y Pérdida Reputacional)",R111)</f>
        <v>El riesgo afecta la imagen de la entidad con algunos usuarios de relevancia frente al logro de los objetivos</v>
      </c>
      <c r="T111" s="232" t="str">
        <f ca="1">+IF(OR(S111='[1]Tabla Impacto'!$C$11,S111='[1]Tabla Impacto'!$D$11),"Leve",IF(OR(S111='[1]Tabla Impacto'!$C$12,S111='[1]Tabla Impacto'!$D$12),"Menor",IF(OR(S111='[1]Tabla Impacto'!$C$13,S111='[1]Tabla Impacto'!$D$13),"Moderado",IF(OR(S111='[1]Tabla Impacto'!$C$14,S111='[1]Tabla Impacto'!$D$14),"Mayor",IF(OR(S111='[1]Tabla Impacto'!$C$15,S111='[1]Tabla Impacto'!$D$15),"Catastrófico","")))))</f>
        <v>Moderado</v>
      </c>
      <c r="U111" s="225">
        <f t="shared" ref="U111" ca="1" si="318">IF(T111="","",IF(T111="Leve",0.2,IF(T111="Menor",0.4,IF(T111="Moderado",0.6,IF(T111="Mayor",0.8,IF(T111="Catastrófico",1,))))))</f>
        <v>0.6</v>
      </c>
      <c r="V111" s="233" t="str">
        <f t="shared" ref="V111" ca="1" si="319">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Moderado</v>
      </c>
      <c r="W111" s="233">
        <v>1</v>
      </c>
      <c r="X111" s="207" t="s">
        <v>942</v>
      </c>
      <c r="Y111" s="230" t="str">
        <f t="shared" si="271"/>
        <v>Probabilidad</v>
      </c>
      <c r="Z111" s="185" t="s">
        <v>208</v>
      </c>
      <c r="AA111" s="185" t="s">
        <v>216</v>
      </c>
      <c r="AB111" s="186" t="str">
        <f t="shared" ref="AB111:AB135" si="320">IF(AND(Z111="Preventivo",AA111="Automático"),"50%",IF(AND(Z111="Preventivo",AA111="Manual"),"40%",IF(AND(Z111="Detectivo",AA111="Automático"),"40%",IF(AND(Z111="Detectivo",AA111="Manual"),"30%",IF(AND(Z111="Correctivo",AA111="Automático"),"35%",IF(AND(Z111="Correctivo",AA111="Manual"),"25%",""))))))</f>
        <v>40%</v>
      </c>
      <c r="AC111" s="185" t="s">
        <v>219</v>
      </c>
      <c r="AD111" s="185" t="s">
        <v>224</v>
      </c>
      <c r="AE111" s="185" t="s">
        <v>228</v>
      </c>
      <c r="AF111" s="187">
        <f t="shared" ref="AF111" si="321">IFERROR(IF(Y111="Probabilidad",(Q111-(+Q111*AB111)),IF(Y111="Impacto",Q111,"")),"")</f>
        <v>0.36</v>
      </c>
      <c r="AG111" s="188" t="str">
        <f t="shared" si="273"/>
        <v>Baja</v>
      </c>
      <c r="AH111" s="186">
        <f t="shared" si="274"/>
        <v>0.36</v>
      </c>
      <c r="AI111" s="188" t="str">
        <f t="shared" ca="1" si="275"/>
        <v>Moderado</v>
      </c>
      <c r="AJ111" s="186">
        <f t="shared" ref="AJ111" ca="1" si="322">IFERROR(IF(Y111="Impacto",(U111-(+U111*AB111)),IF(Y111="Probabilidad",U111,"")),"")</f>
        <v>0.6</v>
      </c>
      <c r="AK111" s="189" t="str">
        <f t="shared" ca="1" si="277"/>
        <v>Moderado</v>
      </c>
      <c r="AL111" s="185" t="s">
        <v>255</v>
      </c>
      <c r="AM111" s="227"/>
      <c r="AN111" s="230"/>
      <c r="AO111" s="228"/>
      <c r="AP111" s="228"/>
      <c r="AQ111" s="227"/>
      <c r="AR111" s="229"/>
    </row>
    <row r="112" spans="1:44" s="191" customFormat="1" ht="267" customHeight="1" thickTop="1" thickBot="1" x14ac:dyDescent="0.3">
      <c r="A112" s="226">
        <v>47</v>
      </c>
      <c r="B112" s="242" t="s">
        <v>669</v>
      </c>
      <c r="C112" s="237" t="s">
        <v>274</v>
      </c>
      <c r="D112" s="243" t="s">
        <v>667</v>
      </c>
      <c r="E112" s="237" t="s">
        <v>238</v>
      </c>
      <c r="F112" s="238" t="s">
        <v>670</v>
      </c>
      <c r="G112" s="238" t="s">
        <v>671</v>
      </c>
      <c r="H112" s="252" t="s">
        <v>1141</v>
      </c>
      <c r="I112" s="231" t="s">
        <v>474</v>
      </c>
      <c r="J112" s="231" t="s">
        <v>474</v>
      </c>
      <c r="K112" s="231" t="s">
        <v>474</v>
      </c>
      <c r="L112" s="231" t="s">
        <v>474</v>
      </c>
      <c r="M112" s="227" t="s">
        <v>239</v>
      </c>
      <c r="N112" s="227"/>
      <c r="O112" s="230">
        <v>1</v>
      </c>
      <c r="P112" s="232" t="str">
        <f t="shared" si="267"/>
        <v>Muy Baja</v>
      </c>
      <c r="Q112" s="225">
        <f t="shared" si="268"/>
        <v>0.2</v>
      </c>
      <c r="R112" s="225" t="s">
        <v>187</v>
      </c>
      <c r="S112" s="225" t="str">
        <f ca="1">IF(NOT(ISERROR(MATCH(R112,'Tabla Impacto'!$B$221:$B$223,0))),'Tabla Impacto'!$F$223&amp;"Por favor no seleccionar los criterios de impacto(Afectación Económica o presupuestal y Pérdida Reputacional)",R112)</f>
        <v>El riesgo afecta la imagen de la entidad internamente, de conocimiento general, nivel interno, de junta dircetiva y accionistas y/o de provedores</v>
      </c>
      <c r="T112" s="232" t="str">
        <f ca="1">+IF(OR(S112='[1]Tabla Impacto'!$C$11,S112='[1]Tabla Impacto'!$D$11),"Leve",IF(OR(S112='[1]Tabla Impacto'!$C$12,S112='[1]Tabla Impacto'!$D$12),"Menor",IF(OR(S112='[1]Tabla Impacto'!$C$13,S112='[1]Tabla Impacto'!$D$13),"Moderado",IF(OR(S112='[1]Tabla Impacto'!$C$14,S112='[1]Tabla Impacto'!$D$14),"Mayor",IF(OR(S112='[1]Tabla Impacto'!$C$15,S112='[1]Tabla Impacto'!$D$15),"Catastrófico","")))))</f>
        <v>Menor</v>
      </c>
      <c r="U112" s="225">
        <f t="shared" ref="U112" ca="1" si="323">IF(T112="","",IF(T112="Leve",0.2,IF(T112="Menor",0.4,IF(T112="Moderado",0.6,IF(T112="Mayor",0.8,IF(T112="Catastrófico",1,))))))</f>
        <v>0.4</v>
      </c>
      <c r="V112" s="233" t="str">
        <f t="shared" ref="V112" ca="1" si="324">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Bajo</v>
      </c>
      <c r="W112" s="233">
        <v>1</v>
      </c>
      <c r="X112" s="207" t="s">
        <v>672</v>
      </c>
      <c r="Y112" s="230" t="str">
        <f t="shared" si="271"/>
        <v>Probabilidad</v>
      </c>
      <c r="Z112" s="185" t="s">
        <v>208</v>
      </c>
      <c r="AA112" s="185" t="s">
        <v>216</v>
      </c>
      <c r="AB112" s="186" t="str">
        <f t="shared" si="320"/>
        <v>40%</v>
      </c>
      <c r="AC112" s="185" t="s">
        <v>219</v>
      </c>
      <c r="AD112" s="185" t="s">
        <v>224</v>
      </c>
      <c r="AE112" s="185" t="s">
        <v>228</v>
      </c>
      <c r="AF112" s="187">
        <f t="shared" ref="AF112" si="325">IFERROR(IF(Y112="Probabilidad",(Q112-(+Q112*AB112)),IF(Y112="Impacto",Q112,"")),"")</f>
        <v>0.12</v>
      </c>
      <c r="AG112" s="188" t="str">
        <f t="shared" si="273"/>
        <v>Muy Baja</v>
      </c>
      <c r="AH112" s="186">
        <f t="shared" si="274"/>
        <v>0.12</v>
      </c>
      <c r="AI112" s="188" t="str">
        <f t="shared" ca="1" si="275"/>
        <v>Menor</v>
      </c>
      <c r="AJ112" s="186">
        <f t="shared" ref="AJ112" ca="1" si="326">IFERROR(IF(Y112="Impacto",(U112-(+U112*AB112)),IF(Y112="Probabilidad",U112,"")),"")</f>
        <v>0.4</v>
      </c>
      <c r="AK112" s="189" t="str">
        <f t="shared" ca="1" si="277"/>
        <v>Bajo</v>
      </c>
      <c r="AL112" s="185" t="s">
        <v>255</v>
      </c>
      <c r="AM112" s="227"/>
      <c r="AN112" s="230"/>
      <c r="AO112" s="228"/>
      <c r="AP112" s="228"/>
      <c r="AQ112" s="227"/>
      <c r="AR112" s="229"/>
    </row>
    <row r="113" spans="1:44" s="191" customFormat="1" ht="172.5" customHeight="1" thickTop="1" thickBot="1" x14ac:dyDescent="0.3">
      <c r="A113" s="352">
        <v>48</v>
      </c>
      <c r="B113" s="369" t="s">
        <v>673</v>
      </c>
      <c r="C113" s="359" t="s">
        <v>274</v>
      </c>
      <c r="D113" s="359" t="s">
        <v>674</v>
      </c>
      <c r="E113" s="359" t="s">
        <v>240</v>
      </c>
      <c r="F113" s="360" t="s">
        <v>675</v>
      </c>
      <c r="G113" s="360" t="s">
        <v>676</v>
      </c>
      <c r="H113" s="361" t="s">
        <v>1142</v>
      </c>
      <c r="I113" s="362" t="s">
        <v>593</v>
      </c>
      <c r="J113" s="362" t="s">
        <v>593</v>
      </c>
      <c r="K113" s="362" t="s">
        <v>593</v>
      </c>
      <c r="L113" s="362" t="s">
        <v>593</v>
      </c>
      <c r="M113" s="357" t="s">
        <v>239</v>
      </c>
      <c r="N113" s="357"/>
      <c r="O113" s="363">
        <v>365</v>
      </c>
      <c r="P113" s="364" t="str">
        <f t="shared" si="267"/>
        <v>Media</v>
      </c>
      <c r="Q113" s="365">
        <f t="shared" si="268"/>
        <v>0.6</v>
      </c>
      <c r="R113" s="365" t="s">
        <v>186</v>
      </c>
      <c r="S113" s="365" t="str">
        <f ca="1">IF(NOT(ISERROR(MATCH(R113,'Tabla Impacto'!$B$221:$B$223,0))),'Tabla Impacto'!$F$223&amp;"Por favor no seleccionar los criterios de impacto(Afectación Económica o presupuestal y Pérdida Reputacional)",R113)</f>
        <v xml:space="preserve">Entre 10 y 50 SMLMV </v>
      </c>
      <c r="T113" s="364"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365">
        <f t="shared" ref="U113" ca="1" si="327">IF(T113="","",IF(T113="Leve",0.2,IF(T113="Menor",0.4,IF(T113="Moderado",0.6,IF(T113="Mayor",0.8,IF(T113="Catastrófico",1,))))))</f>
        <v>0.4</v>
      </c>
      <c r="V113" s="351" t="str">
        <f t="shared" ref="V113" ca="1" si="328">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233">
        <v>1</v>
      </c>
      <c r="X113" s="207" t="s">
        <v>677</v>
      </c>
      <c r="Y113" s="230" t="str">
        <f t="shared" si="271"/>
        <v>Probabilidad</v>
      </c>
      <c r="Z113" s="185" t="s">
        <v>208</v>
      </c>
      <c r="AA113" s="185" t="s">
        <v>216</v>
      </c>
      <c r="AB113" s="186" t="str">
        <f t="shared" si="320"/>
        <v>40%</v>
      </c>
      <c r="AC113" s="185" t="s">
        <v>219</v>
      </c>
      <c r="AD113" s="185" t="s">
        <v>224</v>
      </c>
      <c r="AE113" s="185" t="s">
        <v>228</v>
      </c>
      <c r="AF113" s="187">
        <f t="shared" ref="AF113" si="329">IFERROR(IF(Y113="Probabilidad",(Q113-(+Q113*AB113)),IF(Y113="Impacto",Q113,"")),"")</f>
        <v>0.36</v>
      </c>
      <c r="AG113" s="188" t="str">
        <f t="shared" si="273"/>
        <v>Baja</v>
      </c>
      <c r="AH113" s="186">
        <f t="shared" si="274"/>
        <v>0.36</v>
      </c>
      <c r="AI113" s="188" t="str">
        <f t="shared" ca="1" si="275"/>
        <v>Menor</v>
      </c>
      <c r="AJ113" s="186">
        <f t="shared" ref="AJ113" ca="1" si="330">IFERROR(IF(Y113="Impacto",(U113-(+U113*AB113)),IF(Y113="Probabilidad",U113,"")),"")</f>
        <v>0.4</v>
      </c>
      <c r="AK113" s="189" t="str">
        <f t="shared" ca="1" si="277"/>
        <v>Moderado</v>
      </c>
      <c r="AL113" s="185" t="s">
        <v>255</v>
      </c>
      <c r="AM113" s="227"/>
      <c r="AN113" s="230"/>
      <c r="AO113" s="228"/>
      <c r="AP113" s="228"/>
      <c r="AQ113" s="227"/>
      <c r="AR113" s="229"/>
    </row>
    <row r="114" spans="1:44" s="191" customFormat="1" ht="156" customHeight="1" thickTop="1" thickBot="1" x14ac:dyDescent="0.3">
      <c r="A114" s="352"/>
      <c r="B114" s="369"/>
      <c r="C114" s="359"/>
      <c r="D114" s="359"/>
      <c r="E114" s="359"/>
      <c r="F114" s="360"/>
      <c r="G114" s="360"/>
      <c r="H114" s="361"/>
      <c r="I114" s="362"/>
      <c r="J114" s="362"/>
      <c r="K114" s="362"/>
      <c r="L114" s="362"/>
      <c r="M114" s="357"/>
      <c r="N114" s="357"/>
      <c r="O114" s="363"/>
      <c r="P114" s="364"/>
      <c r="Q114" s="365"/>
      <c r="R114" s="365"/>
      <c r="S114" s="365">
        <f ca="1">IF(NOT(ISERROR(MATCH(R114,_xlfn.ANCHORARRAY(H120),0))),Q122&amp;"Por favor no seleccionar los criterios de impacto",R114)</f>
        <v>0</v>
      </c>
      <c r="T114" s="364"/>
      <c r="U114" s="365"/>
      <c r="V114" s="351"/>
      <c r="W114" s="233">
        <v>2</v>
      </c>
      <c r="X114" s="207" t="s">
        <v>678</v>
      </c>
      <c r="Y114" s="230" t="str">
        <f t="shared" si="271"/>
        <v>Probabilidad</v>
      </c>
      <c r="Z114" s="185" t="s">
        <v>208</v>
      </c>
      <c r="AA114" s="185" t="s">
        <v>216</v>
      </c>
      <c r="AB114" s="186" t="str">
        <f t="shared" si="320"/>
        <v>40%</v>
      </c>
      <c r="AC114" s="185" t="s">
        <v>219</v>
      </c>
      <c r="AD114" s="185" t="s">
        <v>224</v>
      </c>
      <c r="AE114" s="185" t="s">
        <v>228</v>
      </c>
      <c r="AF114" s="187">
        <f t="shared" ref="AF114:AF115" si="331">IFERROR(IF(AND(Y113="Probabilidad",Y114="Probabilidad"),(AH113-(+AH113*AB114)),IF(Y114="Probabilidad",(Q113-(+Q113*AB114)),IF(Y114="Impacto",AH113,""))),"")</f>
        <v>0.216</v>
      </c>
      <c r="AG114" s="188" t="str">
        <f t="shared" si="273"/>
        <v>Baja</v>
      </c>
      <c r="AH114" s="186">
        <f t="shared" si="274"/>
        <v>0.216</v>
      </c>
      <c r="AI114" s="188" t="str">
        <f t="shared" ca="1" si="275"/>
        <v>Menor</v>
      </c>
      <c r="AJ114" s="186">
        <f t="shared" ref="AJ114" ca="1" si="332">IFERROR(IF(AND(Y113="Impacto",Y114="Impacto"),(AJ113-(+AJ113*AB114)),IF(Y114="Impacto",(U113-(+U113*AB114)),IF(Y114="Probabilidad",AJ113,""))),"")</f>
        <v>0.4</v>
      </c>
      <c r="AK114" s="189" t="str">
        <f t="shared" ca="1" si="277"/>
        <v>Moderado</v>
      </c>
      <c r="AL114" s="185" t="s">
        <v>255</v>
      </c>
      <c r="AM114" s="227"/>
      <c r="AN114" s="230"/>
      <c r="AO114" s="228"/>
      <c r="AP114" s="228"/>
      <c r="AQ114" s="227"/>
      <c r="AR114" s="229"/>
    </row>
    <row r="115" spans="1:44" s="191" customFormat="1" ht="156" customHeight="1" thickTop="1" thickBot="1" x14ac:dyDescent="0.3">
      <c r="A115" s="352"/>
      <c r="B115" s="369"/>
      <c r="C115" s="359"/>
      <c r="D115" s="359"/>
      <c r="E115" s="359"/>
      <c r="F115" s="360"/>
      <c r="G115" s="360"/>
      <c r="H115" s="361"/>
      <c r="I115" s="362"/>
      <c r="J115" s="362"/>
      <c r="K115" s="362"/>
      <c r="L115" s="362"/>
      <c r="M115" s="357"/>
      <c r="N115" s="357"/>
      <c r="O115" s="363"/>
      <c r="P115" s="364"/>
      <c r="Q115" s="365"/>
      <c r="R115" s="365"/>
      <c r="S115" s="365">
        <f ca="1">IF(NOT(ISERROR(MATCH(R115,_xlfn.ANCHORARRAY(H121),0))),Q123&amp;"Por favor no seleccionar los criterios de impacto",R115)</f>
        <v>0</v>
      </c>
      <c r="T115" s="364"/>
      <c r="U115" s="365"/>
      <c r="V115" s="351"/>
      <c r="W115" s="233">
        <v>3</v>
      </c>
      <c r="X115" s="207" t="s">
        <v>679</v>
      </c>
      <c r="Y115" s="230" t="str">
        <f t="shared" si="271"/>
        <v>Probabilidad</v>
      </c>
      <c r="Z115" s="185" t="s">
        <v>208</v>
      </c>
      <c r="AA115" s="185" t="s">
        <v>216</v>
      </c>
      <c r="AB115" s="186" t="str">
        <f t="shared" si="320"/>
        <v>40%</v>
      </c>
      <c r="AC115" s="185" t="s">
        <v>219</v>
      </c>
      <c r="AD115" s="185" t="s">
        <v>224</v>
      </c>
      <c r="AE115" s="185" t="s">
        <v>228</v>
      </c>
      <c r="AF115" s="187">
        <f t="shared" si="331"/>
        <v>0.12959999999999999</v>
      </c>
      <c r="AG115" s="188" t="str">
        <f t="shared" si="273"/>
        <v>Muy Baja</v>
      </c>
      <c r="AH115" s="186">
        <f t="shared" si="274"/>
        <v>0.12959999999999999</v>
      </c>
      <c r="AI115" s="188" t="str">
        <f t="shared" ca="1" si="275"/>
        <v>Menor</v>
      </c>
      <c r="AJ115" s="186">
        <f t="shared" ref="AJ115" ca="1" si="333">IFERROR(IF(AND(Y114="Impacto",Y115="Impacto"),(AJ114-(+AJ114*AB115)),IF(AND(Y114="Probabilidad",Y115="Impacto"),(AJ113-(+AJ113*AB115)),IF(Y115="Probabilidad",AJ114,""))),"")</f>
        <v>0.4</v>
      </c>
      <c r="AK115" s="189" t="str">
        <f t="shared" ca="1" si="277"/>
        <v>Bajo</v>
      </c>
      <c r="AL115" s="185"/>
      <c r="AM115" s="227"/>
      <c r="AN115" s="230"/>
      <c r="AO115" s="228"/>
      <c r="AP115" s="228"/>
      <c r="AQ115" s="227"/>
      <c r="AR115" s="229"/>
    </row>
    <row r="116" spans="1:44" s="191" customFormat="1" ht="137.25" customHeight="1" thickTop="1" thickBot="1" x14ac:dyDescent="0.3">
      <c r="A116" s="352">
        <v>49</v>
      </c>
      <c r="B116" s="369" t="s">
        <v>680</v>
      </c>
      <c r="C116" s="359" t="s">
        <v>274</v>
      </c>
      <c r="D116" s="359" t="s">
        <v>681</v>
      </c>
      <c r="E116" s="359" t="s">
        <v>240</v>
      </c>
      <c r="F116" s="360" t="s">
        <v>682</v>
      </c>
      <c r="G116" s="360" t="s">
        <v>683</v>
      </c>
      <c r="H116" s="361" t="s">
        <v>1143</v>
      </c>
      <c r="I116" s="362" t="s">
        <v>474</v>
      </c>
      <c r="J116" s="362" t="s">
        <v>474</v>
      </c>
      <c r="K116" s="362" t="s">
        <v>474</v>
      </c>
      <c r="L116" s="362" t="s">
        <v>474</v>
      </c>
      <c r="M116" s="357" t="s">
        <v>239</v>
      </c>
      <c r="N116" s="357"/>
      <c r="O116" s="363">
        <v>160</v>
      </c>
      <c r="P116" s="364" t="str">
        <f>IF(O116&lt;=0,"",IF(O116&lt;=2,"Muy Baja",IF(O116&lt;=24,"Baja",IF(O116&lt;=500,"Media",IF(O116&lt;=5000,"Alta","Muy Alta")))))</f>
        <v>Media</v>
      </c>
      <c r="Q116" s="365">
        <f>IF(P116="","",IF(P116="Muy Baja",0.2,IF(P116="Baja",0.4,IF(P116="Media",0.6,IF(P116="Alta",0.8,IF(P116="Muy Alta",1,))))))</f>
        <v>0.6</v>
      </c>
      <c r="R116" s="365" t="s">
        <v>187</v>
      </c>
      <c r="S116" s="365" t="str">
        <f ca="1">IF(NOT(ISERROR(MATCH(R116,'Tabla Impacto'!$B$221:$B$223,0))),'Tabla Impacto'!$F$223&amp;"Por favor no seleccionar los criterios de impacto(Afectación Económica o presupuestal y Pérdida Reputacional)",R116)</f>
        <v>El riesgo afecta la imagen de la entidad internamente, de conocimiento general, nivel interno, de junta dircetiva y accionistas y/o de provedores</v>
      </c>
      <c r="T116" s="364" t="str">
        <f ca="1">+IF(OR(S116='[1]Tabla Impacto'!$C$11,S116='[1]Tabla Impacto'!$D$11),"Leve",IF(OR(S116='[1]Tabla Impacto'!$C$12,S116='[1]Tabla Impacto'!$D$12),"Menor",IF(OR(S116='[1]Tabla Impacto'!$C$13,S116='[1]Tabla Impacto'!$D$13),"Moderado",IF(OR(S116='[1]Tabla Impacto'!$C$14,S116='[1]Tabla Impacto'!$D$14),"Mayor",IF(OR(S116='[1]Tabla Impacto'!$C$15,S116='[1]Tabla Impacto'!$D$15),"Catastrófico","")))))</f>
        <v>Menor</v>
      </c>
      <c r="U116" s="365">
        <f t="shared" ref="U116" ca="1" si="334">IF(T116="","",IF(T116="Leve",0.2,IF(T116="Menor",0.4,IF(T116="Moderado",0.6,IF(T116="Mayor",0.8,IF(T116="Catastrófico",1,))))))</f>
        <v>0.4</v>
      </c>
      <c r="V116" s="351" t="str">
        <f t="shared" ref="V116" ca="1" si="335">IF(OR(AND(P116="Muy Baja",T116="Leve"),AND(P116="Muy Baja",T116="Menor"),AND(P116="Baja",T116="Leve")),"Bajo",IF(OR(AND(P116="Muy baja",T116="Moderado"),AND(P116="Baja",T116="Menor"),AND(P116="Baja",T116="Moderado"),AND(P116="Media",T116="Leve"),AND(P116="Media",T116="Menor"),AND(P116="Media",T116="Moderado"),AND(P116="Alta",T116="Leve"),AND(P116="Alta",T116="Menor")),"Moderado",IF(OR(AND(P116="Muy Baja",T116="Mayor"),AND(P116="Baja",T116="Mayor"),AND(P116="Media",T116="Mayor"),AND(P116="Alta",T116="Moderado"),AND(P116="Alta",T116="Mayor"),AND(P116="Muy Alta",T116="Leve"),AND(P116="Muy Alta",T116="Menor"),AND(P116="Muy Alta",T116="Moderado"),AND(P116="Muy Alta",T116="Mayor")),"Alto",IF(OR(AND(P116="Muy Baja",T116="Catastrófico"),AND(P116="Baja",T116="Catastrófico"),AND(P116="Media",T116="Catastrófico"),AND(P116="Alta",T116="Catastrófico"),AND(P116="Muy Alta",T116="Catastrófico")),"Extremo",""))))</f>
        <v>Moderado</v>
      </c>
      <c r="W116" s="233">
        <v>1</v>
      </c>
      <c r="X116" s="207" t="s">
        <v>684</v>
      </c>
      <c r="Y116" s="230" t="str">
        <f>IF(OR(Z116="Preventivo",Z116="Detectivo"),"Probabilidad",IF(Z116="Correctivo","Impacto",""))</f>
        <v>Probabilidad</v>
      </c>
      <c r="Z116" s="185" t="s">
        <v>210</v>
      </c>
      <c r="AA116" s="185" t="s">
        <v>216</v>
      </c>
      <c r="AB116" s="186" t="str">
        <f t="shared" si="320"/>
        <v>30%</v>
      </c>
      <c r="AC116" s="185" t="s">
        <v>219</v>
      </c>
      <c r="AD116" s="185" t="s">
        <v>224</v>
      </c>
      <c r="AE116" s="185" t="s">
        <v>228</v>
      </c>
      <c r="AF116" s="187">
        <f>IFERROR(IF(Y116="Probabilidad",(Q116-(+Q116*AB116)),IF(Y116="Impacto",Q116,"")),"")</f>
        <v>0.42</v>
      </c>
      <c r="AG116" s="188" t="str">
        <f>IFERROR(IF(AF116="","",IF(AF116&lt;=0.2,"Muy Baja",IF(AF116&lt;=0.4,"Baja",IF(AF116&lt;=0.6,"Media",IF(AF116&lt;=0.8,"Alta","Muy Alta"))))),"")</f>
        <v>Media</v>
      </c>
      <c r="AH116" s="186">
        <f>+AF116</f>
        <v>0.42</v>
      </c>
      <c r="AI116" s="188" t="str">
        <f ca="1">IFERROR(IF(AJ116="","",IF(AJ116&lt;=0.2,"Leve",IF(AJ116&lt;=0.4,"Menor",IF(AJ116&lt;=0.6,"Moderado",IF(AJ116&lt;=0.8,"Mayor","Catastrófico"))))),"")</f>
        <v>Menor</v>
      </c>
      <c r="AJ116" s="186">
        <f ca="1">IFERROR(IF(Y116="Impacto",(U116-(+U116*AB116)),IF(Y116="Probabilidad",U116,"")),"")</f>
        <v>0.4</v>
      </c>
      <c r="AK116" s="189" t="str">
        <f ca="1">IFERROR(IF(OR(AND(AG116="Muy Baja",AI116="Leve"),AND(AG116="Muy Baja",AI116="Menor"),AND(AG116="Baja",AI116="Leve")),"Bajo",IF(OR(AND(AG116="Muy baja",AI116="Moderado"),AND(AG116="Baja",AI116="Menor"),AND(AG116="Baja",AI116="Moderado"),AND(AG116="Media",AI116="Leve"),AND(AG116="Media",AI116="Menor"),AND(AG116="Media",AI116="Moderado"),AND(AG116="Alta",AI116="Leve"),AND(AG116="Alta",AI116="Menor")),"Moderado",IF(OR(AND(AG116="Muy Baja",AI116="Mayor"),AND(AG116="Baja",AI116="Mayor"),AND(AG116="Media",AI116="Mayor"),AND(AG116="Alta",AI116="Moderado"),AND(AG116="Alta",AI116="Mayor"),AND(AG116="Muy Alta",AI116="Leve"),AND(AG116="Muy Alta",AI116="Menor"),AND(AG116="Muy Alta",AI116="Moderado"),AND(AG116="Muy Alta",AI116="Mayor")),"Alto",IF(OR(AND(AG116="Muy Baja",AI116="Catastrófico"),AND(AG116="Baja",AI116="Catastrófico"),AND(AG116="Media",AI116="Catastrófico"),AND(AG116="Alta",AI116="Catastrófico"),AND(AG116="Muy Alta",AI116="Catastrófico")),"Extremo","")))),"")</f>
        <v>Moderado</v>
      </c>
      <c r="AL116" s="185" t="s">
        <v>255</v>
      </c>
      <c r="AM116" s="227"/>
      <c r="AN116" s="230"/>
      <c r="AO116" s="228"/>
      <c r="AP116" s="228"/>
      <c r="AQ116" s="227"/>
      <c r="AR116" s="229"/>
    </row>
    <row r="117" spans="1:44" s="191" customFormat="1" ht="135" customHeight="1" thickTop="1" thickBot="1" x14ac:dyDescent="0.3">
      <c r="A117" s="352"/>
      <c r="B117" s="369"/>
      <c r="C117" s="359"/>
      <c r="D117" s="359"/>
      <c r="E117" s="359"/>
      <c r="F117" s="360"/>
      <c r="G117" s="360"/>
      <c r="H117" s="361"/>
      <c r="I117" s="362"/>
      <c r="J117" s="362"/>
      <c r="K117" s="362"/>
      <c r="L117" s="362"/>
      <c r="M117" s="357"/>
      <c r="N117" s="357"/>
      <c r="O117" s="363"/>
      <c r="P117" s="364"/>
      <c r="Q117" s="365"/>
      <c r="R117" s="365"/>
      <c r="S117" s="365">
        <f ca="1">IF(NOT(ISERROR(MATCH(R117,_xlfn.ANCHORARRAY(H124),0))),Q126&amp;"Por favor no seleccionar los criterios de impacto",R117)</f>
        <v>0</v>
      </c>
      <c r="T117" s="364"/>
      <c r="U117" s="365"/>
      <c r="V117" s="351"/>
      <c r="W117" s="233">
        <v>2</v>
      </c>
      <c r="X117" s="207" t="s">
        <v>685</v>
      </c>
      <c r="Y117" s="230" t="str">
        <f t="shared" ref="Y117:Y146" si="336">IF(OR(Z117="Preventivo",Z117="Detectivo"),"Probabilidad",IF(Z117="Correctivo","Impacto",""))</f>
        <v>Probabilidad</v>
      </c>
      <c r="Z117" s="185" t="s">
        <v>208</v>
      </c>
      <c r="AA117" s="185" t="s">
        <v>216</v>
      </c>
      <c r="AB117" s="186" t="str">
        <f t="shared" si="320"/>
        <v>40%</v>
      </c>
      <c r="AC117" s="185" t="s">
        <v>219</v>
      </c>
      <c r="AD117" s="185" t="s">
        <v>224</v>
      </c>
      <c r="AE117" s="185" t="s">
        <v>228</v>
      </c>
      <c r="AF117" s="187">
        <f>IFERROR(IF(AND(Y116="Probabilidad",Y117="Probabilidad"),(AH116-(+AH116*AB117)),IF(Y117="Probabilidad",(Q116-(+Q116*AB117)),IF(Y117="Impacto",AH116,""))),"")</f>
        <v>0.252</v>
      </c>
      <c r="AG117" s="188" t="str">
        <f t="shared" ref="AG117:AG146" si="337">IFERROR(IF(AF117="","",IF(AF117&lt;=0.2,"Muy Baja",IF(AF117&lt;=0.4,"Baja",IF(AF117&lt;=0.6,"Media",IF(AF117&lt;=0.8,"Alta","Muy Alta"))))),"")</f>
        <v>Baja</v>
      </c>
      <c r="AH117" s="186">
        <f t="shared" ref="AH117:AH146" si="338">+AF117</f>
        <v>0.252</v>
      </c>
      <c r="AI117" s="188" t="str">
        <f t="shared" ref="AI117:AI146" ca="1" si="339">IFERROR(IF(AJ117="","",IF(AJ117&lt;=0.2,"Leve",IF(AJ117&lt;=0.4,"Menor",IF(AJ117&lt;=0.6,"Moderado",IF(AJ117&lt;=0.8,"Mayor","Catastrófico"))))),"")</f>
        <v>Menor</v>
      </c>
      <c r="AJ117" s="186">
        <f ca="1">IFERROR(IF(AND(Y116="Impacto",Y117="Impacto"),(AJ116-(+AJ116*AB117)),IF(Y117="Impacto",(U116-(+U116*AB117)),IF(Y117="Probabilidad",AJ116,""))),"")</f>
        <v>0.4</v>
      </c>
      <c r="AK117" s="189" t="str">
        <f t="shared" ref="AK117:AK146" ca="1" si="340">IFERROR(IF(OR(AND(AG117="Muy Baja",AI117="Leve"),AND(AG117="Muy Baja",AI117="Menor"),AND(AG117="Baja",AI117="Leve")),"Bajo",IF(OR(AND(AG117="Muy baja",AI117="Moderado"),AND(AG117="Baja",AI117="Menor"),AND(AG117="Baja",AI117="Moderado"),AND(AG117="Media",AI117="Leve"),AND(AG117="Media",AI117="Menor"),AND(AG117="Media",AI117="Moderado"),AND(AG117="Alta",AI117="Leve"),AND(AG117="Alta",AI117="Menor")),"Moderado",IF(OR(AND(AG117="Muy Baja",AI117="Mayor"),AND(AG117="Baja",AI117="Mayor"),AND(AG117="Media",AI117="Mayor"),AND(AG117="Alta",AI117="Moderado"),AND(AG117="Alta",AI117="Mayor"),AND(AG117="Muy Alta",AI117="Leve"),AND(AG117="Muy Alta",AI117="Menor"),AND(AG117="Muy Alta",AI117="Moderado"),AND(AG117="Muy Alta",AI117="Mayor")),"Alto",IF(OR(AND(AG117="Muy Baja",AI117="Catastrófico"),AND(AG117="Baja",AI117="Catastrófico"),AND(AG117="Media",AI117="Catastrófico"),AND(AG117="Alta",AI117="Catastrófico"),AND(AG117="Muy Alta",AI117="Catastrófico")),"Extremo","")))),"")</f>
        <v>Moderado</v>
      </c>
      <c r="AL117" s="185" t="s">
        <v>255</v>
      </c>
      <c r="AM117" s="227"/>
      <c r="AN117" s="230"/>
      <c r="AO117" s="228"/>
      <c r="AP117" s="228"/>
      <c r="AQ117" s="227"/>
      <c r="AR117" s="229"/>
    </row>
    <row r="118" spans="1:44" s="191" customFormat="1" ht="142.5" customHeight="1" thickTop="1" thickBot="1" x14ac:dyDescent="0.3">
      <c r="A118" s="352"/>
      <c r="B118" s="369"/>
      <c r="C118" s="359"/>
      <c r="D118" s="359"/>
      <c r="E118" s="359"/>
      <c r="F118" s="360"/>
      <c r="G118" s="360"/>
      <c r="H118" s="361"/>
      <c r="I118" s="362"/>
      <c r="J118" s="362"/>
      <c r="K118" s="362"/>
      <c r="L118" s="362"/>
      <c r="M118" s="357"/>
      <c r="N118" s="357"/>
      <c r="O118" s="363"/>
      <c r="P118" s="364"/>
      <c r="Q118" s="365"/>
      <c r="R118" s="365"/>
      <c r="S118" s="365">
        <f ca="1">IF(NOT(ISERROR(MATCH(R118,_xlfn.ANCHORARRAY(H125),0))),#REF!&amp;"Por favor no seleccionar los criterios de impacto",R118)</f>
        <v>0</v>
      </c>
      <c r="T118" s="364"/>
      <c r="U118" s="365"/>
      <c r="V118" s="351"/>
      <c r="W118" s="233">
        <v>3</v>
      </c>
      <c r="X118" s="207" t="s">
        <v>686</v>
      </c>
      <c r="Y118" s="230" t="str">
        <f t="shared" si="336"/>
        <v>Probabilidad</v>
      </c>
      <c r="Z118" s="185" t="s">
        <v>208</v>
      </c>
      <c r="AA118" s="185" t="s">
        <v>216</v>
      </c>
      <c r="AB118" s="186" t="str">
        <f t="shared" si="320"/>
        <v>40%</v>
      </c>
      <c r="AC118" s="185" t="s">
        <v>219</v>
      </c>
      <c r="AD118" s="185" t="s">
        <v>224</v>
      </c>
      <c r="AE118" s="185" t="s">
        <v>228</v>
      </c>
      <c r="AF118" s="187">
        <f t="shared" ref="AF118:AF119" si="341">IFERROR(IF(AND(Y117="Probabilidad",Y118="Probabilidad"),(AH117-(+AH117*AB118)),IF(Y118="Probabilidad",(Q117-(+Q117*AB118)),IF(Y118="Impacto",AH117,""))),"")</f>
        <v>0.1512</v>
      </c>
      <c r="AG118" s="188" t="str">
        <f t="shared" si="337"/>
        <v>Muy Baja</v>
      </c>
      <c r="AH118" s="186">
        <f t="shared" si="338"/>
        <v>0.1512</v>
      </c>
      <c r="AI118" s="188" t="str">
        <f t="shared" ca="1" si="339"/>
        <v>Menor</v>
      </c>
      <c r="AJ118" s="186">
        <f ca="1">IFERROR(IF(AND(Y117="Impacto",Y118="Impacto"),(AJ117-(+AJ117*AB118)),IF(AND(Y117="Probabilidad",Y118="Impacto"),(AJ116-(+AJ116*AB118)),IF(Y118="Probabilidad",AJ117,""))),"")</f>
        <v>0.4</v>
      </c>
      <c r="AK118" s="189" t="str">
        <f t="shared" ca="1" si="340"/>
        <v>Bajo</v>
      </c>
      <c r="AL118" s="185" t="s">
        <v>255</v>
      </c>
      <c r="AM118" s="227"/>
      <c r="AN118" s="230"/>
      <c r="AO118" s="228"/>
      <c r="AP118" s="228"/>
      <c r="AQ118" s="227"/>
      <c r="AR118" s="229"/>
    </row>
    <row r="119" spans="1:44" s="191" customFormat="1" ht="129.75" customHeight="1" thickTop="1" thickBot="1" x14ac:dyDescent="0.3">
      <c r="A119" s="352"/>
      <c r="B119" s="369"/>
      <c r="C119" s="359"/>
      <c r="D119" s="359"/>
      <c r="E119" s="359"/>
      <c r="F119" s="360"/>
      <c r="G119" s="360"/>
      <c r="H119" s="361"/>
      <c r="I119" s="362"/>
      <c r="J119" s="362"/>
      <c r="K119" s="362"/>
      <c r="L119" s="362"/>
      <c r="M119" s="357"/>
      <c r="N119" s="357"/>
      <c r="O119" s="363"/>
      <c r="P119" s="364"/>
      <c r="Q119" s="365"/>
      <c r="R119" s="365"/>
      <c r="S119" s="365">
        <f ca="1">IF(NOT(ISERROR(MATCH(R119,_xlfn.ANCHORARRAY(H126),0))),#REF!&amp;"Por favor no seleccionar los criterios de impacto",R119)</f>
        <v>0</v>
      </c>
      <c r="T119" s="364"/>
      <c r="U119" s="365"/>
      <c r="V119" s="351"/>
      <c r="W119" s="233">
        <v>4</v>
      </c>
      <c r="X119" s="207" t="s">
        <v>687</v>
      </c>
      <c r="Y119" s="230" t="str">
        <f t="shared" si="336"/>
        <v>Probabilidad</v>
      </c>
      <c r="Z119" s="185" t="s">
        <v>208</v>
      </c>
      <c r="AA119" s="185" t="s">
        <v>216</v>
      </c>
      <c r="AB119" s="186" t="str">
        <f t="shared" si="320"/>
        <v>40%</v>
      </c>
      <c r="AC119" s="185" t="s">
        <v>219</v>
      </c>
      <c r="AD119" s="185" t="s">
        <v>224</v>
      </c>
      <c r="AE119" s="185" t="s">
        <v>228</v>
      </c>
      <c r="AF119" s="187">
        <f t="shared" si="341"/>
        <v>9.0719999999999995E-2</v>
      </c>
      <c r="AG119" s="188" t="str">
        <f t="shared" si="337"/>
        <v>Muy Baja</v>
      </c>
      <c r="AH119" s="186">
        <f t="shared" si="338"/>
        <v>9.0719999999999995E-2</v>
      </c>
      <c r="AI119" s="188" t="str">
        <f t="shared" ca="1" si="339"/>
        <v>Menor</v>
      </c>
      <c r="AJ119" s="186">
        <f t="shared" ref="AJ119" ca="1" si="342">IFERROR(IF(AND(Y118="Impacto",Y119="Impacto"),(AJ118-(+AJ118*AB119)),IF(AND(Y118="Probabilidad",Y119="Impacto"),(AJ117-(+AJ117*AB119)),IF(Y119="Probabilidad",AJ118,""))),"")</f>
        <v>0.4</v>
      </c>
      <c r="AK119" s="189" t="str">
        <f t="shared" ca="1" si="340"/>
        <v>Bajo</v>
      </c>
      <c r="AL119" s="185" t="s">
        <v>255</v>
      </c>
      <c r="AM119" s="227"/>
      <c r="AN119" s="230"/>
      <c r="AO119" s="228"/>
      <c r="AP119" s="228"/>
      <c r="AQ119" s="227"/>
      <c r="AR119" s="229"/>
    </row>
    <row r="120" spans="1:44" s="191" customFormat="1" ht="134.25" customHeight="1" thickTop="1" thickBot="1" x14ac:dyDescent="0.3">
      <c r="A120" s="352">
        <v>50</v>
      </c>
      <c r="B120" s="358" t="s">
        <v>688</v>
      </c>
      <c r="C120" s="359" t="s">
        <v>274</v>
      </c>
      <c r="D120" s="359" t="s">
        <v>689</v>
      </c>
      <c r="E120" s="359" t="s">
        <v>240</v>
      </c>
      <c r="F120" s="360" t="s">
        <v>690</v>
      </c>
      <c r="G120" s="360" t="s">
        <v>691</v>
      </c>
      <c r="H120" s="361" t="s">
        <v>1144</v>
      </c>
      <c r="I120" s="362" t="s">
        <v>474</v>
      </c>
      <c r="J120" s="362" t="s">
        <v>474</v>
      </c>
      <c r="K120" s="362" t="s">
        <v>474</v>
      </c>
      <c r="L120" s="362" t="s">
        <v>474</v>
      </c>
      <c r="M120" s="357" t="s">
        <v>239</v>
      </c>
      <c r="N120" s="357"/>
      <c r="O120" s="363">
        <v>12</v>
      </c>
      <c r="P120" s="364" t="str">
        <f>IF(O120&lt;=0,"",IF(O120&lt;=2,"Muy Baja",IF(O120&lt;=24,"Baja",IF(O120&lt;=500,"Media",IF(O120&lt;=5000,"Alta","Muy Alta")))))</f>
        <v>Baja</v>
      </c>
      <c r="Q120" s="365">
        <f>IF(P120="","",IF(P120="Muy Baja",0.2,IF(P120="Baja",0.4,IF(P120="Media",0.6,IF(P120="Alta",0.8,IF(P120="Muy Alta",1,))))))</f>
        <v>0.4</v>
      </c>
      <c r="R120" s="365" t="s">
        <v>193</v>
      </c>
      <c r="S120" s="365" t="str">
        <f ca="1">IF(NOT(ISERROR(MATCH(R120,'Tabla Impacto'!$B$221:$B$223,0))),'Tabla Impacto'!$F$223&amp;"Por favor no seleccionar los criterios de impacto(Afectación Económica o presupuestal y Pérdida Reputacional)",R120)</f>
        <v>El riesgo afecta la imagen de de la entidad con efecto publicitario sostenido a nivel de sector administrativo, nivel departamental o municipal</v>
      </c>
      <c r="T120" s="364" t="str">
        <f ca="1">+IF(OR(S120='[1]Tabla Impacto'!$C$11,S120='[1]Tabla Impacto'!$D$11),"Leve",IF(OR(S120='[1]Tabla Impacto'!$C$12,S120='[1]Tabla Impacto'!$D$12),"Menor",IF(OR(S120='[1]Tabla Impacto'!$C$13,S120='[1]Tabla Impacto'!$D$13),"Moderado",IF(OR(S120='[1]Tabla Impacto'!$C$14,S120='[1]Tabla Impacto'!$D$14),"Mayor",IF(OR(S120='[1]Tabla Impacto'!$C$15,S120='[1]Tabla Impacto'!$D$15),"Catastrófico","")))))</f>
        <v>Mayor</v>
      </c>
      <c r="U120" s="365">
        <f t="shared" ref="U120" ca="1" si="343">IF(T120="","",IF(T120="Leve",0.2,IF(T120="Menor",0.4,IF(T120="Moderado",0.6,IF(T120="Mayor",0.8,IF(T120="Catastrófico",1,))))))</f>
        <v>0.8</v>
      </c>
      <c r="V120" s="351" t="str">
        <f t="shared" ref="V120" ca="1" si="344">IF(OR(AND(P120="Muy Baja",T120="Leve"),AND(P120="Muy Baja",T120="Menor"),AND(P120="Baja",T120="Leve")),"Bajo",IF(OR(AND(P120="Muy baja",T120="Moderado"),AND(P120="Baja",T120="Menor"),AND(P120="Baja",T120="Moderado"),AND(P120="Media",T120="Leve"),AND(P120="Media",T120="Menor"),AND(P120="Media",T120="Moderado"),AND(P120="Alta",T120="Leve"),AND(P120="Alta",T120="Menor")),"Moderado",IF(OR(AND(P120="Muy Baja",T120="Mayor"),AND(P120="Baja",T120="Mayor"),AND(P120="Media",T120="Mayor"),AND(P120="Alta",T120="Moderado"),AND(P120="Alta",T120="Mayor"),AND(P120="Muy Alta",T120="Leve"),AND(P120="Muy Alta",T120="Menor"),AND(P120="Muy Alta",T120="Moderado"),AND(P120="Muy Alta",T120="Mayor")),"Alto",IF(OR(AND(P120="Muy Baja",T120="Catastrófico"),AND(P120="Baja",T120="Catastrófico"),AND(P120="Media",T120="Catastrófico"),AND(P120="Alta",T120="Catastrófico"),AND(P120="Muy Alta",T120="Catastrófico")),"Extremo",""))))</f>
        <v>Alto</v>
      </c>
      <c r="W120" s="233">
        <v>1</v>
      </c>
      <c r="X120" s="207" t="s">
        <v>692</v>
      </c>
      <c r="Y120" s="230" t="str">
        <f t="shared" si="336"/>
        <v>Probabilidad</v>
      </c>
      <c r="Z120" s="185" t="s">
        <v>208</v>
      </c>
      <c r="AA120" s="185" t="s">
        <v>216</v>
      </c>
      <c r="AB120" s="186" t="str">
        <f t="shared" si="320"/>
        <v>40%</v>
      </c>
      <c r="AC120" s="185" t="s">
        <v>219</v>
      </c>
      <c r="AD120" s="185" t="s">
        <v>224</v>
      </c>
      <c r="AE120" s="185" t="s">
        <v>228</v>
      </c>
      <c r="AF120" s="187">
        <f t="shared" ref="AF120" si="345">IFERROR(IF(Y120="Probabilidad",(Q120-(+Q120*AB120)),IF(Y120="Impacto",Q120,"")),"")</f>
        <v>0.24</v>
      </c>
      <c r="AG120" s="188" t="str">
        <f t="shared" si="337"/>
        <v>Baja</v>
      </c>
      <c r="AH120" s="186">
        <f t="shared" si="338"/>
        <v>0.24</v>
      </c>
      <c r="AI120" s="188" t="str">
        <f t="shared" ca="1" si="339"/>
        <v>Mayor</v>
      </c>
      <c r="AJ120" s="186">
        <f t="shared" ref="AJ120" ca="1" si="346">IFERROR(IF(Y120="Impacto",(U120-(+U120*AB120)),IF(Y120="Probabilidad",U120,"")),"")</f>
        <v>0.8</v>
      </c>
      <c r="AK120" s="189" t="str">
        <f t="shared" ca="1" si="340"/>
        <v>Alto</v>
      </c>
      <c r="AL120" s="185" t="s">
        <v>262</v>
      </c>
      <c r="AM120" s="357" t="s">
        <v>696</v>
      </c>
      <c r="AN120" s="357" t="s">
        <v>697</v>
      </c>
      <c r="AO120" s="377" t="s">
        <v>1091</v>
      </c>
      <c r="AP120" s="377" t="s">
        <v>527</v>
      </c>
      <c r="AQ120" s="357" t="s">
        <v>698</v>
      </c>
      <c r="AR120" s="378" t="s">
        <v>259</v>
      </c>
    </row>
    <row r="121" spans="1:44" s="191" customFormat="1" ht="144" customHeight="1" thickTop="1" thickBot="1" x14ac:dyDescent="0.3">
      <c r="A121" s="352"/>
      <c r="B121" s="358"/>
      <c r="C121" s="359"/>
      <c r="D121" s="359"/>
      <c r="E121" s="359"/>
      <c r="F121" s="360"/>
      <c r="G121" s="360"/>
      <c r="H121" s="361"/>
      <c r="I121" s="362"/>
      <c r="J121" s="362"/>
      <c r="K121" s="362"/>
      <c r="L121" s="362"/>
      <c r="M121" s="357"/>
      <c r="N121" s="357"/>
      <c r="O121" s="363"/>
      <c r="P121" s="364"/>
      <c r="Q121" s="365"/>
      <c r="R121" s="365"/>
      <c r="S121" s="365">
        <f ca="1">IF(NOT(ISERROR(MATCH(R121,_xlfn.ANCHORARRAY(H133),0))),#REF!&amp;"Por favor no seleccionar los criterios de impacto",R121)</f>
        <v>0</v>
      </c>
      <c r="T121" s="364"/>
      <c r="U121" s="365"/>
      <c r="V121" s="351"/>
      <c r="W121" s="233">
        <v>2</v>
      </c>
      <c r="X121" s="207" t="s">
        <v>693</v>
      </c>
      <c r="Y121" s="230" t="str">
        <f t="shared" si="336"/>
        <v>Probabilidad</v>
      </c>
      <c r="Z121" s="185" t="s">
        <v>208</v>
      </c>
      <c r="AA121" s="185" t="s">
        <v>216</v>
      </c>
      <c r="AB121" s="186" t="str">
        <f t="shared" si="320"/>
        <v>40%</v>
      </c>
      <c r="AC121" s="185" t="s">
        <v>219</v>
      </c>
      <c r="AD121" s="185" t="s">
        <v>224</v>
      </c>
      <c r="AE121" s="185" t="s">
        <v>228</v>
      </c>
      <c r="AF121" s="187">
        <f t="shared" ref="AF121:AF123" si="347">IFERROR(IF(AND(Y120="Probabilidad",Y121="Probabilidad"),(AH120-(+AH120*AB121)),IF(Y121="Probabilidad",(Q120-(+Q120*AB121)),IF(Y121="Impacto",AH120,""))),"")</f>
        <v>0.14399999999999999</v>
      </c>
      <c r="AG121" s="188" t="str">
        <f t="shared" si="337"/>
        <v>Muy Baja</v>
      </c>
      <c r="AH121" s="186">
        <f t="shared" si="338"/>
        <v>0.14399999999999999</v>
      </c>
      <c r="AI121" s="188" t="str">
        <f t="shared" ca="1" si="339"/>
        <v>Mayor</v>
      </c>
      <c r="AJ121" s="186">
        <f t="shared" ref="AJ121" ca="1" si="348">IFERROR(IF(AND(Y120="Impacto",Y121="Impacto"),(AJ120-(+AJ120*AB121)),IF(Y121="Impacto",(U120-(+U120*AB121)),IF(Y121="Probabilidad",AJ120,""))),"")</f>
        <v>0.8</v>
      </c>
      <c r="AK121" s="189" t="str">
        <f t="shared" ca="1" si="340"/>
        <v>Alto</v>
      </c>
      <c r="AL121" s="185" t="s">
        <v>262</v>
      </c>
      <c r="AM121" s="357"/>
      <c r="AN121" s="357"/>
      <c r="AO121" s="377"/>
      <c r="AP121" s="377"/>
      <c r="AQ121" s="357"/>
      <c r="AR121" s="378"/>
    </row>
    <row r="122" spans="1:44" s="191" customFormat="1" ht="129.75" thickTop="1" thickBot="1" x14ac:dyDescent="0.3">
      <c r="A122" s="352"/>
      <c r="B122" s="358"/>
      <c r="C122" s="359"/>
      <c r="D122" s="359"/>
      <c r="E122" s="359"/>
      <c r="F122" s="360"/>
      <c r="G122" s="360"/>
      <c r="H122" s="361"/>
      <c r="I122" s="362"/>
      <c r="J122" s="362"/>
      <c r="K122" s="362"/>
      <c r="L122" s="362"/>
      <c r="M122" s="357"/>
      <c r="N122" s="357"/>
      <c r="O122" s="363"/>
      <c r="P122" s="364"/>
      <c r="Q122" s="365"/>
      <c r="R122" s="365"/>
      <c r="S122" s="365">
        <f ca="1">IF(NOT(ISERROR(MATCH(R122,_xlfn.ANCHORARRAY(H134),0))),#REF!&amp;"Por favor no seleccionar los criterios de impacto",R122)</f>
        <v>0</v>
      </c>
      <c r="T122" s="364"/>
      <c r="U122" s="365"/>
      <c r="V122" s="351"/>
      <c r="W122" s="233">
        <v>3</v>
      </c>
      <c r="X122" s="207" t="s">
        <v>694</v>
      </c>
      <c r="Y122" s="230" t="str">
        <f t="shared" si="336"/>
        <v>Probabilidad</v>
      </c>
      <c r="Z122" s="185" t="s">
        <v>208</v>
      </c>
      <c r="AA122" s="185" t="s">
        <v>216</v>
      </c>
      <c r="AB122" s="186" t="str">
        <f t="shared" si="320"/>
        <v>40%</v>
      </c>
      <c r="AC122" s="185" t="s">
        <v>219</v>
      </c>
      <c r="AD122" s="185" t="s">
        <v>224</v>
      </c>
      <c r="AE122" s="185" t="s">
        <v>228</v>
      </c>
      <c r="AF122" s="187">
        <f t="shared" si="347"/>
        <v>8.6399999999999991E-2</v>
      </c>
      <c r="AG122" s="188" t="str">
        <f t="shared" si="337"/>
        <v>Muy Baja</v>
      </c>
      <c r="AH122" s="186">
        <f t="shared" si="338"/>
        <v>8.6399999999999991E-2</v>
      </c>
      <c r="AI122" s="188" t="str">
        <f t="shared" ca="1" si="339"/>
        <v>Mayor</v>
      </c>
      <c r="AJ122" s="186">
        <f t="shared" ref="AJ122:AJ123" ca="1" si="349">IFERROR(IF(AND(Y121="Impacto",Y122="Impacto"),(AJ121-(+AJ121*AB122)),IF(AND(Y121="Probabilidad",Y122="Impacto"),(AJ120-(+AJ120*AB122)),IF(Y122="Probabilidad",AJ121,""))),"")</f>
        <v>0.8</v>
      </c>
      <c r="AK122" s="189" t="str">
        <f t="shared" ca="1" si="340"/>
        <v>Alto</v>
      </c>
      <c r="AL122" s="185" t="s">
        <v>262</v>
      </c>
      <c r="AM122" s="357"/>
      <c r="AN122" s="357"/>
      <c r="AO122" s="377"/>
      <c r="AP122" s="377"/>
      <c r="AQ122" s="357"/>
      <c r="AR122" s="378"/>
    </row>
    <row r="123" spans="1:44" s="191" customFormat="1" ht="128.25" customHeight="1" thickTop="1" thickBot="1" x14ac:dyDescent="0.3">
      <c r="A123" s="352"/>
      <c r="B123" s="358"/>
      <c r="C123" s="359"/>
      <c r="D123" s="359"/>
      <c r="E123" s="359"/>
      <c r="F123" s="360"/>
      <c r="G123" s="360"/>
      <c r="H123" s="361"/>
      <c r="I123" s="362"/>
      <c r="J123" s="362"/>
      <c r="K123" s="362"/>
      <c r="L123" s="362"/>
      <c r="M123" s="357"/>
      <c r="N123" s="357"/>
      <c r="O123" s="363"/>
      <c r="P123" s="364"/>
      <c r="Q123" s="365"/>
      <c r="R123" s="365"/>
      <c r="S123" s="365">
        <f ca="1">IF(NOT(ISERROR(MATCH(R123,_xlfn.ANCHORARRAY(#REF!),0))),#REF!&amp;"Por favor no seleccionar los criterios de impacto",R123)</f>
        <v>0</v>
      </c>
      <c r="T123" s="364"/>
      <c r="U123" s="365"/>
      <c r="V123" s="351"/>
      <c r="W123" s="233">
        <v>4</v>
      </c>
      <c r="X123" s="207" t="s">
        <v>695</v>
      </c>
      <c r="Y123" s="230" t="str">
        <f t="shared" si="336"/>
        <v>Probabilidad</v>
      </c>
      <c r="Z123" s="185" t="s">
        <v>208</v>
      </c>
      <c r="AA123" s="185" t="s">
        <v>216</v>
      </c>
      <c r="AB123" s="186" t="str">
        <f t="shared" si="320"/>
        <v>40%</v>
      </c>
      <c r="AC123" s="185" t="s">
        <v>219</v>
      </c>
      <c r="AD123" s="185" t="s">
        <v>224</v>
      </c>
      <c r="AE123" s="185" t="s">
        <v>228</v>
      </c>
      <c r="AF123" s="187">
        <f t="shared" si="347"/>
        <v>5.183999999999999E-2</v>
      </c>
      <c r="AG123" s="188" t="str">
        <f t="shared" si="337"/>
        <v>Muy Baja</v>
      </c>
      <c r="AH123" s="186">
        <f t="shared" si="338"/>
        <v>5.183999999999999E-2</v>
      </c>
      <c r="AI123" s="188" t="str">
        <f t="shared" ca="1" si="339"/>
        <v>Mayor</v>
      </c>
      <c r="AJ123" s="186">
        <f t="shared" ca="1" si="349"/>
        <v>0.8</v>
      </c>
      <c r="AK123" s="189" t="str">
        <f t="shared" ca="1" si="340"/>
        <v>Alto</v>
      </c>
      <c r="AL123" s="185" t="s">
        <v>262</v>
      </c>
      <c r="AM123" s="357"/>
      <c r="AN123" s="357"/>
      <c r="AO123" s="377"/>
      <c r="AP123" s="377"/>
      <c r="AQ123" s="357"/>
      <c r="AR123" s="378"/>
    </row>
    <row r="124" spans="1:44" s="191" customFormat="1" ht="149.25" customHeight="1" thickTop="1" thickBot="1" x14ac:dyDescent="0.3">
      <c r="A124" s="352">
        <v>51</v>
      </c>
      <c r="B124" s="358" t="s">
        <v>699</v>
      </c>
      <c r="C124" s="359" t="s">
        <v>274</v>
      </c>
      <c r="D124" s="359" t="s">
        <v>689</v>
      </c>
      <c r="E124" s="359" t="s">
        <v>240</v>
      </c>
      <c r="F124" s="360" t="s">
        <v>700</v>
      </c>
      <c r="G124" s="360" t="s">
        <v>701</v>
      </c>
      <c r="H124" s="361" t="s">
        <v>1145</v>
      </c>
      <c r="I124" s="362" t="s">
        <v>474</v>
      </c>
      <c r="J124" s="362" t="s">
        <v>474</v>
      </c>
      <c r="K124" s="362" t="s">
        <v>474</v>
      </c>
      <c r="L124" s="362" t="s">
        <v>474</v>
      </c>
      <c r="M124" s="357" t="s">
        <v>245</v>
      </c>
      <c r="N124" s="357"/>
      <c r="O124" s="363">
        <v>12</v>
      </c>
      <c r="P124" s="364" t="str">
        <f>IF(O124&lt;=0,"",IF(O124&lt;=2,"Muy Baja",IF(O124&lt;=24,"Baja",IF(O124&lt;=500,"Media",IF(O124&lt;=5000,"Alta","Muy Alta")))))</f>
        <v>Baja</v>
      </c>
      <c r="Q124" s="365">
        <f>IF(P124="","",IF(P124="Muy Baja",0.2,IF(P124="Baja",0.4,IF(P124="Media",0.6,IF(P124="Alta",0.8,IF(P124="Muy Alta",1,))))))</f>
        <v>0.4</v>
      </c>
      <c r="R124" s="365" t="s">
        <v>192</v>
      </c>
      <c r="S124" s="365" t="str">
        <f ca="1">IF(NOT(ISERROR(MATCH(R124,'Tabla Impacto'!$B$221:$B$223,0))),'Tabla Impacto'!$F$223&amp;"Por favor no seleccionar los criterios de impacto(Afectación Económica o presupuestal y Pérdida Reputacional)",R124)</f>
        <v xml:space="preserve">Entre 100 y 500 SMLMV </v>
      </c>
      <c r="T124" s="364" t="str">
        <f ca="1">+IF(OR(S124='[1]Tabla Impacto'!$C$11,S124='[1]Tabla Impacto'!$D$11),"Leve",IF(OR(S124='[1]Tabla Impacto'!$C$12,S124='[1]Tabla Impacto'!$D$12),"Menor",IF(OR(S124='[1]Tabla Impacto'!$C$13,S124='[1]Tabla Impacto'!$D$13),"Moderado",IF(OR(S124='[1]Tabla Impacto'!$C$14,S124='[1]Tabla Impacto'!$D$14),"Mayor",IF(OR(S124='[1]Tabla Impacto'!$C$15,S124='[1]Tabla Impacto'!$D$15),"Catastrófico","")))))</f>
        <v>Mayor</v>
      </c>
      <c r="U124" s="365">
        <f t="shared" ref="U124" ca="1" si="350">IF(T124="","",IF(T124="Leve",0.2,IF(T124="Menor",0.4,IF(T124="Moderado",0.6,IF(T124="Mayor",0.8,IF(T124="Catastrófico",1,))))))</f>
        <v>0.8</v>
      </c>
      <c r="V124" s="351" t="str">
        <f t="shared" ref="V124" ca="1" si="351">IF(OR(AND(P124="Muy Baja",T124="Leve"),AND(P124="Muy Baja",T124="Menor"),AND(P124="Baja",T124="Leve")),"Bajo",IF(OR(AND(P124="Muy baja",T124="Moderado"),AND(P124="Baja",T124="Menor"),AND(P124="Baja",T124="Moderado"),AND(P124="Media",T124="Leve"),AND(P124="Media",T124="Menor"),AND(P124="Media",T124="Moderado"),AND(P124="Alta",T124="Leve"),AND(P124="Alta",T124="Menor")),"Moderado",IF(OR(AND(P124="Muy Baja",T124="Mayor"),AND(P124="Baja",T124="Mayor"),AND(P124="Media",T124="Mayor"),AND(P124="Alta",T124="Moderado"),AND(P124="Alta",T124="Mayor"),AND(P124="Muy Alta",T124="Leve"),AND(P124="Muy Alta",T124="Menor"),AND(P124="Muy Alta",T124="Moderado"),AND(P124="Muy Alta",T124="Mayor")),"Alto",IF(OR(AND(P124="Muy Baja",T124="Catastrófico"),AND(P124="Baja",T124="Catastrófico"),AND(P124="Media",T124="Catastrófico"),AND(P124="Alta",T124="Catastrófico"),AND(P124="Muy Alta",T124="Catastrófico")),"Extremo",""))))</f>
        <v>Alto</v>
      </c>
      <c r="W124" s="233">
        <v>1</v>
      </c>
      <c r="X124" s="207" t="s">
        <v>702</v>
      </c>
      <c r="Y124" s="230" t="str">
        <f t="shared" si="336"/>
        <v>Probabilidad</v>
      </c>
      <c r="Z124" s="185" t="s">
        <v>208</v>
      </c>
      <c r="AA124" s="185" t="s">
        <v>216</v>
      </c>
      <c r="AB124" s="186" t="str">
        <f t="shared" si="320"/>
        <v>40%</v>
      </c>
      <c r="AC124" s="185" t="s">
        <v>219</v>
      </c>
      <c r="AD124" s="185" t="s">
        <v>224</v>
      </c>
      <c r="AE124" s="185" t="s">
        <v>228</v>
      </c>
      <c r="AF124" s="187">
        <f t="shared" ref="AF124" si="352">IFERROR(IF(Y124="Probabilidad",(Q124-(+Q124*AB124)),IF(Y124="Impacto",Q124,"")),"")</f>
        <v>0.24</v>
      </c>
      <c r="AG124" s="188" t="str">
        <f t="shared" si="337"/>
        <v>Baja</v>
      </c>
      <c r="AH124" s="186">
        <f t="shared" si="338"/>
        <v>0.24</v>
      </c>
      <c r="AI124" s="188" t="str">
        <f t="shared" ca="1" si="339"/>
        <v>Mayor</v>
      </c>
      <c r="AJ124" s="186">
        <f t="shared" ref="AJ124" ca="1" si="353">IFERROR(IF(Y124="Impacto",(U124-(+U124*AB124)),IF(Y124="Probabilidad",U124,"")),"")</f>
        <v>0.8</v>
      </c>
      <c r="AK124" s="189" t="str">
        <f t="shared" ca="1" si="340"/>
        <v>Alto</v>
      </c>
      <c r="AL124" s="185" t="s">
        <v>262</v>
      </c>
      <c r="AM124" s="357" t="s">
        <v>705</v>
      </c>
      <c r="AN124" s="357" t="s">
        <v>689</v>
      </c>
      <c r="AO124" s="377" t="s">
        <v>1090</v>
      </c>
      <c r="AP124" s="377" t="s">
        <v>527</v>
      </c>
      <c r="AQ124" s="357" t="s">
        <v>706</v>
      </c>
      <c r="AR124" s="378" t="s">
        <v>259</v>
      </c>
    </row>
    <row r="125" spans="1:44" s="191" customFormat="1" ht="131.25" customHeight="1" thickTop="1" thickBot="1" x14ac:dyDescent="0.3">
      <c r="A125" s="352"/>
      <c r="B125" s="358"/>
      <c r="C125" s="359"/>
      <c r="D125" s="359"/>
      <c r="E125" s="359"/>
      <c r="F125" s="360"/>
      <c r="G125" s="360"/>
      <c r="H125" s="361"/>
      <c r="I125" s="362"/>
      <c r="J125" s="362"/>
      <c r="K125" s="362"/>
      <c r="L125" s="362"/>
      <c r="M125" s="357"/>
      <c r="N125" s="357"/>
      <c r="O125" s="363"/>
      <c r="P125" s="364"/>
      <c r="Q125" s="365"/>
      <c r="R125" s="365"/>
      <c r="S125" s="365">
        <f ca="1">IF(NOT(ISERROR(MATCH(R125,_xlfn.ANCHORARRAY(H135),0))),#REF!&amp;"Por favor no seleccionar los criterios de impacto",R125)</f>
        <v>0</v>
      </c>
      <c r="T125" s="364"/>
      <c r="U125" s="365"/>
      <c r="V125" s="351"/>
      <c r="W125" s="233">
        <v>2</v>
      </c>
      <c r="X125" s="207" t="s">
        <v>703</v>
      </c>
      <c r="Y125" s="230" t="str">
        <f t="shared" si="336"/>
        <v>Probabilidad</v>
      </c>
      <c r="Z125" s="185" t="s">
        <v>208</v>
      </c>
      <c r="AA125" s="185" t="s">
        <v>216</v>
      </c>
      <c r="AB125" s="186" t="str">
        <f t="shared" si="320"/>
        <v>40%</v>
      </c>
      <c r="AC125" s="185" t="s">
        <v>219</v>
      </c>
      <c r="AD125" s="185" t="s">
        <v>224</v>
      </c>
      <c r="AE125" s="185" t="s">
        <v>228</v>
      </c>
      <c r="AF125" s="187">
        <f t="shared" ref="AF125:AF126" si="354">IFERROR(IF(AND(Y124="Probabilidad",Y125="Probabilidad"),(AH124-(+AH124*AB125)),IF(Y125="Probabilidad",(Q124-(+Q124*AB125)),IF(Y125="Impacto",AH124,""))),"")</f>
        <v>0.14399999999999999</v>
      </c>
      <c r="AG125" s="188" t="str">
        <f t="shared" si="337"/>
        <v>Muy Baja</v>
      </c>
      <c r="AH125" s="186">
        <f t="shared" si="338"/>
        <v>0.14399999999999999</v>
      </c>
      <c r="AI125" s="188" t="str">
        <f t="shared" ca="1" si="339"/>
        <v>Mayor</v>
      </c>
      <c r="AJ125" s="186">
        <f t="shared" ref="AJ125" ca="1" si="355">IFERROR(IF(AND(Y124="Impacto",Y125="Impacto"),(AJ124-(+AJ124*AB125)),IF(Y125="Impacto",(U124-(+U124*AB125)),IF(Y125="Probabilidad",AJ124,""))),"")</f>
        <v>0.8</v>
      </c>
      <c r="AK125" s="189" t="str">
        <f t="shared" ca="1" si="340"/>
        <v>Alto</v>
      </c>
      <c r="AL125" s="185" t="s">
        <v>262</v>
      </c>
      <c r="AM125" s="357"/>
      <c r="AN125" s="357"/>
      <c r="AO125" s="377"/>
      <c r="AP125" s="377"/>
      <c r="AQ125" s="357"/>
      <c r="AR125" s="378"/>
    </row>
    <row r="126" spans="1:44" s="191" customFormat="1" ht="163.5" customHeight="1" thickTop="1" thickBot="1" x14ac:dyDescent="0.3">
      <c r="A126" s="352"/>
      <c r="B126" s="358"/>
      <c r="C126" s="359"/>
      <c r="D126" s="359"/>
      <c r="E126" s="359"/>
      <c r="F126" s="360"/>
      <c r="G126" s="360"/>
      <c r="H126" s="361"/>
      <c r="I126" s="362"/>
      <c r="J126" s="362"/>
      <c r="K126" s="362"/>
      <c r="L126" s="362"/>
      <c r="M126" s="357"/>
      <c r="N126" s="357"/>
      <c r="O126" s="363"/>
      <c r="P126" s="364"/>
      <c r="Q126" s="365"/>
      <c r="R126" s="365"/>
      <c r="S126" s="365">
        <f ca="1">IF(NOT(ISERROR(MATCH(R126,_xlfn.ANCHORARRAY(#REF!),0))),#REF!&amp;"Por favor no seleccionar los criterios de impacto",R126)</f>
        <v>0</v>
      </c>
      <c r="T126" s="364"/>
      <c r="U126" s="365"/>
      <c r="V126" s="351"/>
      <c r="W126" s="233">
        <v>3</v>
      </c>
      <c r="X126" s="207" t="s">
        <v>704</v>
      </c>
      <c r="Y126" s="230" t="str">
        <f t="shared" si="336"/>
        <v>Probabilidad</v>
      </c>
      <c r="Z126" s="185" t="s">
        <v>208</v>
      </c>
      <c r="AA126" s="185" t="s">
        <v>216</v>
      </c>
      <c r="AB126" s="186" t="str">
        <f t="shared" si="320"/>
        <v>40%</v>
      </c>
      <c r="AC126" s="185" t="s">
        <v>219</v>
      </c>
      <c r="AD126" s="185" t="s">
        <v>224</v>
      </c>
      <c r="AE126" s="185" t="s">
        <v>228</v>
      </c>
      <c r="AF126" s="187">
        <f t="shared" si="354"/>
        <v>8.6399999999999991E-2</v>
      </c>
      <c r="AG126" s="188" t="str">
        <f t="shared" si="337"/>
        <v>Muy Baja</v>
      </c>
      <c r="AH126" s="186">
        <f t="shared" si="338"/>
        <v>8.6399999999999991E-2</v>
      </c>
      <c r="AI126" s="188" t="str">
        <f t="shared" ca="1" si="339"/>
        <v>Mayor</v>
      </c>
      <c r="AJ126" s="186">
        <f t="shared" ref="AJ126" ca="1" si="356">IFERROR(IF(AND(Y125="Impacto",Y126="Impacto"),(AJ125-(+AJ125*AB126)),IF(AND(Y125="Probabilidad",Y126="Impacto"),(AJ124-(+AJ124*AB126)),IF(Y126="Probabilidad",AJ125,""))),"")</f>
        <v>0.8</v>
      </c>
      <c r="AK126" s="189" t="str">
        <f t="shared" ca="1" si="340"/>
        <v>Alto</v>
      </c>
      <c r="AL126" s="185" t="s">
        <v>262</v>
      </c>
      <c r="AM126" s="357"/>
      <c r="AN126" s="357"/>
      <c r="AO126" s="377"/>
      <c r="AP126" s="377"/>
      <c r="AQ126" s="357"/>
      <c r="AR126" s="378"/>
    </row>
    <row r="127" spans="1:44" s="191" customFormat="1" ht="409.5" customHeight="1" thickTop="1" thickBot="1" x14ac:dyDescent="0.3">
      <c r="A127" s="226">
        <v>52</v>
      </c>
      <c r="B127" s="246" t="s">
        <v>943</v>
      </c>
      <c r="C127" s="237" t="s">
        <v>274</v>
      </c>
      <c r="D127" s="244" t="s">
        <v>945</v>
      </c>
      <c r="E127" s="227" t="s">
        <v>240</v>
      </c>
      <c r="F127" s="238" t="s">
        <v>1086</v>
      </c>
      <c r="G127" s="238" t="s">
        <v>1087</v>
      </c>
      <c r="H127" s="252" t="s">
        <v>981</v>
      </c>
      <c r="I127" s="231" t="s">
        <v>474</v>
      </c>
      <c r="J127" s="231" t="s">
        <v>474</v>
      </c>
      <c r="K127" s="231" t="s">
        <v>474</v>
      </c>
      <c r="L127" s="231" t="s">
        <v>474</v>
      </c>
      <c r="M127" s="239" t="s">
        <v>244</v>
      </c>
      <c r="N127" s="227"/>
      <c r="O127" s="230">
        <v>365</v>
      </c>
      <c r="P127" s="232" t="str">
        <f>IF(O127&lt;=0,"",IF(O127&lt;=2,"Muy Baja",IF(O127&lt;=24,"Baja",IF(O127&lt;=500,"Media",IF(O127&lt;=5000,"Alta","Muy Alta")))))</f>
        <v>Media</v>
      </c>
      <c r="Q127" s="225">
        <f>IF(P127="","",IF(P127="Muy Baja",0.2,IF(P127="Baja",0.4,IF(P127="Media",0.6,IF(P127="Alta",0.8,IF(P127="Muy Alta",1,))))))</f>
        <v>0.6</v>
      </c>
      <c r="R127" s="225" t="s">
        <v>190</v>
      </c>
      <c r="S127" s="225"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32"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25">
        <f t="shared" ref="U127" ca="1" si="357">IF(T127="","",IF(T127="Leve",0.2,IF(T127="Menor",0.4,IF(T127="Moderado",0.6,IF(T127="Mayor",0.8,IF(T127="Catastrófico",1,))))))</f>
        <v>0.6</v>
      </c>
      <c r="V127" s="233" t="str">
        <f t="shared" ref="V127" ca="1" si="358">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33">
        <v>1</v>
      </c>
      <c r="X127" s="207" t="s">
        <v>1036</v>
      </c>
      <c r="Y127" s="230" t="str">
        <f t="shared" ref="Y127:Y132" si="359">IF(OR(Z127="Preventivo",Z127="Detectivo"),"Probabilidad",IF(Z127="Correctivo","Impacto",""))</f>
        <v>Probabilidad</v>
      </c>
      <c r="Z127" s="185" t="s">
        <v>208</v>
      </c>
      <c r="AA127" s="185" t="s">
        <v>216</v>
      </c>
      <c r="AB127" s="186" t="str">
        <f t="shared" si="320"/>
        <v>40%</v>
      </c>
      <c r="AC127" s="185" t="s">
        <v>222</v>
      </c>
      <c r="AD127" s="185" t="s">
        <v>224</v>
      </c>
      <c r="AE127" s="185" t="s">
        <v>228</v>
      </c>
      <c r="AF127" s="187">
        <f t="shared" ref="AF127" si="360">IFERROR(IF(Y127="Probabilidad",(Q127-(+Q127*AB127)),IF(Y127="Impacto",Q127,"")),"")</f>
        <v>0.36</v>
      </c>
      <c r="AG127" s="188" t="str">
        <f t="shared" ref="AG127:AG130" si="361">IFERROR(IF(AF127="","",IF(AF127&lt;=0.2,"Muy Baja",IF(AF127&lt;=0.4,"Baja",IF(AF127&lt;=0.6,"Media",IF(AF127&lt;=0.8,"Alta","Muy Alta"))))),"")</f>
        <v>Baja</v>
      </c>
      <c r="AH127" s="186">
        <f t="shared" ref="AH127:AH130" si="362">+AF127</f>
        <v>0.36</v>
      </c>
      <c r="AI127" s="188" t="str">
        <f t="shared" ref="AI127:AI130" ca="1" si="363">IFERROR(IF(AJ127="","",IF(AJ127&lt;=0.2,"Leve",IF(AJ127&lt;=0.4,"Menor",IF(AJ127&lt;=0.6,"Moderado",IF(AJ127&lt;=0.8,"Mayor","Catastrófico"))))),"")</f>
        <v>Moderado</v>
      </c>
      <c r="AJ127" s="186">
        <f t="shared" ref="AJ127" ca="1" si="364">IFERROR(IF(Y127="Impacto",(U127-(+U127*AB127)),IF(Y127="Probabilidad",U127,"")),"")</f>
        <v>0.6</v>
      </c>
      <c r="AK127" s="189" t="str">
        <f t="shared" ref="AK127:AK130" ca="1" si="365">IFERROR(IF(OR(AND(AG127="Muy Baja",AI127="Leve"),AND(AG127="Muy Baja",AI127="Menor"),AND(AG127="Baja",AI127="Leve")),"Bajo",IF(OR(AND(AG127="Muy baja",AI127="Moderado"),AND(AG127="Baja",AI127="Menor"),AND(AG127="Baja",AI127="Moderado"),AND(AG127="Media",AI127="Leve"),AND(AG127="Media",AI127="Menor"),AND(AG127="Media",AI127="Moderado"),AND(AG127="Alta",AI127="Leve"),AND(AG127="Alta",AI127="Menor")),"Moderado",IF(OR(AND(AG127="Muy Baja",AI127="Mayor"),AND(AG127="Baja",AI127="Mayor"),AND(AG127="Media",AI127="Mayor"),AND(AG127="Alta",AI127="Moderado"),AND(AG127="Alta",AI127="Mayor"),AND(AG127="Muy Alta",AI127="Leve"),AND(AG127="Muy Alta",AI127="Menor"),AND(AG127="Muy Alta",AI127="Moderado"),AND(AG127="Muy Alta",AI127="Mayor")),"Alto",IF(OR(AND(AG127="Muy Baja",AI127="Catastrófico"),AND(AG127="Baja",AI127="Catastrófico"),AND(AG127="Media",AI127="Catastrófico"),AND(AG127="Alta",AI127="Catastrófico"),AND(AG127="Muy Alta",AI127="Catastrófico")),"Extremo","")))),"")</f>
        <v>Moderado</v>
      </c>
      <c r="AL127" s="185" t="s">
        <v>262</v>
      </c>
      <c r="AM127" s="227"/>
      <c r="AN127" s="230"/>
      <c r="AO127" s="228"/>
      <c r="AP127" s="228"/>
      <c r="AQ127" s="227"/>
      <c r="AR127" s="229"/>
    </row>
    <row r="128" spans="1:44" s="191" customFormat="1" ht="190.5" customHeight="1" thickTop="1" thickBot="1" x14ac:dyDescent="0.3">
      <c r="A128" s="352">
        <v>53</v>
      </c>
      <c r="B128" s="358" t="s">
        <v>944</v>
      </c>
      <c r="C128" s="359" t="s">
        <v>274</v>
      </c>
      <c r="D128" s="357" t="s">
        <v>945</v>
      </c>
      <c r="E128" s="357" t="s">
        <v>240</v>
      </c>
      <c r="F128" s="360" t="s">
        <v>946</v>
      </c>
      <c r="G128" s="360" t="s">
        <v>947</v>
      </c>
      <c r="H128" s="361" t="s">
        <v>1098</v>
      </c>
      <c r="I128" s="362" t="s">
        <v>474</v>
      </c>
      <c r="J128" s="362" t="s">
        <v>474</v>
      </c>
      <c r="K128" s="362" t="s">
        <v>474</v>
      </c>
      <c r="L128" s="362" t="s">
        <v>474</v>
      </c>
      <c r="M128" s="357" t="s">
        <v>239</v>
      </c>
      <c r="N128" s="357"/>
      <c r="O128" s="363">
        <v>365</v>
      </c>
      <c r="P128" s="364" t="str">
        <f>IF(O128&lt;=0,"",IF(O128&lt;=2,"Muy Baja",IF(O128&lt;=24,"Baja",IF(O128&lt;=500,"Media",IF(O128&lt;=5000,"Alta","Muy Alta")))))</f>
        <v>Media</v>
      </c>
      <c r="Q128" s="365">
        <f>IF(P128="","",IF(P128="Muy Baja",0.2,IF(P128="Baja",0.4,IF(P128="Media",0.6,IF(P128="Alta",0.8,IF(P128="Muy Alta",1,))))))</f>
        <v>0.6</v>
      </c>
      <c r="R128" s="365" t="s">
        <v>186</v>
      </c>
      <c r="S128" s="365" t="str">
        <f ca="1">IF(NOT(ISERROR(MATCH(R128,'Tabla Impacto'!$B$221:$B$223,0))),'Tabla Impacto'!$F$223&amp;"Por favor no seleccionar los criterios de impacto(Afectación Económica o presupuestal y Pérdida Reputacional)",R128)</f>
        <v xml:space="preserve">Entre 10 y 50 SMLMV </v>
      </c>
      <c r="T128" s="364" t="str">
        <f ca="1">+IF(OR(S128='[1]Tabla Impacto'!$C$11,S128='[1]Tabla Impacto'!$D$11),"Leve",IF(OR(S128='[1]Tabla Impacto'!$C$12,S128='[1]Tabla Impacto'!$D$12),"Menor",IF(OR(S128='[1]Tabla Impacto'!$C$13,S128='[1]Tabla Impacto'!$D$13),"Moderado",IF(OR(S128='[1]Tabla Impacto'!$C$14,S128='[1]Tabla Impacto'!$D$14),"Mayor",IF(OR(S128='[1]Tabla Impacto'!$C$15,S128='[1]Tabla Impacto'!$D$15),"Catastrófico","")))))</f>
        <v>Menor</v>
      </c>
      <c r="U128" s="365">
        <f t="shared" ref="U128" ca="1" si="366">IF(T128="","",IF(T128="Leve",0.2,IF(T128="Menor",0.4,IF(T128="Moderado",0.6,IF(T128="Mayor",0.8,IF(T128="Catastrófico",1,))))))</f>
        <v>0.4</v>
      </c>
      <c r="V128" s="351" t="str">
        <f t="shared" ref="V128" ca="1" si="367">IF(OR(AND(P128="Muy Baja",T128="Leve"),AND(P128="Muy Baja",T128="Menor"),AND(P128="Baja",T128="Leve")),"Bajo",IF(OR(AND(P128="Muy baja",T128="Moderado"),AND(P128="Baja",T128="Menor"),AND(P128="Baja",T128="Moderado"),AND(P128="Media",T128="Leve"),AND(P128="Media",T128="Menor"),AND(P128="Media",T128="Moderado"),AND(P128="Alta",T128="Leve"),AND(P128="Alta",T128="Menor")),"Moderado",IF(OR(AND(P128="Muy Baja",T128="Mayor"),AND(P128="Baja",T128="Mayor"),AND(P128="Media",T128="Mayor"),AND(P128="Alta",T128="Moderado"),AND(P128="Alta",T128="Mayor"),AND(P128="Muy Alta",T128="Leve"),AND(P128="Muy Alta",T128="Menor"),AND(P128="Muy Alta",T128="Moderado"),AND(P128="Muy Alta",T128="Mayor")),"Alto",IF(OR(AND(P128="Muy Baja",T128="Catastrófico"),AND(P128="Baja",T128="Catastrófico"),AND(P128="Media",T128="Catastrófico"),AND(P128="Alta",T128="Catastrófico"),AND(P128="Muy Alta",T128="Catastrófico")),"Extremo",""))))</f>
        <v>Moderado</v>
      </c>
      <c r="W128" s="233">
        <v>1</v>
      </c>
      <c r="X128" s="207" t="s">
        <v>1037</v>
      </c>
      <c r="Y128" s="230" t="str">
        <f t="shared" si="359"/>
        <v>Probabilidad</v>
      </c>
      <c r="Z128" s="185" t="s">
        <v>208</v>
      </c>
      <c r="AA128" s="185" t="s">
        <v>216</v>
      </c>
      <c r="AB128" s="186" t="str">
        <f t="shared" si="320"/>
        <v>40%</v>
      </c>
      <c r="AC128" s="185" t="s">
        <v>222</v>
      </c>
      <c r="AD128" s="185" t="s">
        <v>224</v>
      </c>
      <c r="AE128" s="185" t="s">
        <v>228</v>
      </c>
      <c r="AF128" s="187">
        <f t="shared" ref="AF128" si="368">IFERROR(IF(Y128="Probabilidad",(Q128-(+Q128*AB128)),IF(Y128="Impacto",Q128,"")),"")</f>
        <v>0.36</v>
      </c>
      <c r="AG128" s="188" t="str">
        <f t="shared" si="361"/>
        <v>Baja</v>
      </c>
      <c r="AH128" s="186">
        <f t="shared" si="362"/>
        <v>0.36</v>
      </c>
      <c r="AI128" s="188" t="str">
        <f t="shared" ca="1" si="363"/>
        <v>Menor</v>
      </c>
      <c r="AJ128" s="186">
        <f t="shared" ref="AJ128" ca="1" si="369">IFERROR(IF(Y128="Impacto",(U128-(+U128*AB128)),IF(Y128="Probabilidad",U128,"")),"")</f>
        <v>0.4</v>
      </c>
      <c r="AK128" s="189" t="str">
        <f t="shared" ca="1" si="365"/>
        <v>Moderado</v>
      </c>
      <c r="AL128" s="185" t="s">
        <v>255</v>
      </c>
      <c r="AM128" s="227"/>
      <c r="AN128" s="230"/>
      <c r="AO128" s="228"/>
      <c r="AP128" s="228"/>
      <c r="AQ128" s="227"/>
      <c r="AR128" s="229"/>
    </row>
    <row r="129" spans="1:44" s="191" customFormat="1" ht="217.5" customHeight="1" thickTop="1" thickBot="1" x14ac:dyDescent="0.3">
      <c r="A129" s="352"/>
      <c r="B129" s="358"/>
      <c r="C129" s="359"/>
      <c r="D129" s="357"/>
      <c r="E129" s="357"/>
      <c r="F129" s="360"/>
      <c r="G129" s="360"/>
      <c r="H129" s="361"/>
      <c r="I129" s="362"/>
      <c r="J129" s="362"/>
      <c r="K129" s="362"/>
      <c r="L129" s="362"/>
      <c r="M129" s="357"/>
      <c r="N129" s="357"/>
      <c r="O129" s="363"/>
      <c r="P129" s="364"/>
      <c r="Q129" s="365"/>
      <c r="R129" s="365"/>
      <c r="S129" s="365">
        <f ca="1">IF(NOT(ISERROR(MATCH(R129,_xlfn.ANCHORARRAY(H138),0))),#REF!&amp;"Por favor no seleccionar los criterios de impacto",R129)</f>
        <v>0</v>
      </c>
      <c r="T129" s="364"/>
      <c r="U129" s="365"/>
      <c r="V129" s="351"/>
      <c r="W129" s="233">
        <v>2</v>
      </c>
      <c r="X129" s="207" t="s">
        <v>1038</v>
      </c>
      <c r="Y129" s="230" t="str">
        <f t="shared" si="359"/>
        <v>Probabilidad</v>
      </c>
      <c r="Z129" s="185" t="s">
        <v>210</v>
      </c>
      <c r="AA129" s="185" t="s">
        <v>216</v>
      </c>
      <c r="AB129" s="186" t="str">
        <f t="shared" si="320"/>
        <v>30%</v>
      </c>
      <c r="AC129" s="185" t="s">
        <v>222</v>
      </c>
      <c r="AD129" s="185" t="s">
        <v>224</v>
      </c>
      <c r="AE129" s="185" t="s">
        <v>228</v>
      </c>
      <c r="AF129" s="187">
        <f t="shared" ref="AF129:AF130" si="370">IFERROR(IF(AND(Y128="Probabilidad",Y129="Probabilidad"),(AH128-(+AH128*AB129)),IF(Y129="Probabilidad",(Q128-(+Q128*AB129)),IF(Y129="Impacto",AH128,""))),"")</f>
        <v>0.252</v>
      </c>
      <c r="AG129" s="188" t="str">
        <f t="shared" si="361"/>
        <v>Baja</v>
      </c>
      <c r="AH129" s="186">
        <f t="shared" si="362"/>
        <v>0.252</v>
      </c>
      <c r="AI129" s="188" t="str">
        <f t="shared" ca="1" si="363"/>
        <v>Menor</v>
      </c>
      <c r="AJ129" s="186">
        <f t="shared" ref="AJ129" ca="1" si="371">IFERROR(IF(AND(Y128="Impacto",Y129="Impacto"),(AJ128-(+AJ128*AB129)),IF(Y129="Impacto",(U128-(+U128*AB129)),IF(Y129="Probabilidad",AJ128,""))),"")</f>
        <v>0.4</v>
      </c>
      <c r="AK129" s="189" t="str">
        <f t="shared" ca="1" si="365"/>
        <v>Moderado</v>
      </c>
      <c r="AL129" s="185" t="s">
        <v>255</v>
      </c>
      <c r="AM129" s="227"/>
      <c r="AN129" s="230"/>
      <c r="AO129" s="228"/>
      <c r="AP129" s="228"/>
      <c r="AQ129" s="227"/>
      <c r="AR129" s="229"/>
    </row>
    <row r="130" spans="1:44" s="191" customFormat="1" ht="219.75" customHeight="1" thickTop="1" thickBot="1" x14ac:dyDescent="0.3">
      <c r="A130" s="352"/>
      <c r="B130" s="358"/>
      <c r="C130" s="359"/>
      <c r="D130" s="357"/>
      <c r="E130" s="357"/>
      <c r="F130" s="360"/>
      <c r="G130" s="360"/>
      <c r="H130" s="361"/>
      <c r="I130" s="362"/>
      <c r="J130" s="362"/>
      <c r="K130" s="362"/>
      <c r="L130" s="362"/>
      <c r="M130" s="357"/>
      <c r="N130" s="357"/>
      <c r="O130" s="363"/>
      <c r="P130" s="364"/>
      <c r="Q130" s="365"/>
      <c r="R130" s="365"/>
      <c r="S130" s="365">
        <f ca="1">IF(NOT(ISERROR(MATCH(R130,_xlfn.ANCHORARRAY(H139),0))),#REF!&amp;"Por favor no seleccionar los criterios de impacto",R130)</f>
        <v>0</v>
      </c>
      <c r="T130" s="364"/>
      <c r="U130" s="365"/>
      <c r="V130" s="351"/>
      <c r="W130" s="233">
        <v>3</v>
      </c>
      <c r="X130" s="207" t="s">
        <v>1039</v>
      </c>
      <c r="Y130" s="230" t="str">
        <f t="shared" si="359"/>
        <v>Probabilidad</v>
      </c>
      <c r="Z130" s="185" t="s">
        <v>208</v>
      </c>
      <c r="AA130" s="185" t="s">
        <v>216</v>
      </c>
      <c r="AB130" s="186" t="str">
        <f t="shared" si="320"/>
        <v>40%</v>
      </c>
      <c r="AC130" s="185" t="s">
        <v>219</v>
      </c>
      <c r="AD130" s="185" t="s">
        <v>224</v>
      </c>
      <c r="AE130" s="185" t="s">
        <v>228</v>
      </c>
      <c r="AF130" s="187">
        <f t="shared" si="370"/>
        <v>0.1512</v>
      </c>
      <c r="AG130" s="188" t="str">
        <f t="shared" si="361"/>
        <v>Muy Baja</v>
      </c>
      <c r="AH130" s="186">
        <f t="shared" si="362"/>
        <v>0.1512</v>
      </c>
      <c r="AI130" s="188" t="str">
        <f t="shared" ca="1" si="363"/>
        <v>Menor</v>
      </c>
      <c r="AJ130" s="186">
        <f t="shared" ref="AJ130" ca="1" si="372">IFERROR(IF(AND(Y129="Impacto",Y130="Impacto"),(AJ129-(+AJ129*AB130)),IF(AND(Y129="Probabilidad",Y130="Impacto"),(AJ128-(+AJ128*AB130)),IF(Y130="Probabilidad",AJ129,""))),"")</f>
        <v>0.4</v>
      </c>
      <c r="AK130" s="189" t="str">
        <f t="shared" ca="1" si="365"/>
        <v>Bajo</v>
      </c>
      <c r="AL130" s="185" t="s">
        <v>255</v>
      </c>
      <c r="AM130" s="227"/>
      <c r="AN130" s="230"/>
      <c r="AO130" s="228"/>
      <c r="AP130" s="228"/>
      <c r="AQ130" s="227"/>
      <c r="AR130" s="229"/>
    </row>
    <row r="131" spans="1:44" s="191" customFormat="1" ht="152.25" customHeight="1" thickTop="1" thickBot="1" x14ac:dyDescent="0.3">
      <c r="A131" s="352">
        <v>54</v>
      </c>
      <c r="B131" s="358" t="s">
        <v>958</v>
      </c>
      <c r="C131" s="359" t="s">
        <v>274</v>
      </c>
      <c r="D131" s="357" t="s">
        <v>960</v>
      </c>
      <c r="E131" s="357" t="s">
        <v>240</v>
      </c>
      <c r="F131" s="360" t="s">
        <v>959</v>
      </c>
      <c r="G131" s="360" t="s">
        <v>1100</v>
      </c>
      <c r="H131" s="361" t="s">
        <v>1101</v>
      </c>
      <c r="I131" s="362" t="s">
        <v>474</v>
      </c>
      <c r="J131" s="362" t="s">
        <v>474</v>
      </c>
      <c r="K131" s="362" t="s">
        <v>474</v>
      </c>
      <c r="L131" s="362" t="s">
        <v>474</v>
      </c>
      <c r="M131" s="357" t="s">
        <v>239</v>
      </c>
      <c r="N131" s="357"/>
      <c r="O131" s="363">
        <v>320</v>
      </c>
      <c r="P131" s="364" t="str">
        <f>IF(O131&lt;=0,"",IF(O131&lt;=2,"Muy Baja",IF(O131&lt;=24,"Baja",IF(O131&lt;=500,"Media",IF(O131&lt;=5000,"Alta","Muy Alta")))))</f>
        <v>Media</v>
      </c>
      <c r="Q131" s="365">
        <f>IF(P131="","",IF(P131="Muy Baja",0.2,IF(P131="Baja",0.4,IF(P131="Media",0.6,IF(P131="Alta",0.8,IF(P131="Muy Alta",1,))))))</f>
        <v>0.6</v>
      </c>
      <c r="R131" s="365" t="s">
        <v>187</v>
      </c>
      <c r="S131" s="365" t="str">
        <f ca="1">IF(NOT(ISERROR(MATCH(R131,'Tabla Impacto'!$B$221:$B$223,0))),'Tabla Impacto'!$F$223&amp;"Por favor no seleccionar los criterios de impacto(Afectación Económica o presupuestal y Pérdida Reputacional)",R131)</f>
        <v>El riesgo afecta la imagen de la entidad internamente, de conocimiento general, nivel interno, de junta dircetiva y accionistas y/o de provedores</v>
      </c>
      <c r="T131" s="364"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Menor</v>
      </c>
      <c r="U131" s="365">
        <f t="shared" ref="U131" ca="1" si="373">IF(T131="","",IF(T131="Leve",0.2,IF(T131="Menor",0.4,IF(T131="Moderado",0.6,IF(T131="Mayor",0.8,IF(T131="Catastrófico",1,))))))</f>
        <v>0.4</v>
      </c>
      <c r="V131" s="351" t="str">
        <f t="shared" ref="V131" ca="1" si="374">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Moderado</v>
      </c>
      <c r="W131" s="233">
        <v>1</v>
      </c>
      <c r="X131" s="207" t="s">
        <v>1040</v>
      </c>
      <c r="Y131" s="230" t="str">
        <f t="shared" si="359"/>
        <v>Probabilidad</v>
      </c>
      <c r="Z131" s="185" t="s">
        <v>208</v>
      </c>
      <c r="AA131" s="185" t="s">
        <v>216</v>
      </c>
      <c r="AB131" s="186" t="str">
        <f t="shared" si="320"/>
        <v>40%</v>
      </c>
      <c r="AC131" s="185" t="s">
        <v>219</v>
      </c>
      <c r="AD131" s="185" t="s">
        <v>224</v>
      </c>
      <c r="AE131" s="185" t="s">
        <v>228</v>
      </c>
      <c r="AF131" s="187">
        <f t="shared" ref="AF131" si="375">IFERROR(IF(Y131="Probabilidad",(Q131-(+Q131*AB131)),IF(Y131="Impacto",Q131,"")),"")</f>
        <v>0.36</v>
      </c>
      <c r="AG131" s="188" t="str">
        <f t="shared" ref="AG131:AG132" si="376">IFERROR(IF(AF131="","",IF(AF131&lt;=0.2,"Muy Baja",IF(AF131&lt;=0.4,"Baja",IF(AF131&lt;=0.6,"Media",IF(AF131&lt;=0.8,"Alta","Muy Alta"))))),"")</f>
        <v>Baja</v>
      </c>
      <c r="AH131" s="186">
        <f t="shared" ref="AH131:AH132" si="377">+AF131</f>
        <v>0.36</v>
      </c>
      <c r="AI131" s="188" t="str">
        <f t="shared" ref="AI131:AI132" ca="1" si="378">IFERROR(IF(AJ131="","",IF(AJ131&lt;=0.2,"Leve",IF(AJ131&lt;=0.4,"Menor",IF(AJ131&lt;=0.6,"Moderado",IF(AJ131&lt;=0.8,"Mayor","Catastrófico"))))),"")</f>
        <v>Menor</v>
      </c>
      <c r="AJ131" s="186">
        <f t="shared" ref="AJ131" ca="1" si="379">IFERROR(IF(Y131="Impacto",(U131-(+U131*AB131)),IF(Y131="Probabilidad",U131,"")),"")</f>
        <v>0.4</v>
      </c>
      <c r="AK131" s="189" t="str">
        <f t="shared" ref="AK131:AK132" ca="1" si="380">IFERROR(IF(OR(AND(AG131="Muy Baja",AI131="Leve"),AND(AG131="Muy Baja",AI131="Menor"),AND(AG131="Baja",AI131="Leve")),"Bajo",IF(OR(AND(AG131="Muy baja",AI131="Moderado"),AND(AG131="Baja",AI131="Menor"),AND(AG131="Baja",AI131="Moderado"),AND(AG131="Media",AI131="Leve"),AND(AG131="Media",AI131="Menor"),AND(AG131="Media",AI131="Moderado"),AND(AG131="Alta",AI131="Leve"),AND(AG131="Alta",AI131="Menor")),"Moderado",IF(OR(AND(AG131="Muy Baja",AI131="Mayor"),AND(AG131="Baja",AI131="Mayor"),AND(AG131="Media",AI131="Mayor"),AND(AG131="Alta",AI131="Moderado"),AND(AG131="Alta",AI131="Mayor"),AND(AG131="Muy Alta",AI131="Leve"),AND(AG131="Muy Alta",AI131="Menor"),AND(AG131="Muy Alta",AI131="Moderado"),AND(AG131="Muy Alta",AI131="Mayor")),"Alto",IF(OR(AND(AG131="Muy Baja",AI131="Catastrófico"),AND(AG131="Baja",AI131="Catastrófico"),AND(AG131="Media",AI131="Catastrófico"),AND(AG131="Alta",AI131="Catastrófico"),AND(AG131="Muy Alta",AI131="Catastrófico")),"Extremo","")))),"")</f>
        <v>Moderado</v>
      </c>
      <c r="AL131" s="185" t="s">
        <v>255</v>
      </c>
      <c r="AM131" s="227"/>
      <c r="AN131" s="230"/>
      <c r="AO131" s="228"/>
      <c r="AP131" s="228"/>
      <c r="AQ131" s="227"/>
      <c r="AR131" s="229"/>
    </row>
    <row r="132" spans="1:44" s="191" customFormat="1" ht="152.25" customHeight="1" thickTop="1" thickBot="1" x14ac:dyDescent="0.3">
      <c r="A132" s="352"/>
      <c r="B132" s="358"/>
      <c r="C132" s="359"/>
      <c r="D132" s="357"/>
      <c r="E132" s="357"/>
      <c r="F132" s="360"/>
      <c r="G132" s="360"/>
      <c r="H132" s="361"/>
      <c r="I132" s="362"/>
      <c r="J132" s="362"/>
      <c r="K132" s="362"/>
      <c r="L132" s="362"/>
      <c r="M132" s="357"/>
      <c r="N132" s="357"/>
      <c r="O132" s="363"/>
      <c r="P132" s="364"/>
      <c r="Q132" s="365"/>
      <c r="R132" s="365"/>
      <c r="S132" s="365">
        <f ca="1">IF(NOT(ISERROR(MATCH(R132,_xlfn.ANCHORARRAY(H140),0))),#REF!&amp;"Por favor no seleccionar los criterios de impacto",R132)</f>
        <v>0</v>
      </c>
      <c r="T132" s="364"/>
      <c r="U132" s="365"/>
      <c r="V132" s="351"/>
      <c r="W132" s="233">
        <v>2</v>
      </c>
      <c r="X132" s="207" t="s">
        <v>1089</v>
      </c>
      <c r="Y132" s="230" t="str">
        <f t="shared" si="359"/>
        <v>Probabilidad</v>
      </c>
      <c r="Z132" s="185" t="s">
        <v>208</v>
      </c>
      <c r="AA132" s="185" t="s">
        <v>216</v>
      </c>
      <c r="AB132" s="186" t="str">
        <f t="shared" ref="AB132" si="381">IF(AND(Z132="Preventivo",AA132="Automático"),"50%",IF(AND(Z132="Preventivo",AA132="Manual"),"40%",IF(AND(Z132="Detectivo",AA132="Automático"),"40%",IF(AND(Z132="Detectivo",AA132="Manual"),"30%",IF(AND(Z132="Correctivo",AA132="Automático"),"35%",IF(AND(Z132="Correctivo",AA132="Manual"),"25%",""))))))</f>
        <v>40%</v>
      </c>
      <c r="AC132" s="185" t="s">
        <v>219</v>
      </c>
      <c r="AD132" s="185" t="s">
        <v>224</v>
      </c>
      <c r="AE132" s="185" t="s">
        <v>228</v>
      </c>
      <c r="AF132" s="187">
        <f t="shared" ref="AF132" si="382">IFERROR(IF(AND(Y131="Probabilidad",Y132="Probabilidad"),(AH131-(+AH131*AB132)),IF(Y132="Probabilidad",(Q131-(+Q131*AB132)),IF(Y132="Impacto",AH131,""))),"")</f>
        <v>0.216</v>
      </c>
      <c r="AG132" s="188" t="str">
        <f t="shared" si="376"/>
        <v>Baja</v>
      </c>
      <c r="AH132" s="186">
        <f t="shared" si="377"/>
        <v>0.216</v>
      </c>
      <c r="AI132" s="188" t="str">
        <f t="shared" ca="1" si="378"/>
        <v>Menor</v>
      </c>
      <c r="AJ132" s="186">
        <f t="shared" ref="AJ132" ca="1" si="383">IFERROR(IF(AND(Y131="Impacto",Y132="Impacto"),(AJ131-(+AJ131*AB132)),IF(Y132="Impacto",(U131-(+U131*AB132)),IF(Y132="Probabilidad",AJ131,""))),"")</f>
        <v>0.4</v>
      </c>
      <c r="AK132" s="189" t="str">
        <f t="shared" ca="1" si="380"/>
        <v>Moderado</v>
      </c>
      <c r="AL132" s="185" t="s">
        <v>255</v>
      </c>
      <c r="AM132" s="227"/>
      <c r="AN132" s="230"/>
      <c r="AO132" s="228"/>
      <c r="AP132" s="228"/>
      <c r="AQ132" s="227"/>
      <c r="AR132" s="229"/>
    </row>
    <row r="133" spans="1:44" s="191" customFormat="1" ht="177" customHeight="1" thickTop="1" thickBot="1" x14ac:dyDescent="0.3">
      <c r="A133" s="352">
        <v>55</v>
      </c>
      <c r="B133" s="369" t="s">
        <v>707</v>
      </c>
      <c r="C133" s="357" t="s">
        <v>275</v>
      </c>
      <c r="D133" s="357" t="s">
        <v>708</v>
      </c>
      <c r="E133" s="357" t="s">
        <v>240</v>
      </c>
      <c r="F133" s="375" t="s">
        <v>709</v>
      </c>
      <c r="G133" s="375" t="s">
        <v>710</v>
      </c>
      <c r="H133" s="374" t="s">
        <v>1088</v>
      </c>
      <c r="I133" s="362" t="s">
        <v>474</v>
      </c>
      <c r="J133" s="362" t="s">
        <v>474</v>
      </c>
      <c r="K133" s="362" t="s">
        <v>474</v>
      </c>
      <c r="L133" s="362" t="s">
        <v>474</v>
      </c>
      <c r="M133" s="357" t="s">
        <v>239</v>
      </c>
      <c r="N133" s="357"/>
      <c r="O133" s="363">
        <v>53</v>
      </c>
      <c r="P133" s="364" t="str">
        <f>IF(O133&lt;=0,"",IF(O133&lt;=2,"Muy Baja",IF(O133&lt;=24,"Baja",IF(O133&lt;=500,"Media",IF(O133&lt;=5000,"Alta","Muy Alta")))))</f>
        <v>Media</v>
      </c>
      <c r="Q133" s="365">
        <f>IF(P133="","",IF(P133="Muy Baja",0.2,IF(P133="Baja",0.4,IF(P133="Media",0.6,IF(P133="Alta",0.8,IF(P133="Muy Alta",1,))))))</f>
        <v>0.6</v>
      </c>
      <c r="R133" s="365" t="s">
        <v>183</v>
      </c>
      <c r="S133" s="365" t="str">
        <f ca="1">IF(NOT(ISERROR(MATCH(R133,'Tabla Impacto'!$B$221:$B$223,0))),'Tabla Impacto'!$F$223&amp;"Por favor no seleccionar los criterios de impacto(Afectación Económica o presupuestal y Pérdida Reputacional)",R133)</f>
        <v xml:space="preserve">Afectación menor a 10 SMLMV </v>
      </c>
      <c r="T133" s="364" t="str">
        <f ca="1">+IF(OR(S133='[1]Tabla Impacto'!$C$11,S133='[1]Tabla Impacto'!$D$11),"Leve",IF(OR(S133='[1]Tabla Impacto'!$C$12,S133='[1]Tabla Impacto'!$D$12),"Menor",IF(OR(S133='[1]Tabla Impacto'!$C$13,S133='[1]Tabla Impacto'!$D$13),"Moderado",IF(OR(S133='[1]Tabla Impacto'!$C$14,S133='[1]Tabla Impacto'!$D$14),"Mayor",IF(OR(S133='[1]Tabla Impacto'!$C$15,S133='[1]Tabla Impacto'!$D$15),"Catastrófico","")))))</f>
        <v>Leve</v>
      </c>
      <c r="U133" s="365">
        <f t="shared" ref="U133" ca="1" si="384">IF(T133="","",IF(T133="Leve",0.2,IF(T133="Menor",0.4,IF(T133="Moderado",0.6,IF(T133="Mayor",0.8,IF(T133="Catastrófico",1,))))))</f>
        <v>0.2</v>
      </c>
      <c r="V133" s="351" t="str">
        <f t="shared" ref="V133" ca="1" si="385">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Moderado</v>
      </c>
      <c r="W133" s="233">
        <v>1</v>
      </c>
      <c r="X133" s="207" t="s">
        <v>711</v>
      </c>
      <c r="Y133" s="230" t="str">
        <f t="shared" si="336"/>
        <v>Probabilidad</v>
      </c>
      <c r="Z133" s="185" t="s">
        <v>208</v>
      </c>
      <c r="AA133" s="185" t="s">
        <v>216</v>
      </c>
      <c r="AB133" s="186" t="str">
        <f t="shared" si="320"/>
        <v>40%</v>
      </c>
      <c r="AC133" s="185" t="s">
        <v>219</v>
      </c>
      <c r="AD133" s="185" t="s">
        <v>224</v>
      </c>
      <c r="AE133" s="185" t="s">
        <v>228</v>
      </c>
      <c r="AF133" s="187">
        <f t="shared" ref="AF133" si="386">IFERROR(IF(Y133="Probabilidad",(Q133-(+Q133*AB133)),IF(Y133="Impacto",Q133,"")),"")</f>
        <v>0.36</v>
      </c>
      <c r="AG133" s="188" t="str">
        <f t="shared" si="337"/>
        <v>Baja</v>
      </c>
      <c r="AH133" s="186">
        <f t="shared" si="338"/>
        <v>0.36</v>
      </c>
      <c r="AI133" s="188" t="str">
        <f t="shared" ca="1" si="339"/>
        <v>Leve</v>
      </c>
      <c r="AJ133" s="186">
        <f t="shared" ref="AJ133" ca="1" si="387">IFERROR(IF(Y133="Impacto",(U133-(+U133*AB133)),IF(Y133="Probabilidad",U133,"")),"")</f>
        <v>0.2</v>
      </c>
      <c r="AK133" s="189" t="str">
        <f t="shared" ca="1" si="340"/>
        <v>Bajo</v>
      </c>
      <c r="AL133" s="185" t="s">
        <v>255</v>
      </c>
      <c r="AM133" s="227"/>
      <c r="AN133" s="230"/>
      <c r="AO133" s="228"/>
      <c r="AP133" s="228"/>
      <c r="AQ133" s="227"/>
      <c r="AR133" s="229"/>
    </row>
    <row r="134" spans="1:44" s="191" customFormat="1" ht="153.75" customHeight="1" thickTop="1" thickBot="1" x14ac:dyDescent="0.3">
      <c r="A134" s="352"/>
      <c r="B134" s="369"/>
      <c r="C134" s="357"/>
      <c r="D134" s="357"/>
      <c r="E134" s="357"/>
      <c r="F134" s="375"/>
      <c r="G134" s="375"/>
      <c r="H134" s="374"/>
      <c r="I134" s="362"/>
      <c r="J134" s="362"/>
      <c r="K134" s="362"/>
      <c r="L134" s="362"/>
      <c r="M134" s="357"/>
      <c r="N134" s="357"/>
      <c r="O134" s="363"/>
      <c r="P134" s="364"/>
      <c r="Q134" s="365"/>
      <c r="R134" s="365"/>
      <c r="S134" s="365">
        <f ca="1">IF(NOT(ISERROR(MATCH(R134,_xlfn.ANCHORARRAY(H136),0))),#REF!&amp;"Por favor no seleccionar los criterios de impacto",R134)</f>
        <v>0</v>
      </c>
      <c r="T134" s="364"/>
      <c r="U134" s="365"/>
      <c r="V134" s="351"/>
      <c r="W134" s="233">
        <v>2</v>
      </c>
      <c r="X134" s="207" t="s">
        <v>712</v>
      </c>
      <c r="Y134" s="230" t="str">
        <f t="shared" si="336"/>
        <v>Probabilidad</v>
      </c>
      <c r="Z134" s="185" t="s">
        <v>208</v>
      </c>
      <c r="AA134" s="185" t="s">
        <v>216</v>
      </c>
      <c r="AB134" s="186" t="str">
        <f t="shared" si="320"/>
        <v>40%</v>
      </c>
      <c r="AC134" s="185" t="s">
        <v>219</v>
      </c>
      <c r="AD134" s="185" t="s">
        <v>224</v>
      </c>
      <c r="AE134" s="185" t="s">
        <v>228</v>
      </c>
      <c r="AF134" s="187">
        <f t="shared" ref="AF134" si="388">IFERROR(IF(AND(Y133="Probabilidad",Y134="Probabilidad"),(AH133-(+AH133*AB134)),IF(Y134="Probabilidad",(Q133-(+Q133*AB134)),IF(Y134="Impacto",AH133,""))),"")</f>
        <v>0.216</v>
      </c>
      <c r="AG134" s="188" t="str">
        <f t="shared" si="337"/>
        <v>Baja</v>
      </c>
      <c r="AH134" s="186">
        <f t="shared" si="338"/>
        <v>0.216</v>
      </c>
      <c r="AI134" s="188" t="str">
        <f t="shared" ca="1" si="339"/>
        <v>Leve</v>
      </c>
      <c r="AJ134" s="186">
        <f t="shared" ref="AJ134" ca="1" si="389">IFERROR(IF(AND(Y133="Impacto",Y134="Impacto"),(AJ133-(+AJ133*AB134)),IF(Y134="Impacto",(U133-(+U133*AB134)),IF(Y134="Probabilidad",AJ133,""))),"")</f>
        <v>0.2</v>
      </c>
      <c r="AK134" s="189" t="str">
        <f t="shared" ca="1" si="340"/>
        <v>Bajo</v>
      </c>
      <c r="AL134" s="185" t="s">
        <v>255</v>
      </c>
      <c r="AM134" s="227"/>
      <c r="AN134" s="230"/>
      <c r="AO134" s="228"/>
      <c r="AP134" s="228"/>
      <c r="AQ134" s="227"/>
      <c r="AR134" s="229"/>
    </row>
    <row r="135" spans="1:44" s="191" customFormat="1" ht="270" customHeight="1" thickTop="1" thickBot="1" x14ac:dyDescent="0.3">
      <c r="A135" s="226">
        <v>56</v>
      </c>
      <c r="B135" s="242" t="s">
        <v>713</v>
      </c>
      <c r="C135" s="227" t="s">
        <v>275</v>
      </c>
      <c r="D135" s="244" t="s">
        <v>708</v>
      </c>
      <c r="E135" s="227" t="s">
        <v>240</v>
      </c>
      <c r="F135" s="234" t="s">
        <v>709</v>
      </c>
      <c r="G135" s="234" t="s">
        <v>714</v>
      </c>
      <c r="H135" s="251" t="s">
        <v>982</v>
      </c>
      <c r="I135" s="231" t="s">
        <v>474</v>
      </c>
      <c r="J135" s="231" t="s">
        <v>474</v>
      </c>
      <c r="K135" s="231" t="s">
        <v>474</v>
      </c>
      <c r="L135" s="231" t="s">
        <v>474</v>
      </c>
      <c r="M135" s="227" t="s">
        <v>239</v>
      </c>
      <c r="N135" s="227"/>
      <c r="O135" s="230">
        <v>365</v>
      </c>
      <c r="P135" s="232" t="str">
        <f>IF(O135&lt;=0,"",IF(O135&lt;=2,"Muy Baja",IF(O135&lt;=24,"Baja",IF(O135&lt;=500,"Media",IF(O135&lt;=5000,"Alta","Muy Alta")))))</f>
        <v>Media</v>
      </c>
      <c r="Q135" s="225">
        <f>IF(P135="","",IF(P135="Muy Baja",0.2,IF(P135="Baja",0.4,IF(P135="Media",0.6,IF(P135="Alta",0.8,IF(P135="Muy Alta",1,))))))</f>
        <v>0.6</v>
      </c>
      <c r="R135" s="225" t="s">
        <v>186</v>
      </c>
      <c r="S135" s="225" t="str">
        <f ca="1">IF(NOT(ISERROR(MATCH(R135,'Tabla Impacto'!$B$221:$B$223,0))),'Tabla Impacto'!$F$223&amp;"Por favor no seleccionar los criterios de impacto(Afectación Económica o presupuestal y Pérdida Reputacional)",R135)</f>
        <v xml:space="preserve">Entre 10 y 50 SMLMV </v>
      </c>
      <c r="T135" s="232" t="str">
        <f ca="1">+IF(OR(S135='[1]Tabla Impacto'!$C$11,S135='[1]Tabla Impacto'!$D$11),"Leve",IF(OR(S135='[1]Tabla Impacto'!$C$12,S135='[1]Tabla Impacto'!$D$12),"Menor",IF(OR(S135='[1]Tabla Impacto'!$C$13,S135='[1]Tabla Impacto'!$D$13),"Moderado",IF(OR(S135='[1]Tabla Impacto'!$C$14,S135='[1]Tabla Impacto'!$D$14),"Mayor",IF(OR(S135='[1]Tabla Impacto'!$C$15,S135='[1]Tabla Impacto'!$D$15),"Catastrófico","")))))</f>
        <v>Menor</v>
      </c>
      <c r="U135" s="225">
        <f t="shared" ref="U135" ca="1" si="390">IF(T135="","",IF(T135="Leve",0.2,IF(T135="Menor",0.4,IF(T135="Moderado",0.6,IF(T135="Mayor",0.8,IF(T135="Catastrófico",1,))))))</f>
        <v>0.4</v>
      </c>
      <c r="V135" s="233" t="str">
        <f t="shared" ref="V135" ca="1" si="391">IF(OR(AND(P135="Muy Baja",T135="Leve"),AND(P135="Muy Baja",T135="Menor"),AND(P135="Baja",T135="Leve")),"Bajo",IF(OR(AND(P135="Muy baja",T135="Moderado"),AND(P135="Baja",T135="Menor"),AND(P135="Baja",T135="Moderado"),AND(P135="Media",T135="Leve"),AND(P135="Media",T135="Menor"),AND(P135="Media",T135="Moderado"),AND(P135="Alta",T135="Leve"),AND(P135="Alta",T135="Menor")),"Moderado",IF(OR(AND(P135="Muy Baja",T135="Mayor"),AND(P135="Baja",T135="Mayor"),AND(P135="Media",T135="Mayor"),AND(P135="Alta",T135="Moderado"),AND(P135="Alta",T135="Mayor"),AND(P135="Muy Alta",T135="Leve"),AND(P135="Muy Alta",T135="Menor"),AND(P135="Muy Alta",T135="Moderado"),AND(P135="Muy Alta",T135="Mayor")),"Alto",IF(OR(AND(P135="Muy Baja",T135="Catastrófico"),AND(P135="Baja",T135="Catastrófico"),AND(P135="Media",T135="Catastrófico"),AND(P135="Alta",T135="Catastrófico"),AND(P135="Muy Alta",T135="Catastrófico")),"Extremo",""))))</f>
        <v>Moderado</v>
      </c>
      <c r="W135" s="233">
        <v>1</v>
      </c>
      <c r="X135" s="207" t="s">
        <v>715</v>
      </c>
      <c r="Y135" s="230" t="str">
        <f t="shared" si="336"/>
        <v>Probabilidad</v>
      </c>
      <c r="Z135" s="185" t="s">
        <v>208</v>
      </c>
      <c r="AA135" s="185" t="s">
        <v>216</v>
      </c>
      <c r="AB135" s="186" t="str">
        <f t="shared" si="320"/>
        <v>40%</v>
      </c>
      <c r="AC135" s="185" t="s">
        <v>219</v>
      </c>
      <c r="AD135" s="185" t="s">
        <v>224</v>
      </c>
      <c r="AE135" s="185" t="s">
        <v>228</v>
      </c>
      <c r="AF135" s="187">
        <f t="shared" ref="AF135" si="392">IFERROR(IF(Y135="Probabilidad",(Q135-(+Q135*AB135)),IF(Y135="Impacto",Q135,"")),"")</f>
        <v>0.36</v>
      </c>
      <c r="AG135" s="188" t="str">
        <f t="shared" si="337"/>
        <v>Baja</v>
      </c>
      <c r="AH135" s="186">
        <f t="shared" si="338"/>
        <v>0.36</v>
      </c>
      <c r="AI135" s="188" t="str">
        <f t="shared" ca="1" si="339"/>
        <v>Menor</v>
      </c>
      <c r="AJ135" s="186">
        <f t="shared" ref="AJ135" ca="1" si="393">IFERROR(IF(Y135="Impacto",(U135-(+U135*AB135)),IF(Y135="Probabilidad",U135,"")),"")</f>
        <v>0.4</v>
      </c>
      <c r="AK135" s="189" t="str">
        <f t="shared" ca="1" si="340"/>
        <v>Moderado</v>
      </c>
      <c r="AL135" s="185" t="s">
        <v>255</v>
      </c>
      <c r="AM135" s="227"/>
      <c r="AN135" s="230"/>
      <c r="AO135" s="228"/>
      <c r="AP135" s="228"/>
      <c r="AQ135" s="227"/>
      <c r="AR135" s="229"/>
    </row>
    <row r="136" spans="1:44" s="191" customFormat="1" ht="116.25" customHeight="1" thickTop="1" thickBot="1" x14ac:dyDescent="0.3">
      <c r="A136" s="352">
        <v>57</v>
      </c>
      <c r="B136" s="353" t="s">
        <v>716</v>
      </c>
      <c r="C136" s="357" t="s">
        <v>276</v>
      </c>
      <c r="D136" s="357" t="s">
        <v>961</v>
      </c>
      <c r="E136" s="357" t="s">
        <v>240</v>
      </c>
      <c r="F136" s="375" t="s">
        <v>717</v>
      </c>
      <c r="G136" s="375" t="s">
        <v>718</v>
      </c>
      <c r="H136" s="374" t="s">
        <v>1146</v>
      </c>
      <c r="I136" s="362" t="s">
        <v>474</v>
      </c>
      <c r="J136" s="362" t="s">
        <v>474</v>
      </c>
      <c r="K136" s="362" t="s">
        <v>474</v>
      </c>
      <c r="L136" s="362" t="s">
        <v>474</v>
      </c>
      <c r="M136" s="357" t="s">
        <v>242</v>
      </c>
      <c r="N136" s="357"/>
      <c r="O136" s="363">
        <v>1095</v>
      </c>
      <c r="P136" s="364" t="str">
        <f>IF(O136&lt;=0,"",IF(O136&lt;=2,"Muy Baja",IF(O136&lt;=24,"Baja",IF(O136&lt;=500,"Media",IF(O136&lt;=5000,"Alta","Muy Alta")))))</f>
        <v>Alta</v>
      </c>
      <c r="Q136" s="365">
        <f>IF(P136="","",IF(P136="Muy Baja",0.2,IF(P136="Baja",0.4,IF(P136="Media",0.6,IF(P136="Alta",0.8,IF(P136="Muy Alta",1,))))))</f>
        <v>0.8</v>
      </c>
      <c r="R136" s="365" t="s">
        <v>186</v>
      </c>
      <c r="S136" s="365" t="str">
        <f ca="1">IF(NOT(ISERROR(MATCH(R136,'Tabla Impacto'!$B$221:$B$223,0))),'Tabla Impacto'!$F$223&amp;"Por favor no seleccionar los criterios de impacto(Afectación Económica o presupuestal y Pérdida Reputacional)",R136)</f>
        <v xml:space="preserve">Entre 10 y 50 SMLMV </v>
      </c>
      <c r="T136" s="364" t="str">
        <f ca="1">+IF(OR(S136='[1]Tabla Impacto'!$C$11,S136='[1]Tabla Impacto'!$D$11),"Leve",IF(OR(S136='[1]Tabla Impacto'!$C$12,S136='[1]Tabla Impacto'!$D$12),"Menor",IF(OR(S136='[1]Tabla Impacto'!$C$13,S136='[1]Tabla Impacto'!$D$13),"Moderado",IF(OR(S136='[1]Tabla Impacto'!$C$14,S136='[1]Tabla Impacto'!$D$14),"Mayor",IF(OR(S136='[1]Tabla Impacto'!$C$15,S136='[1]Tabla Impacto'!$D$15),"Catastrófico","")))))</f>
        <v>Menor</v>
      </c>
      <c r="U136" s="365">
        <f t="shared" ref="U136" ca="1" si="394">IF(T136="","",IF(T136="Leve",0.2,IF(T136="Menor",0.4,IF(T136="Moderado",0.6,IF(T136="Mayor",0.8,IF(T136="Catastrófico",1,))))))</f>
        <v>0.4</v>
      </c>
      <c r="V136" s="351" t="str">
        <f t="shared" ref="V136" ca="1" si="395">IF(OR(AND(P136="Muy Baja",T136="Leve"),AND(P136="Muy Baja",T136="Menor"),AND(P136="Baja",T136="Leve")),"Bajo",IF(OR(AND(P136="Muy baja",T136="Moderado"),AND(P136="Baja",T136="Menor"),AND(P136="Baja",T136="Moderado"),AND(P136="Media",T136="Leve"),AND(P136="Media",T136="Menor"),AND(P136="Media",T136="Moderado"),AND(P136="Alta",T136="Leve"),AND(P136="Alta",T136="Menor")),"Moderado",IF(OR(AND(P136="Muy Baja",T136="Mayor"),AND(P136="Baja",T136="Mayor"),AND(P136="Media",T136="Mayor"),AND(P136="Alta",T136="Moderado"),AND(P136="Alta",T136="Mayor"),AND(P136="Muy Alta",T136="Leve"),AND(P136="Muy Alta",T136="Menor"),AND(P136="Muy Alta",T136="Moderado"),AND(P136="Muy Alta",T136="Mayor")),"Alto",IF(OR(AND(P136="Muy Baja",T136="Catastrófico"),AND(P136="Baja",T136="Catastrófico"),AND(P136="Media",T136="Catastrófico"),AND(P136="Alta",T136="Catastrófico"),AND(P136="Muy Alta",T136="Catastrófico")),"Extremo",""))))</f>
        <v>Moderado</v>
      </c>
      <c r="W136" s="233">
        <v>1</v>
      </c>
      <c r="X136" s="207" t="s">
        <v>719</v>
      </c>
      <c r="Y136" s="230" t="str">
        <f t="shared" si="336"/>
        <v>Probabilidad</v>
      </c>
      <c r="Z136" s="185" t="s">
        <v>208</v>
      </c>
      <c r="AA136" s="185" t="s">
        <v>216</v>
      </c>
      <c r="AB136" s="186" t="str">
        <f t="shared" ref="AB136:AB157" si="396">IF(AND(Z136="Preventivo",AA136="Automático"),"50%",IF(AND(Z136="Preventivo",AA136="Manual"),"40%",IF(AND(Z136="Detectivo",AA136="Automático"),"40%",IF(AND(Z136="Detectivo",AA136="Manual"),"30%",IF(AND(Z136="Correctivo",AA136="Automático"),"35%",IF(AND(Z136="Correctivo",AA136="Manual"),"25%",""))))))</f>
        <v>40%</v>
      </c>
      <c r="AC136" s="185" t="s">
        <v>219</v>
      </c>
      <c r="AD136" s="185" t="s">
        <v>224</v>
      </c>
      <c r="AE136" s="185" t="s">
        <v>228</v>
      </c>
      <c r="AF136" s="187">
        <f t="shared" ref="AF136" si="397">IFERROR(IF(Y136="Probabilidad",(Q136-(+Q136*AB136)),IF(Y136="Impacto",Q136,"")),"")</f>
        <v>0.48</v>
      </c>
      <c r="AG136" s="188" t="str">
        <f t="shared" si="337"/>
        <v>Media</v>
      </c>
      <c r="AH136" s="186">
        <f t="shared" si="338"/>
        <v>0.48</v>
      </c>
      <c r="AI136" s="188" t="str">
        <f t="shared" ca="1" si="339"/>
        <v>Menor</v>
      </c>
      <c r="AJ136" s="186">
        <f t="shared" ref="AJ136" ca="1" si="398">IFERROR(IF(Y136="Impacto",(U136-(+U136*AB136)),IF(Y136="Probabilidad",U136,"")),"")</f>
        <v>0.4</v>
      </c>
      <c r="AK136" s="189" t="str">
        <f t="shared" ca="1" si="340"/>
        <v>Moderado</v>
      </c>
      <c r="AL136" s="185" t="s">
        <v>255</v>
      </c>
      <c r="AM136" s="227"/>
      <c r="AN136" s="230"/>
      <c r="AO136" s="228"/>
      <c r="AP136" s="228"/>
      <c r="AQ136" s="227"/>
      <c r="AR136" s="229"/>
    </row>
    <row r="137" spans="1:44" s="191" customFormat="1" ht="110.25" thickTop="1" thickBot="1" x14ac:dyDescent="0.3">
      <c r="A137" s="352"/>
      <c r="B137" s="353"/>
      <c r="C137" s="357"/>
      <c r="D137" s="357"/>
      <c r="E137" s="357"/>
      <c r="F137" s="375"/>
      <c r="G137" s="375"/>
      <c r="H137" s="374"/>
      <c r="I137" s="362"/>
      <c r="J137" s="362"/>
      <c r="K137" s="362"/>
      <c r="L137" s="362"/>
      <c r="M137" s="357"/>
      <c r="N137" s="357"/>
      <c r="O137" s="363"/>
      <c r="P137" s="364"/>
      <c r="Q137" s="365"/>
      <c r="R137" s="365"/>
      <c r="S137" s="365">
        <f ca="1">IF(NOT(ISERROR(MATCH(R137,_xlfn.ANCHORARRAY(H140),0))),#REF!&amp;"Por favor no seleccionar los criterios de impacto",R137)</f>
        <v>0</v>
      </c>
      <c r="T137" s="364"/>
      <c r="U137" s="365"/>
      <c r="V137" s="351"/>
      <c r="W137" s="233">
        <v>2</v>
      </c>
      <c r="X137" s="207" t="s">
        <v>720</v>
      </c>
      <c r="Y137" s="230" t="str">
        <f t="shared" si="336"/>
        <v>Probabilidad</v>
      </c>
      <c r="Z137" s="185" t="s">
        <v>208</v>
      </c>
      <c r="AA137" s="185" t="s">
        <v>216</v>
      </c>
      <c r="AB137" s="186" t="str">
        <f t="shared" si="396"/>
        <v>40%</v>
      </c>
      <c r="AC137" s="185" t="s">
        <v>219</v>
      </c>
      <c r="AD137" s="185" t="s">
        <v>224</v>
      </c>
      <c r="AE137" s="185" t="s">
        <v>228</v>
      </c>
      <c r="AF137" s="187">
        <f t="shared" ref="AF137" si="399">IFERROR(IF(AND(Y136="Probabilidad",Y137="Probabilidad"),(AH136-(+AH136*AB137)),IF(Y137="Probabilidad",(Q136-(+Q136*AB137)),IF(Y137="Impacto",AH136,""))),"")</f>
        <v>0.28799999999999998</v>
      </c>
      <c r="AG137" s="188" t="str">
        <f t="shared" si="337"/>
        <v>Baja</v>
      </c>
      <c r="AH137" s="186">
        <f t="shared" si="338"/>
        <v>0.28799999999999998</v>
      </c>
      <c r="AI137" s="188" t="str">
        <f t="shared" ca="1" si="339"/>
        <v>Menor</v>
      </c>
      <c r="AJ137" s="186">
        <f t="shared" ref="AJ137" ca="1" si="400">IFERROR(IF(AND(Y136="Impacto",Y137="Impacto"),(AJ136-(+AJ136*AB137)),IF(Y137="Impacto",(U136-(+U136*AB137)),IF(Y137="Probabilidad",AJ136,""))),"")</f>
        <v>0.4</v>
      </c>
      <c r="AK137" s="189" t="str">
        <f t="shared" ca="1" si="340"/>
        <v>Moderado</v>
      </c>
      <c r="AL137" s="185" t="s">
        <v>255</v>
      </c>
      <c r="AM137" s="227"/>
      <c r="AN137" s="230"/>
      <c r="AO137" s="228"/>
      <c r="AP137" s="228"/>
      <c r="AQ137" s="227"/>
      <c r="AR137" s="229"/>
    </row>
    <row r="138" spans="1:44" s="191" customFormat="1" ht="129" customHeight="1" thickTop="1" thickBot="1" x14ac:dyDescent="0.3">
      <c r="A138" s="352">
        <v>58</v>
      </c>
      <c r="B138" s="359" t="s">
        <v>721</v>
      </c>
      <c r="C138" s="357" t="s">
        <v>276</v>
      </c>
      <c r="D138" s="357" t="s">
        <v>962</v>
      </c>
      <c r="E138" s="357" t="s">
        <v>240</v>
      </c>
      <c r="F138" s="375" t="s">
        <v>722</v>
      </c>
      <c r="G138" s="375" t="s">
        <v>723</v>
      </c>
      <c r="H138" s="374" t="s">
        <v>1147</v>
      </c>
      <c r="I138" s="362" t="s">
        <v>474</v>
      </c>
      <c r="J138" s="362" t="s">
        <v>474</v>
      </c>
      <c r="K138" s="362" t="s">
        <v>474</v>
      </c>
      <c r="L138" s="362" t="s">
        <v>474</v>
      </c>
      <c r="M138" s="357" t="s">
        <v>239</v>
      </c>
      <c r="N138" s="357"/>
      <c r="O138" s="363">
        <v>365</v>
      </c>
      <c r="P138" s="364" t="str">
        <f>IF(O138&lt;=0,"",IF(O138&lt;=2,"Muy Baja",IF(O138&lt;=24,"Baja",IF(O138&lt;=500,"Media",IF(O138&lt;=5000,"Alta","Muy Alta")))))</f>
        <v>Media</v>
      </c>
      <c r="Q138" s="365">
        <f>IF(P138="","",IF(P138="Muy Baja",0.2,IF(P138="Baja",0.4,IF(P138="Media",0.6,IF(P138="Alta",0.8,IF(P138="Muy Alta",1,))))))</f>
        <v>0.6</v>
      </c>
      <c r="R138" s="365" t="s">
        <v>186</v>
      </c>
      <c r="S138" s="365" t="str">
        <f ca="1">IF(NOT(ISERROR(MATCH(R138,'Tabla Impacto'!$B$221:$B$223,0))),'Tabla Impacto'!$F$223&amp;"Por favor no seleccionar los criterios de impacto(Afectación Económica o presupuestal y Pérdida Reputacional)",R138)</f>
        <v xml:space="preserve">Entre 10 y 50 SMLMV </v>
      </c>
      <c r="T138" s="364" t="str">
        <f ca="1">+IF(OR(S138='[1]Tabla Impacto'!$C$11,S138='[1]Tabla Impacto'!$D$11),"Leve",IF(OR(S138='[1]Tabla Impacto'!$C$12,S138='[1]Tabla Impacto'!$D$12),"Menor",IF(OR(S138='[1]Tabla Impacto'!$C$13,S138='[1]Tabla Impacto'!$D$13),"Moderado",IF(OR(S138='[1]Tabla Impacto'!$C$14,S138='[1]Tabla Impacto'!$D$14),"Mayor",IF(OR(S138='[1]Tabla Impacto'!$C$15,S138='[1]Tabla Impacto'!$D$15),"Catastrófico","")))))</f>
        <v>Menor</v>
      </c>
      <c r="U138" s="365">
        <f t="shared" ref="U138" ca="1" si="401">IF(T138="","",IF(T138="Leve",0.2,IF(T138="Menor",0.4,IF(T138="Moderado",0.6,IF(T138="Mayor",0.8,IF(T138="Catastrófico",1,))))))</f>
        <v>0.4</v>
      </c>
      <c r="V138" s="351" t="str">
        <f t="shared" ref="V138" ca="1" si="402">IF(OR(AND(P138="Muy Baja",T138="Leve"),AND(P138="Muy Baja",T138="Menor"),AND(P138="Baja",T138="Leve")),"Bajo",IF(OR(AND(P138="Muy baja",T138="Moderado"),AND(P138="Baja",T138="Menor"),AND(P138="Baja",T138="Moderado"),AND(P138="Media",T138="Leve"),AND(P138="Media",T138="Menor"),AND(P138="Media",T138="Moderado"),AND(P138="Alta",T138="Leve"),AND(P138="Alta",T138="Menor")),"Moderado",IF(OR(AND(P138="Muy Baja",T138="Mayor"),AND(P138="Baja",T138="Mayor"),AND(P138="Media",T138="Mayor"),AND(P138="Alta",T138="Moderado"),AND(P138="Alta",T138="Mayor"),AND(P138="Muy Alta",T138="Leve"),AND(P138="Muy Alta",T138="Menor"),AND(P138="Muy Alta",T138="Moderado"),AND(P138="Muy Alta",T138="Mayor")),"Alto",IF(OR(AND(P138="Muy Baja",T138="Catastrófico"),AND(P138="Baja",T138="Catastrófico"),AND(P138="Media",T138="Catastrófico"),AND(P138="Alta",T138="Catastrófico"),AND(P138="Muy Alta",T138="Catastrófico")),"Extremo",""))))</f>
        <v>Moderado</v>
      </c>
      <c r="W138" s="233">
        <v>1</v>
      </c>
      <c r="X138" s="207" t="s">
        <v>724</v>
      </c>
      <c r="Y138" s="230" t="str">
        <f t="shared" si="336"/>
        <v>Probabilidad</v>
      </c>
      <c r="Z138" s="185" t="s">
        <v>208</v>
      </c>
      <c r="AA138" s="185" t="s">
        <v>216</v>
      </c>
      <c r="AB138" s="186" t="str">
        <f t="shared" si="396"/>
        <v>40%</v>
      </c>
      <c r="AC138" s="185" t="s">
        <v>219</v>
      </c>
      <c r="AD138" s="185" t="s">
        <v>224</v>
      </c>
      <c r="AE138" s="185" t="s">
        <v>228</v>
      </c>
      <c r="AF138" s="187">
        <f t="shared" ref="AF138" si="403">IFERROR(IF(Y138="Probabilidad",(Q138-(+Q138*AB138)),IF(Y138="Impacto",Q138,"")),"")</f>
        <v>0.36</v>
      </c>
      <c r="AG138" s="188" t="str">
        <f t="shared" si="337"/>
        <v>Baja</v>
      </c>
      <c r="AH138" s="186">
        <f t="shared" si="338"/>
        <v>0.36</v>
      </c>
      <c r="AI138" s="188" t="str">
        <f t="shared" ca="1" si="339"/>
        <v>Menor</v>
      </c>
      <c r="AJ138" s="186">
        <f t="shared" ref="AJ138" ca="1" si="404">IFERROR(IF(Y138="Impacto",(U138-(+U138*AB138)),IF(Y138="Probabilidad",U138,"")),"")</f>
        <v>0.4</v>
      </c>
      <c r="AK138" s="189" t="str">
        <f t="shared" ca="1" si="340"/>
        <v>Moderado</v>
      </c>
      <c r="AL138" s="185" t="s">
        <v>255</v>
      </c>
      <c r="AM138" s="227"/>
      <c r="AN138" s="230"/>
      <c r="AO138" s="228"/>
      <c r="AP138" s="228"/>
      <c r="AQ138" s="227"/>
      <c r="AR138" s="229"/>
    </row>
    <row r="139" spans="1:44" s="191" customFormat="1" ht="129" customHeight="1" thickTop="1" thickBot="1" x14ac:dyDescent="0.3">
      <c r="A139" s="352"/>
      <c r="B139" s="359"/>
      <c r="C139" s="357"/>
      <c r="D139" s="357"/>
      <c r="E139" s="357"/>
      <c r="F139" s="375"/>
      <c r="G139" s="375"/>
      <c r="H139" s="374"/>
      <c r="I139" s="362"/>
      <c r="J139" s="362"/>
      <c r="K139" s="362"/>
      <c r="L139" s="362"/>
      <c r="M139" s="357"/>
      <c r="N139" s="357"/>
      <c r="O139" s="363"/>
      <c r="P139" s="364"/>
      <c r="Q139" s="365"/>
      <c r="R139" s="365"/>
      <c r="S139" s="365">
        <f ca="1">IF(NOT(ISERROR(MATCH(R139,_xlfn.ANCHORARRAY(H141),0))),#REF!&amp;"Por favor no seleccionar los criterios de impacto",R139)</f>
        <v>0</v>
      </c>
      <c r="T139" s="364"/>
      <c r="U139" s="365"/>
      <c r="V139" s="351"/>
      <c r="W139" s="233">
        <v>2</v>
      </c>
      <c r="X139" s="207" t="s">
        <v>725</v>
      </c>
      <c r="Y139" s="230" t="str">
        <f t="shared" si="336"/>
        <v>Probabilidad</v>
      </c>
      <c r="Z139" s="185" t="s">
        <v>210</v>
      </c>
      <c r="AA139" s="185" t="s">
        <v>216</v>
      </c>
      <c r="AB139" s="186" t="str">
        <f t="shared" si="396"/>
        <v>30%</v>
      </c>
      <c r="AC139" s="185" t="s">
        <v>219</v>
      </c>
      <c r="AD139" s="185" t="s">
        <v>224</v>
      </c>
      <c r="AE139" s="185" t="s">
        <v>228</v>
      </c>
      <c r="AF139" s="187">
        <f t="shared" ref="AF139" si="405">IFERROR(IF(AND(Y138="Probabilidad",Y139="Probabilidad"),(AH138-(+AH138*AB139)),IF(Y139="Probabilidad",(Q138-(+Q138*AB139)),IF(Y139="Impacto",AH138,""))),"")</f>
        <v>0.252</v>
      </c>
      <c r="AG139" s="188" t="str">
        <f t="shared" si="337"/>
        <v>Baja</v>
      </c>
      <c r="AH139" s="186">
        <f t="shared" si="338"/>
        <v>0.252</v>
      </c>
      <c r="AI139" s="188" t="str">
        <f t="shared" ca="1" si="339"/>
        <v>Menor</v>
      </c>
      <c r="AJ139" s="186">
        <f t="shared" ref="AJ139" ca="1" si="406">IFERROR(IF(AND(Y138="Impacto",Y139="Impacto"),(AJ138-(+AJ138*AB139)),IF(Y139="Impacto",(U138-(+U138*AB139)),IF(Y139="Probabilidad",AJ138,""))),"")</f>
        <v>0.4</v>
      </c>
      <c r="AK139" s="189" t="str">
        <f t="shared" ca="1" si="340"/>
        <v>Moderado</v>
      </c>
      <c r="AL139" s="185" t="s">
        <v>255</v>
      </c>
      <c r="AM139" s="227"/>
      <c r="AN139" s="230"/>
      <c r="AO139" s="228"/>
      <c r="AP139" s="228"/>
      <c r="AQ139" s="227"/>
      <c r="AR139" s="229"/>
    </row>
    <row r="140" spans="1:44" s="191" customFormat="1" ht="242.25" customHeight="1" thickTop="1" thickBot="1" x14ac:dyDescent="0.3">
      <c r="A140" s="226">
        <v>59</v>
      </c>
      <c r="B140" s="249" t="s">
        <v>726</v>
      </c>
      <c r="C140" s="227" t="s">
        <v>276</v>
      </c>
      <c r="D140" s="244" t="s">
        <v>962</v>
      </c>
      <c r="E140" s="227" t="s">
        <v>240</v>
      </c>
      <c r="F140" s="234" t="s">
        <v>722</v>
      </c>
      <c r="G140" s="234" t="s">
        <v>727</v>
      </c>
      <c r="H140" s="251" t="s">
        <v>1148</v>
      </c>
      <c r="I140" s="231" t="s">
        <v>474</v>
      </c>
      <c r="J140" s="231" t="s">
        <v>474</v>
      </c>
      <c r="K140" s="231" t="s">
        <v>474</v>
      </c>
      <c r="L140" s="231" t="s">
        <v>474</v>
      </c>
      <c r="M140" s="227" t="s">
        <v>239</v>
      </c>
      <c r="N140" s="227"/>
      <c r="O140" s="230">
        <v>365</v>
      </c>
      <c r="P140" s="232" t="str">
        <f>IF(O140&lt;=0,"",IF(O140&lt;=2,"Muy Baja",IF(O140&lt;=24,"Baja",IF(O140&lt;=500,"Media",IF(O140&lt;=5000,"Alta","Muy Alta")))))</f>
        <v>Media</v>
      </c>
      <c r="Q140" s="225">
        <f>IF(P140="","",IF(P140="Muy Baja",0.2,IF(P140="Baja",0.4,IF(P140="Media",0.6,IF(P140="Alta",0.8,IF(P140="Muy Alta",1,))))))</f>
        <v>0.6</v>
      </c>
      <c r="R140" s="225" t="s">
        <v>193</v>
      </c>
      <c r="S140" s="225" t="str">
        <f ca="1">IF(NOT(ISERROR(MATCH(R140,'Tabla Impacto'!$B$221:$B$223,0))),'Tabla Impacto'!$F$223&amp;"Por favor no seleccionar los criterios de impacto(Afectación Económica o presupuestal y Pérdida Reputacional)",R140)</f>
        <v>El riesgo afecta la imagen de de la entidad con efecto publicitario sostenido a nivel de sector administrativo, nivel departamental o municipal</v>
      </c>
      <c r="T140" s="232" t="str">
        <f ca="1">+IF(OR(S140='[1]Tabla Impacto'!$C$11,S140='[1]Tabla Impacto'!$D$11),"Leve",IF(OR(S140='[1]Tabla Impacto'!$C$12,S140='[1]Tabla Impacto'!$D$12),"Menor",IF(OR(S140='[1]Tabla Impacto'!$C$13,S140='[1]Tabla Impacto'!$D$13),"Moderado",IF(OR(S140='[1]Tabla Impacto'!$C$14,S140='[1]Tabla Impacto'!$D$14),"Mayor",IF(OR(S140='[1]Tabla Impacto'!$C$15,S140='[1]Tabla Impacto'!$D$15),"Catastrófico","")))))</f>
        <v>Mayor</v>
      </c>
      <c r="U140" s="225">
        <f t="shared" ref="U140" ca="1" si="407">IF(T140="","",IF(T140="Leve",0.2,IF(T140="Menor",0.4,IF(T140="Moderado",0.6,IF(T140="Mayor",0.8,IF(T140="Catastrófico",1,))))))</f>
        <v>0.8</v>
      </c>
      <c r="V140" s="233" t="str">
        <f t="shared" ref="V140" ca="1" si="408">IF(OR(AND(P140="Muy Baja",T140="Leve"),AND(P140="Muy Baja",T140="Menor"),AND(P140="Baja",T140="Leve")),"Bajo",IF(OR(AND(P140="Muy baja",T140="Moderado"),AND(P140="Baja",T140="Menor"),AND(P140="Baja",T140="Moderado"),AND(P140="Media",T140="Leve"),AND(P140="Media",T140="Menor"),AND(P140="Media",T140="Moderado"),AND(P140="Alta",T140="Leve"),AND(P140="Alta",T140="Menor")),"Moderado",IF(OR(AND(P140="Muy Baja",T140="Mayor"),AND(P140="Baja",T140="Mayor"),AND(P140="Media",T140="Mayor"),AND(P140="Alta",T140="Moderado"),AND(P140="Alta",T140="Mayor"),AND(P140="Muy Alta",T140="Leve"),AND(P140="Muy Alta",T140="Menor"),AND(P140="Muy Alta",T140="Moderado"),AND(P140="Muy Alta",T140="Mayor")),"Alto",IF(OR(AND(P140="Muy Baja",T140="Catastrófico"),AND(P140="Baja",T140="Catastrófico"),AND(P140="Media",T140="Catastrófico"),AND(P140="Alta",T140="Catastrófico"),AND(P140="Muy Alta",T140="Catastrófico")),"Extremo",""))))</f>
        <v>Alto</v>
      </c>
      <c r="W140" s="233">
        <v>1</v>
      </c>
      <c r="X140" s="207" t="s">
        <v>728</v>
      </c>
      <c r="Y140" s="230" t="str">
        <f t="shared" si="336"/>
        <v>Probabilidad</v>
      </c>
      <c r="Z140" s="185" t="s">
        <v>208</v>
      </c>
      <c r="AA140" s="185" t="s">
        <v>216</v>
      </c>
      <c r="AB140" s="186" t="str">
        <f t="shared" si="396"/>
        <v>40%</v>
      </c>
      <c r="AC140" s="185" t="s">
        <v>219</v>
      </c>
      <c r="AD140" s="185" t="s">
        <v>224</v>
      </c>
      <c r="AE140" s="185" t="s">
        <v>228</v>
      </c>
      <c r="AF140" s="187">
        <f t="shared" ref="AF140" si="409">IFERROR(IF(Y140="Probabilidad",(Q140-(+Q140*AB140)),IF(Y140="Impacto",Q140,"")),"")</f>
        <v>0.36</v>
      </c>
      <c r="AG140" s="188" t="str">
        <f t="shared" si="337"/>
        <v>Baja</v>
      </c>
      <c r="AH140" s="186">
        <f t="shared" si="338"/>
        <v>0.36</v>
      </c>
      <c r="AI140" s="188" t="str">
        <f t="shared" ca="1" si="339"/>
        <v>Mayor</v>
      </c>
      <c r="AJ140" s="186">
        <f t="shared" ref="AJ140" ca="1" si="410">IFERROR(IF(Y140="Impacto",(U140-(+U140*AB140)),IF(Y140="Probabilidad",U140,"")),"")</f>
        <v>0.8</v>
      </c>
      <c r="AK140" s="189" t="str">
        <f t="shared" ca="1" si="340"/>
        <v>Alto</v>
      </c>
      <c r="AL140" s="185" t="s">
        <v>262</v>
      </c>
      <c r="AM140" s="227" t="s">
        <v>729</v>
      </c>
      <c r="AN140" s="227" t="s">
        <v>730</v>
      </c>
      <c r="AO140" s="240">
        <v>45658</v>
      </c>
      <c r="AP140" s="228" t="s">
        <v>527</v>
      </c>
      <c r="AQ140" s="227" t="s">
        <v>731</v>
      </c>
      <c r="AR140" s="229" t="s">
        <v>259</v>
      </c>
    </row>
    <row r="141" spans="1:44" s="191" customFormat="1" ht="120" customHeight="1" thickTop="1" thickBot="1" x14ac:dyDescent="0.3">
      <c r="A141" s="352">
        <v>60</v>
      </c>
      <c r="B141" s="353" t="s">
        <v>732</v>
      </c>
      <c r="C141" s="359" t="s">
        <v>276</v>
      </c>
      <c r="D141" s="359" t="s">
        <v>962</v>
      </c>
      <c r="E141" s="359" t="s">
        <v>240</v>
      </c>
      <c r="F141" s="360" t="s">
        <v>733</v>
      </c>
      <c r="G141" s="360" t="s">
        <v>734</v>
      </c>
      <c r="H141" s="361" t="s">
        <v>1149</v>
      </c>
      <c r="I141" s="362" t="s">
        <v>474</v>
      </c>
      <c r="J141" s="362" t="s">
        <v>474</v>
      </c>
      <c r="K141" s="362" t="s">
        <v>474</v>
      </c>
      <c r="L141" s="362" t="s">
        <v>474</v>
      </c>
      <c r="M141" s="357" t="s">
        <v>239</v>
      </c>
      <c r="N141" s="357"/>
      <c r="O141" s="363">
        <v>365</v>
      </c>
      <c r="P141" s="364" t="str">
        <f>IF(O141&lt;=0,"",IF(O141&lt;=2,"Muy Baja",IF(O141&lt;=24,"Baja",IF(O141&lt;=500,"Media",IF(O141&lt;=5000,"Alta","Muy Alta")))))</f>
        <v>Media</v>
      </c>
      <c r="Q141" s="365">
        <f>IF(P141="","",IF(P141="Muy Baja",0.2,IF(P141="Baja",0.4,IF(P141="Media",0.6,IF(P141="Alta",0.8,IF(P141="Muy Alta",1,))))))</f>
        <v>0.6</v>
      </c>
      <c r="R141" s="365" t="s">
        <v>195</v>
      </c>
      <c r="S141" s="365" t="str">
        <f ca="1">IF(NOT(ISERROR(MATCH(R141,'Tabla Impacto'!$B$221:$B$223,0))),'Tabla Impacto'!$F$223&amp;"Por favor no seleccionar los criterios de impacto(Afectación Económica o presupuestal y Pérdida Reputacional)",R141)</f>
        <v xml:space="preserve">Mayor a 500 SMLMV </v>
      </c>
      <c r="T141" s="364" t="str">
        <f ca="1">+IF(OR(S141='[1]Tabla Impacto'!$C$11,S141='[1]Tabla Impacto'!$D$11),"Leve",IF(OR(S141='[1]Tabla Impacto'!$C$12,S141='[1]Tabla Impacto'!$D$12),"Menor",IF(OR(S141='[1]Tabla Impacto'!$C$13,S141='[1]Tabla Impacto'!$D$13),"Moderado",IF(OR(S141='[1]Tabla Impacto'!$C$14,S141='[1]Tabla Impacto'!$D$14),"Mayor",IF(OR(S141='[1]Tabla Impacto'!$C$15,S141='[1]Tabla Impacto'!$D$15),"Catastrófico","")))))</f>
        <v>Catastrófico</v>
      </c>
      <c r="U141" s="365">
        <f t="shared" ref="U141" ca="1" si="411">IF(T141="","",IF(T141="Leve",0.2,IF(T141="Menor",0.4,IF(T141="Moderado",0.6,IF(T141="Mayor",0.8,IF(T141="Catastrófico",1,))))))</f>
        <v>1</v>
      </c>
      <c r="V141" s="351" t="str">
        <f t="shared" ref="V141" ca="1" si="412">IF(OR(AND(P141="Muy Baja",T141="Leve"),AND(P141="Muy Baja",T141="Menor"),AND(P141="Baja",T141="Leve")),"Bajo",IF(OR(AND(P141="Muy baja",T141="Moderado"),AND(P141="Baja",T141="Menor"),AND(P141="Baja",T141="Moderado"),AND(P141="Media",T141="Leve"),AND(P141="Media",T141="Menor"),AND(P141="Media",T141="Moderado"),AND(P141="Alta",T141="Leve"),AND(P141="Alta",T141="Menor")),"Moderado",IF(OR(AND(P141="Muy Baja",T141="Mayor"),AND(P141="Baja",T141="Mayor"),AND(P141="Media",T141="Mayor"),AND(P141="Alta",T141="Moderado"),AND(P141="Alta",T141="Mayor"),AND(P141="Muy Alta",T141="Leve"),AND(P141="Muy Alta",T141="Menor"),AND(P141="Muy Alta",T141="Moderado"),AND(P141="Muy Alta",T141="Mayor")),"Alto",IF(OR(AND(P141="Muy Baja",T141="Catastrófico"),AND(P141="Baja",T141="Catastrófico"),AND(P141="Media",T141="Catastrófico"),AND(P141="Alta",T141="Catastrófico"),AND(P141="Muy Alta",T141="Catastrófico")),"Extremo",""))))</f>
        <v>Extremo</v>
      </c>
      <c r="W141" s="233">
        <v>1</v>
      </c>
      <c r="X141" s="207" t="s">
        <v>1206</v>
      </c>
      <c r="Y141" s="230" t="str">
        <f t="shared" si="336"/>
        <v>Probabilidad</v>
      </c>
      <c r="Z141" s="185" t="s">
        <v>208</v>
      </c>
      <c r="AA141" s="185" t="s">
        <v>216</v>
      </c>
      <c r="AB141" s="186" t="str">
        <f t="shared" si="396"/>
        <v>40%</v>
      </c>
      <c r="AC141" s="185" t="s">
        <v>219</v>
      </c>
      <c r="AD141" s="185" t="s">
        <v>224</v>
      </c>
      <c r="AE141" s="185" t="s">
        <v>228</v>
      </c>
      <c r="AF141" s="187">
        <f t="shared" ref="AF141" si="413">IFERROR(IF(Y141="Probabilidad",(Q141-(+Q141*AB141)),IF(Y141="Impacto",Q141,"")),"")</f>
        <v>0.36</v>
      </c>
      <c r="AG141" s="188" t="str">
        <f t="shared" si="337"/>
        <v>Baja</v>
      </c>
      <c r="AH141" s="186">
        <f t="shared" si="338"/>
        <v>0.36</v>
      </c>
      <c r="AI141" s="188" t="str">
        <f t="shared" ca="1" si="339"/>
        <v>Catastrófico</v>
      </c>
      <c r="AJ141" s="186">
        <f t="shared" ref="AJ141" ca="1" si="414">IFERROR(IF(Y141="Impacto",(U141-(+U141*AB141)),IF(Y141="Probabilidad",U141,"")),"")</f>
        <v>1</v>
      </c>
      <c r="AK141" s="189" t="str">
        <f t="shared" ca="1" si="340"/>
        <v>Extremo</v>
      </c>
      <c r="AL141" s="185" t="s">
        <v>262</v>
      </c>
      <c r="AM141" s="357" t="s">
        <v>735</v>
      </c>
      <c r="AN141" s="357" t="s">
        <v>730</v>
      </c>
      <c r="AO141" s="385" t="s">
        <v>1085</v>
      </c>
      <c r="AP141" s="386" t="s">
        <v>736</v>
      </c>
      <c r="AQ141" s="357" t="s">
        <v>737</v>
      </c>
      <c r="AR141" s="378" t="s">
        <v>259</v>
      </c>
    </row>
    <row r="142" spans="1:44" s="191" customFormat="1" ht="118.5" customHeight="1" thickTop="1" thickBot="1" x14ac:dyDescent="0.3">
      <c r="A142" s="352"/>
      <c r="B142" s="353"/>
      <c r="C142" s="359"/>
      <c r="D142" s="359"/>
      <c r="E142" s="359"/>
      <c r="F142" s="360"/>
      <c r="G142" s="360"/>
      <c r="H142" s="361"/>
      <c r="I142" s="362"/>
      <c r="J142" s="362"/>
      <c r="K142" s="362"/>
      <c r="L142" s="362"/>
      <c r="M142" s="357"/>
      <c r="N142" s="357"/>
      <c r="O142" s="363"/>
      <c r="P142" s="364"/>
      <c r="Q142" s="365"/>
      <c r="R142" s="365"/>
      <c r="S142" s="365">
        <f ca="1">IF(NOT(ISERROR(MATCH(R142,_xlfn.ANCHORARRAY(H145),0))),#REF!&amp;"Por favor no seleccionar los criterios de impacto",R142)</f>
        <v>0</v>
      </c>
      <c r="T142" s="364"/>
      <c r="U142" s="365"/>
      <c r="V142" s="351"/>
      <c r="W142" s="233">
        <v>2</v>
      </c>
      <c r="X142" s="207" t="s">
        <v>1207</v>
      </c>
      <c r="Y142" s="230" t="str">
        <f t="shared" si="336"/>
        <v>Probabilidad</v>
      </c>
      <c r="Z142" s="185" t="s">
        <v>208</v>
      </c>
      <c r="AA142" s="185" t="s">
        <v>216</v>
      </c>
      <c r="AB142" s="186" t="str">
        <f t="shared" si="396"/>
        <v>40%</v>
      </c>
      <c r="AC142" s="185" t="s">
        <v>219</v>
      </c>
      <c r="AD142" s="185" t="s">
        <v>224</v>
      </c>
      <c r="AE142" s="185" t="s">
        <v>228</v>
      </c>
      <c r="AF142" s="187">
        <f t="shared" ref="AF142" si="415">IFERROR(IF(AND(Y141="Probabilidad",Y142="Probabilidad"),(AH141-(+AH141*AB142)),IF(Y142="Probabilidad",(Q141-(+Q141*AB142)),IF(Y142="Impacto",AH141,""))),"")</f>
        <v>0.216</v>
      </c>
      <c r="AG142" s="188" t="str">
        <f t="shared" si="337"/>
        <v>Baja</v>
      </c>
      <c r="AH142" s="186">
        <f t="shared" si="338"/>
        <v>0.216</v>
      </c>
      <c r="AI142" s="188" t="str">
        <f t="shared" ca="1" si="339"/>
        <v>Catastrófico</v>
      </c>
      <c r="AJ142" s="186">
        <f t="shared" ref="AJ142" ca="1" si="416">IFERROR(IF(AND(Y141="Impacto",Y142="Impacto"),(AJ141-(+AJ141*AB142)),IF(Y142="Impacto",(U141-(+U141*AB142)),IF(Y142="Probabilidad",AJ141,""))),"")</f>
        <v>1</v>
      </c>
      <c r="AK142" s="189" t="str">
        <f t="shared" ca="1" si="340"/>
        <v>Extremo</v>
      </c>
      <c r="AL142" s="185" t="s">
        <v>262</v>
      </c>
      <c r="AM142" s="357"/>
      <c r="AN142" s="357"/>
      <c r="AO142" s="385"/>
      <c r="AP142" s="386"/>
      <c r="AQ142" s="357"/>
      <c r="AR142" s="378"/>
    </row>
    <row r="143" spans="1:44" s="191" customFormat="1" ht="127.5" customHeight="1" thickTop="1" thickBot="1" x14ac:dyDescent="0.3">
      <c r="A143" s="352">
        <v>61</v>
      </c>
      <c r="B143" s="353" t="s">
        <v>738</v>
      </c>
      <c r="C143" s="359" t="s">
        <v>276</v>
      </c>
      <c r="D143" s="359" t="s">
        <v>961</v>
      </c>
      <c r="E143" s="359" t="s">
        <v>240</v>
      </c>
      <c r="F143" s="360" t="s">
        <v>739</v>
      </c>
      <c r="G143" s="360" t="s">
        <v>740</v>
      </c>
      <c r="H143" s="361" t="s">
        <v>1150</v>
      </c>
      <c r="I143" s="362" t="s">
        <v>474</v>
      </c>
      <c r="J143" s="362" t="s">
        <v>474</v>
      </c>
      <c r="K143" s="362" t="s">
        <v>474</v>
      </c>
      <c r="L143" s="362" t="s">
        <v>474</v>
      </c>
      <c r="M143" s="357" t="s">
        <v>237</v>
      </c>
      <c r="N143" s="357"/>
      <c r="O143" s="363">
        <v>365</v>
      </c>
      <c r="P143" s="364" t="str">
        <f>IF(O143&lt;=0,"",IF(O143&lt;=2,"Muy Baja",IF(O143&lt;=24,"Baja",IF(O143&lt;=500,"Media",IF(O143&lt;=5000,"Alta","Muy Alta")))))</f>
        <v>Media</v>
      </c>
      <c r="Q143" s="365">
        <f>IF(P143="","",IF(P143="Muy Baja",0.2,IF(P143="Baja",0.4,IF(P143="Media",0.6,IF(P143="Alta",0.8,IF(P143="Muy Alta",1,))))))</f>
        <v>0.6</v>
      </c>
      <c r="R143" s="365" t="s">
        <v>190</v>
      </c>
      <c r="S143" s="365"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364"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365">
        <f t="shared" ref="U143" ca="1" si="417">IF(T143="","",IF(T143="Leve",0.2,IF(T143="Menor",0.4,IF(T143="Moderado",0.6,IF(T143="Mayor",0.8,IF(T143="Catastrófico",1,))))))</f>
        <v>0.6</v>
      </c>
      <c r="V143" s="351" t="str">
        <f t="shared" ref="V143" ca="1" si="418">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233">
        <v>1</v>
      </c>
      <c r="X143" s="207" t="s">
        <v>741</v>
      </c>
      <c r="Y143" s="230" t="str">
        <f t="shared" si="336"/>
        <v>Probabilidad</v>
      </c>
      <c r="Z143" s="185" t="s">
        <v>208</v>
      </c>
      <c r="AA143" s="185" t="s">
        <v>216</v>
      </c>
      <c r="AB143" s="186" t="str">
        <f t="shared" si="396"/>
        <v>40%</v>
      </c>
      <c r="AC143" s="185" t="s">
        <v>219</v>
      </c>
      <c r="AD143" s="185" t="s">
        <v>224</v>
      </c>
      <c r="AE143" s="185" t="s">
        <v>228</v>
      </c>
      <c r="AF143" s="187">
        <f t="shared" ref="AF143" si="419">IFERROR(IF(Y143="Probabilidad",(Q143-(+Q143*AB143)),IF(Y143="Impacto",Q143,"")),"")</f>
        <v>0.36</v>
      </c>
      <c r="AG143" s="188" t="str">
        <f t="shared" si="337"/>
        <v>Baja</v>
      </c>
      <c r="AH143" s="186">
        <f t="shared" si="338"/>
        <v>0.36</v>
      </c>
      <c r="AI143" s="188" t="str">
        <f t="shared" ca="1" si="339"/>
        <v>Moderado</v>
      </c>
      <c r="AJ143" s="186">
        <f t="shared" ref="AJ143" ca="1" si="420">IFERROR(IF(Y143="Impacto",(U143-(+U143*AB143)),IF(Y143="Probabilidad",U143,"")),"")</f>
        <v>0.6</v>
      </c>
      <c r="AK143" s="189" t="str">
        <f t="shared" ca="1" si="340"/>
        <v>Moderado</v>
      </c>
      <c r="AL143" s="185" t="s">
        <v>255</v>
      </c>
      <c r="AM143" s="227"/>
      <c r="AN143" s="230"/>
      <c r="AO143" s="228"/>
      <c r="AP143" s="228"/>
      <c r="AQ143" s="227"/>
      <c r="AR143" s="229"/>
    </row>
    <row r="144" spans="1:44" s="191" customFormat="1" ht="131.25" customHeight="1" thickTop="1" thickBot="1" x14ac:dyDescent="0.3">
      <c r="A144" s="352"/>
      <c r="B144" s="353"/>
      <c r="C144" s="359"/>
      <c r="D144" s="359"/>
      <c r="E144" s="359"/>
      <c r="F144" s="360"/>
      <c r="G144" s="360"/>
      <c r="H144" s="361"/>
      <c r="I144" s="362"/>
      <c r="J144" s="362"/>
      <c r="K144" s="362"/>
      <c r="L144" s="362"/>
      <c r="M144" s="357"/>
      <c r="N144" s="357"/>
      <c r="O144" s="363"/>
      <c r="P144" s="364"/>
      <c r="Q144" s="365"/>
      <c r="R144" s="365"/>
      <c r="S144" s="365">
        <f ca="1">IF(NOT(ISERROR(MATCH(R144,_xlfn.ANCHORARRAY(H147),0))),#REF!&amp;"Por favor no seleccionar los criterios de impacto",R144)</f>
        <v>0</v>
      </c>
      <c r="T144" s="364"/>
      <c r="U144" s="365"/>
      <c r="V144" s="351"/>
      <c r="W144" s="233">
        <v>2</v>
      </c>
      <c r="X144" s="211" t="s">
        <v>742</v>
      </c>
      <c r="Y144" s="230" t="str">
        <f t="shared" si="336"/>
        <v>Probabilidad</v>
      </c>
      <c r="Z144" s="185" t="s">
        <v>210</v>
      </c>
      <c r="AA144" s="185" t="s">
        <v>216</v>
      </c>
      <c r="AB144" s="186" t="str">
        <f t="shared" si="396"/>
        <v>30%</v>
      </c>
      <c r="AC144" s="185" t="s">
        <v>219</v>
      </c>
      <c r="AD144" s="185" t="s">
        <v>224</v>
      </c>
      <c r="AE144" s="185" t="s">
        <v>228</v>
      </c>
      <c r="AF144" s="187">
        <f t="shared" ref="AF144" si="421">IFERROR(IF(AND(Y143="Probabilidad",Y144="Probabilidad"),(AH143-(+AH143*AB144)),IF(Y144="Probabilidad",(Q143-(+Q143*AB144)),IF(Y144="Impacto",AH143,""))),"")</f>
        <v>0.252</v>
      </c>
      <c r="AG144" s="188" t="str">
        <f t="shared" si="337"/>
        <v>Baja</v>
      </c>
      <c r="AH144" s="186">
        <f t="shared" si="338"/>
        <v>0.252</v>
      </c>
      <c r="AI144" s="188" t="str">
        <f t="shared" ca="1" si="339"/>
        <v>Moderado</v>
      </c>
      <c r="AJ144" s="186">
        <f t="shared" ref="AJ144" ca="1" si="422">IFERROR(IF(AND(Y143="Impacto",Y144="Impacto"),(AJ143-(+AJ143*AB144)),IF(Y144="Impacto",(U143-(+U143*AB144)),IF(Y144="Probabilidad",AJ143,""))),"")</f>
        <v>0.6</v>
      </c>
      <c r="AK144" s="189" t="str">
        <f t="shared" ca="1" si="340"/>
        <v>Moderado</v>
      </c>
      <c r="AL144" s="185" t="s">
        <v>255</v>
      </c>
      <c r="AM144" s="227"/>
      <c r="AN144" s="230"/>
      <c r="AO144" s="228"/>
      <c r="AP144" s="228"/>
      <c r="AQ144" s="227"/>
      <c r="AR144" s="229"/>
    </row>
    <row r="145" spans="1:44" s="191" customFormat="1" ht="141" customHeight="1" thickTop="1" thickBot="1" x14ac:dyDescent="0.3">
      <c r="A145" s="352">
        <v>62</v>
      </c>
      <c r="B145" s="353" t="s">
        <v>743</v>
      </c>
      <c r="C145" s="357" t="s">
        <v>276</v>
      </c>
      <c r="D145" s="359" t="s">
        <v>961</v>
      </c>
      <c r="E145" s="357" t="s">
        <v>240</v>
      </c>
      <c r="F145" s="375" t="s">
        <v>744</v>
      </c>
      <c r="G145" s="375" t="s">
        <v>745</v>
      </c>
      <c r="H145" s="374" t="s">
        <v>1151</v>
      </c>
      <c r="I145" s="362" t="s">
        <v>474</v>
      </c>
      <c r="J145" s="362" t="s">
        <v>474</v>
      </c>
      <c r="K145" s="362" t="s">
        <v>474</v>
      </c>
      <c r="L145" s="362" t="s">
        <v>474</v>
      </c>
      <c r="M145" s="357" t="s">
        <v>242</v>
      </c>
      <c r="N145" s="357"/>
      <c r="O145" s="363">
        <v>365</v>
      </c>
      <c r="P145" s="364" t="str">
        <f>IF(O145&lt;=0,"",IF(O145&lt;=2,"Muy Baja",IF(O145&lt;=24,"Baja",IF(O145&lt;=500,"Media",IF(O145&lt;=5000,"Alta","Muy Alta")))))</f>
        <v>Media</v>
      </c>
      <c r="Q145" s="365">
        <f>IF(P145="","",IF(P145="Muy Baja",0.2,IF(P145="Baja",0.4,IF(P145="Media",0.6,IF(P145="Alta",0.8,IF(P145="Muy Alta",1,))))))</f>
        <v>0.6</v>
      </c>
      <c r="R145" s="365" t="s">
        <v>190</v>
      </c>
      <c r="S145" s="365" t="str">
        <f ca="1">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364" t="str">
        <f ca="1">+IF(OR(S145='[1]Tabla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365">
        <f t="shared" ref="U145" ca="1" si="423">IF(T145="","",IF(T145="Leve",0.2,IF(T145="Menor",0.4,IF(T145="Moderado",0.6,IF(T145="Mayor",0.8,IF(T145="Catastrófico",1,))))))</f>
        <v>0.6</v>
      </c>
      <c r="V145" s="351" t="str">
        <f t="shared" ref="V145" ca="1" si="424">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Moderado</v>
      </c>
      <c r="W145" s="233">
        <v>1</v>
      </c>
      <c r="X145" s="207" t="s">
        <v>1041</v>
      </c>
      <c r="Y145" s="230" t="str">
        <f t="shared" si="336"/>
        <v>Probabilidad</v>
      </c>
      <c r="Z145" s="185" t="s">
        <v>208</v>
      </c>
      <c r="AA145" s="185" t="s">
        <v>216</v>
      </c>
      <c r="AB145" s="186" t="str">
        <f t="shared" si="396"/>
        <v>40%</v>
      </c>
      <c r="AC145" s="185" t="s">
        <v>219</v>
      </c>
      <c r="AD145" s="185" t="s">
        <v>224</v>
      </c>
      <c r="AE145" s="185" t="s">
        <v>228</v>
      </c>
      <c r="AF145" s="187">
        <f t="shared" ref="AF145" si="425">IFERROR(IF(Y145="Probabilidad",(Q145-(+Q145*AB145)),IF(Y145="Impacto",Q145,"")),"")</f>
        <v>0.36</v>
      </c>
      <c r="AG145" s="188" t="str">
        <f t="shared" si="337"/>
        <v>Baja</v>
      </c>
      <c r="AH145" s="186">
        <f t="shared" si="338"/>
        <v>0.36</v>
      </c>
      <c r="AI145" s="188" t="str">
        <f t="shared" ca="1" si="339"/>
        <v>Moderado</v>
      </c>
      <c r="AJ145" s="186">
        <f t="shared" ref="AJ145" ca="1" si="426">IFERROR(IF(Y145="Impacto",(U145-(+U145*AB145)),IF(Y145="Probabilidad",U145,"")),"")</f>
        <v>0.6</v>
      </c>
      <c r="AK145" s="189" t="str">
        <f t="shared" ca="1" si="340"/>
        <v>Moderado</v>
      </c>
      <c r="AL145" s="185" t="s">
        <v>255</v>
      </c>
      <c r="AM145" s="227"/>
      <c r="AN145" s="230"/>
      <c r="AO145" s="228"/>
      <c r="AP145" s="228"/>
      <c r="AQ145" s="227"/>
      <c r="AR145" s="229"/>
    </row>
    <row r="146" spans="1:44" s="191" customFormat="1" ht="181.5" customHeight="1" thickTop="1" thickBot="1" x14ac:dyDescent="0.3">
      <c r="A146" s="352"/>
      <c r="B146" s="353"/>
      <c r="C146" s="357"/>
      <c r="D146" s="359"/>
      <c r="E146" s="357"/>
      <c r="F146" s="375"/>
      <c r="G146" s="375"/>
      <c r="H146" s="374"/>
      <c r="I146" s="362"/>
      <c r="J146" s="362"/>
      <c r="K146" s="362"/>
      <c r="L146" s="362"/>
      <c r="M146" s="357"/>
      <c r="N146" s="357"/>
      <c r="O146" s="363"/>
      <c r="P146" s="364"/>
      <c r="Q146" s="365"/>
      <c r="R146" s="365"/>
      <c r="S146" s="365">
        <f ca="1">IF(NOT(ISERROR(MATCH(R146,_xlfn.ANCHORARRAY(H149),0))),Q151&amp;"Por favor no seleccionar los criterios de impacto",R146)</f>
        <v>0</v>
      </c>
      <c r="T146" s="364"/>
      <c r="U146" s="365"/>
      <c r="V146" s="351"/>
      <c r="W146" s="233">
        <v>2</v>
      </c>
      <c r="X146" s="207" t="s">
        <v>1042</v>
      </c>
      <c r="Y146" s="230" t="str">
        <f t="shared" si="336"/>
        <v>Probabilidad</v>
      </c>
      <c r="Z146" s="185" t="s">
        <v>208</v>
      </c>
      <c r="AA146" s="185" t="s">
        <v>216</v>
      </c>
      <c r="AB146" s="186" t="str">
        <f t="shared" si="396"/>
        <v>40%</v>
      </c>
      <c r="AC146" s="185" t="s">
        <v>219</v>
      </c>
      <c r="AD146" s="185" t="s">
        <v>224</v>
      </c>
      <c r="AE146" s="185" t="s">
        <v>228</v>
      </c>
      <c r="AF146" s="187">
        <f t="shared" ref="AF146" si="427">IFERROR(IF(AND(Y145="Probabilidad",Y146="Probabilidad"),(AH145-(+AH145*AB146)),IF(Y146="Probabilidad",(Q145-(+Q145*AB146)),IF(Y146="Impacto",AH145,""))),"")</f>
        <v>0.216</v>
      </c>
      <c r="AG146" s="188" t="str">
        <f t="shared" si="337"/>
        <v>Baja</v>
      </c>
      <c r="AH146" s="186">
        <f t="shared" si="338"/>
        <v>0.216</v>
      </c>
      <c r="AI146" s="188" t="str">
        <f t="shared" ca="1" si="339"/>
        <v>Moderado</v>
      </c>
      <c r="AJ146" s="186">
        <f t="shared" ref="AJ146" ca="1" si="428">IFERROR(IF(AND(Y145="Impacto",Y146="Impacto"),(AJ145-(+AJ145*AB146)),IF(Y146="Impacto",(U145-(+U145*AB146)),IF(Y146="Probabilidad",AJ145,""))),"")</f>
        <v>0.6</v>
      </c>
      <c r="AK146" s="189" t="str">
        <f t="shared" ca="1" si="340"/>
        <v>Moderado</v>
      </c>
      <c r="AL146" s="185" t="s">
        <v>255</v>
      </c>
      <c r="AM146" s="227"/>
      <c r="AN146" s="230"/>
      <c r="AO146" s="228"/>
      <c r="AP146" s="228"/>
      <c r="AQ146" s="227"/>
      <c r="AR146" s="229"/>
    </row>
    <row r="147" spans="1:44" s="191" customFormat="1" ht="162" customHeight="1" thickTop="1" thickBot="1" x14ac:dyDescent="0.3">
      <c r="A147" s="352">
        <v>63</v>
      </c>
      <c r="B147" s="353" t="s">
        <v>746</v>
      </c>
      <c r="C147" s="359" t="s">
        <v>276</v>
      </c>
      <c r="D147" s="359" t="s">
        <v>961</v>
      </c>
      <c r="E147" s="359" t="s">
        <v>240</v>
      </c>
      <c r="F147" s="360" t="s">
        <v>747</v>
      </c>
      <c r="G147" s="360" t="s">
        <v>748</v>
      </c>
      <c r="H147" s="361" t="s">
        <v>1152</v>
      </c>
      <c r="I147" s="362" t="s">
        <v>474</v>
      </c>
      <c r="J147" s="362" t="s">
        <v>474</v>
      </c>
      <c r="K147" s="362" t="s">
        <v>474</v>
      </c>
      <c r="L147" s="362" t="s">
        <v>474</v>
      </c>
      <c r="M147" s="357" t="s">
        <v>242</v>
      </c>
      <c r="N147" s="357"/>
      <c r="O147" s="363">
        <v>365</v>
      </c>
      <c r="P147" s="364" t="str">
        <f>IF(O147&lt;=0,"",IF(O147&lt;=2,"Muy Baja",IF(O147&lt;=24,"Baja",IF(O147&lt;=500,"Media",IF(O147&lt;=5000,"Alta","Muy Alta")))))</f>
        <v>Media</v>
      </c>
      <c r="Q147" s="365">
        <f>IF(P147="","",IF(P147="Muy Baja",0.2,IF(P147="Baja",0.4,IF(P147="Media",0.6,IF(P147="Alta",0.8,IF(P147="Muy Alta",1,))))))</f>
        <v>0.6</v>
      </c>
      <c r="R147" s="365" t="s">
        <v>192</v>
      </c>
      <c r="S147" s="365" t="str">
        <f ca="1">IF(NOT(ISERROR(MATCH(R147,'Tabla Impacto'!$B$221:$B$223,0))),'Tabla Impacto'!$F$223&amp;"Por favor no seleccionar los criterios de impacto(Afectación Económica o presupuestal y Pérdida Reputacional)",R147)</f>
        <v xml:space="preserve">Entre 100 y 500 SMLMV </v>
      </c>
      <c r="T147" s="364" t="str">
        <f ca="1">+IF(OR(S147='[1]Tabla Impacto'!$C$11,S147='[1]Tabla Impacto'!$D$11),"Leve",IF(OR(S147='[1]Tabla Impacto'!$C$12,S147='[1]Tabla Impacto'!$D$12),"Menor",IF(OR(S147='[1]Tabla Impacto'!$C$13,S147='[1]Tabla Impacto'!$D$13),"Moderado",IF(OR(S147='[1]Tabla Impacto'!$C$14,S147='[1]Tabla Impacto'!$D$14),"Mayor",IF(OR(S147='[1]Tabla Impacto'!$C$15,S147='[1]Tabla Impacto'!$D$15),"Catastrófico","")))))</f>
        <v>Mayor</v>
      </c>
      <c r="U147" s="365">
        <f t="shared" ref="U147" ca="1" si="429">IF(T147="","",IF(T147="Leve",0.2,IF(T147="Menor",0.4,IF(T147="Moderado",0.6,IF(T147="Mayor",0.8,IF(T147="Catastrófico",1,))))))</f>
        <v>0.8</v>
      </c>
      <c r="V147" s="351" t="str">
        <f t="shared" ref="V147" ca="1" si="430">IF(OR(AND(P147="Muy Baja",T147="Leve"),AND(P147="Muy Baja",T147="Menor"),AND(P147="Baja",T147="Leve")),"Bajo",IF(OR(AND(P147="Muy baja",T147="Moderado"),AND(P147="Baja",T147="Menor"),AND(P147="Baja",T147="Moderado"),AND(P147="Media",T147="Leve"),AND(P147="Media",T147="Menor"),AND(P147="Media",T147="Moderado"),AND(P147="Alta",T147="Leve"),AND(P147="Alta",T147="Menor")),"Moderado",IF(OR(AND(P147="Muy Baja",T147="Mayor"),AND(P147="Baja",T147="Mayor"),AND(P147="Media",T147="Mayor"),AND(P147="Alta",T147="Moderado"),AND(P147="Alta",T147="Mayor"),AND(P147="Muy Alta",T147="Leve"),AND(P147="Muy Alta",T147="Menor"),AND(P147="Muy Alta",T147="Moderado"),AND(P147="Muy Alta",T147="Mayor")),"Alto",IF(OR(AND(P147="Muy Baja",T147="Catastrófico"),AND(P147="Baja",T147="Catastrófico"),AND(P147="Media",T147="Catastrófico"),AND(P147="Alta",T147="Catastrófico"),AND(P147="Muy Alta",T147="Catastrófico")),"Extremo",""))))</f>
        <v>Alto</v>
      </c>
      <c r="W147" s="233">
        <v>1</v>
      </c>
      <c r="X147" s="207" t="s">
        <v>1043</v>
      </c>
      <c r="Y147" s="230" t="str">
        <f t="shared" ref="Y147:Y169" si="431">IF(OR(Z147="Preventivo",Z147="Detectivo"),"Probabilidad",IF(Z147="Correctivo","Impacto",""))</f>
        <v>Probabilidad</v>
      </c>
      <c r="Z147" s="185" t="s">
        <v>208</v>
      </c>
      <c r="AA147" s="185" t="s">
        <v>216</v>
      </c>
      <c r="AB147" s="186" t="str">
        <f t="shared" si="396"/>
        <v>40%</v>
      </c>
      <c r="AC147" s="185" t="s">
        <v>219</v>
      </c>
      <c r="AD147" s="185" t="s">
        <v>224</v>
      </c>
      <c r="AE147" s="185" t="s">
        <v>228</v>
      </c>
      <c r="AF147" s="187">
        <f t="shared" ref="AF147" si="432">IFERROR(IF(Y147="Probabilidad",(Q147-(+Q147*AB147)),IF(Y147="Impacto",Q147,"")),"")</f>
        <v>0.36</v>
      </c>
      <c r="AG147" s="188" t="str">
        <f t="shared" ref="AG147:AG169" si="433">IFERROR(IF(AF147="","",IF(AF147&lt;=0.2,"Muy Baja",IF(AF147&lt;=0.4,"Baja",IF(AF147&lt;=0.6,"Media",IF(AF147&lt;=0.8,"Alta","Muy Alta"))))),"")</f>
        <v>Baja</v>
      </c>
      <c r="AH147" s="186">
        <f t="shared" ref="AH147:AH169" si="434">+AF147</f>
        <v>0.36</v>
      </c>
      <c r="AI147" s="188" t="str">
        <f t="shared" ref="AI147:AI169" ca="1" si="435">IFERROR(IF(AJ147="","",IF(AJ147&lt;=0.2,"Leve",IF(AJ147&lt;=0.4,"Menor",IF(AJ147&lt;=0.6,"Moderado",IF(AJ147&lt;=0.8,"Mayor","Catastrófico"))))),"")</f>
        <v>Mayor</v>
      </c>
      <c r="AJ147" s="186">
        <f t="shared" ref="AJ147" ca="1" si="436">IFERROR(IF(Y147="Impacto",(U147-(+U147*AB147)),IF(Y147="Probabilidad",U147,"")),"")</f>
        <v>0.8</v>
      </c>
      <c r="AK147" s="189" t="str">
        <f t="shared" ref="AK147:AK169" ca="1" si="437">IFERROR(IF(OR(AND(AG147="Muy Baja",AI147="Leve"),AND(AG147="Muy Baja",AI147="Menor"),AND(AG147="Baja",AI147="Leve")),"Bajo",IF(OR(AND(AG147="Muy baja",AI147="Moderado"),AND(AG147="Baja",AI147="Menor"),AND(AG147="Baja",AI147="Moderado"),AND(AG147="Media",AI147="Leve"),AND(AG147="Media",AI147="Menor"),AND(AG147="Media",AI147="Moderado"),AND(AG147="Alta",AI147="Leve"),AND(AG147="Alta",AI147="Menor")),"Moderado",IF(OR(AND(AG147="Muy Baja",AI147="Mayor"),AND(AG147="Baja",AI147="Mayor"),AND(AG147="Media",AI147="Mayor"),AND(AG147="Alta",AI147="Moderado"),AND(AG147="Alta",AI147="Mayor"),AND(AG147="Muy Alta",AI147="Leve"),AND(AG147="Muy Alta",AI147="Menor"),AND(AG147="Muy Alta",AI147="Moderado"),AND(AG147="Muy Alta",AI147="Mayor")),"Alto",IF(OR(AND(AG147="Muy Baja",AI147="Catastrófico"),AND(AG147="Baja",AI147="Catastrófico"),AND(AG147="Media",AI147="Catastrófico"),AND(AG147="Alta",AI147="Catastrófico"),AND(AG147="Muy Alta",AI147="Catastrófico")),"Extremo","")))),"")</f>
        <v>Alto</v>
      </c>
      <c r="AL147" s="185" t="s">
        <v>262</v>
      </c>
      <c r="AM147" s="227"/>
      <c r="AN147" s="230"/>
      <c r="AO147" s="228"/>
      <c r="AP147" s="228"/>
      <c r="AQ147" s="227"/>
      <c r="AR147" s="229"/>
    </row>
    <row r="148" spans="1:44" s="191" customFormat="1" ht="157.5" customHeight="1" thickTop="1" thickBot="1" x14ac:dyDescent="0.3">
      <c r="A148" s="352"/>
      <c r="B148" s="353"/>
      <c r="C148" s="359"/>
      <c r="D148" s="359"/>
      <c r="E148" s="359"/>
      <c r="F148" s="360"/>
      <c r="G148" s="360"/>
      <c r="H148" s="361"/>
      <c r="I148" s="362"/>
      <c r="J148" s="362"/>
      <c r="K148" s="362"/>
      <c r="L148" s="362"/>
      <c r="M148" s="357"/>
      <c r="N148" s="357"/>
      <c r="O148" s="363"/>
      <c r="P148" s="364"/>
      <c r="Q148" s="365"/>
      <c r="R148" s="365"/>
      <c r="S148" s="365">
        <f ca="1">IF(NOT(ISERROR(MATCH(R148,_xlfn.ANCHORARRAY(H152),0))),#REF!&amp;"Por favor no seleccionar los criterios de impacto",R148)</f>
        <v>0</v>
      </c>
      <c r="T148" s="364"/>
      <c r="U148" s="365"/>
      <c r="V148" s="351"/>
      <c r="W148" s="233">
        <v>2</v>
      </c>
      <c r="X148" s="207" t="s">
        <v>1044</v>
      </c>
      <c r="Y148" s="230" t="str">
        <f t="shared" si="431"/>
        <v>Impacto</v>
      </c>
      <c r="Z148" s="185" t="s">
        <v>212</v>
      </c>
      <c r="AA148" s="185" t="s">
        <v>216</v>
      </c>
      <c r="AB148" s="186" t="str">
        <f t="shared" si="396"/>
        <v>25%</v>
      </c>
      <c r="AC148" s="185" t="s">
        <v>219</v>
      </c>
      <c r="AD148" s="185" t="s">
        <v>224</v>
      </c>
      <c r="AE148" s="185" t="s">
        <v>228</v>
      </c>
      <c r="AF148" s="187">
        <f t="shared" ref="AF148" si="438">IFERROR(IF(AND(Y147="Probabilidad",Y148="Probabilidad"),(AH147-(+AH147*AB148)),IF(Y148="Probabilidad",(Q147-(+Q147*AB148)),IF(Y148="Impacto",AH147,""))),"")</f>
        <v>0.36</v>
      </c>
      <c r="AG148" s="188" t="str">
        <f t="shared" si="433"/>
        <v>Baja</v>
      </c>
      <c r="AH148" s="186">
        <f t="shared" si="434"/>
        <v>0.36</v>
      </c>
      <c r="AI148" s="188" t="str">
        <f t="shared" ca="1" si="435"/>
        <v>Moderado</v>
      </c>
      <c r="AJ148" s="186">
        <f t="shared" ref="AJ148" ca="1" si="439">IFERROR(IF(AND(Y147="Impacto",Y148="Impacto"),(AJ147-(+AJ147*AB148)),IF(Y148="Impacto",(U147-(+U147*AB148)),IF(Y148="Probabilidad",AJ147,""))),"")</f>
        <v>0.60000000000000009</v>
      </c>
      <c r="AK148" s="189" t="str">
        <f t="shared" ca="1" si="437"/>
        <v>Moderado</v>
      </c>
      <c r="AL148" s="185" t="s">
        <v>255</v>
      </c>
      <c r="AM148" s="227"/>
      <c r="AN148" s="230"/>
      <c r="AO148" s="228"/>
      <c r="AP148" s="228"/>
      <c r="AQ148" s="227"/>
      <c r="AR148" s="229"/>
    </row>
    <row r="149" spans="1:44" s="191" customFormat="1" ht="121.5" customHeight="1" thickTop="1" thickBot="1" x14ac:dyDescent="0.3">
      <c r="A149" s="352">
        <v>64</v>
      </c>
      <c r="B149" s="353" t="s">
        <v>749</v>
      </c>
      <c r="C149" s="359" t="s">
        <v>276</v>
      </c>
      <c r="D149" s="359" t="s">
        <v>963</v>
      </c>
      <c r="E149" s="359" t="s">
        <v>240</v>
      </c>
      <c r="F149" s="360" t="s">
        <v>750</v>
      </c>
      <c r="G149" s="360" t="s">
        <v>751</v>
      </c>
      <c r="H149" s="361" t="s">
        <v>1153</v>
      </c>
      <c r="I149" s="362" t="s">
        <v>474</v>
      </c>
      <c r="J149" s="362" t="s">
        <v>474</v>
      </c>
      <c r="K149" s="362" t="s">
        <v>474</v>
      </c>
      <c r="L149" s="362" t="s">
        <v>474</v>
      </c>
      <c r="M149" s="357" t="s">
        <v>241</v>
      </c>
      <c r="N149" s="357"/>
      <c r="O149" s="363">
        <v>501</v>
      </c>
      <c r="P149" s="364" t="str">
        <f>IF(O149&lt;=0,"",IF(O149&lt;=2,"Muy Baja",IF(O149&lt;=24,"Baja",IF(O149&lt;=500,"Media",IF(O149&lt;=5000,"Alta","Muy Alta")))))</f>
        <v>Alta</v>
      </c>
      <c r="Q149" s="365">
        <f>IF(P149="","",IF(P149="Muy Baja",0.2,IF(P149="Baja",0.4,IF(P149="Media",0.6,IF(P149="Alta",0.8,IF(P149="Muy Alta",1,))))))</f>
        <v>0.8</v>
      </c>
      <c r="R149" s="365" t="s">
        <v>187</v>
      </c>
      <c r="S149" s="365" t="str">
        <f ca="1">IF(NOT(ISERROR(MATCH(R149,'Tabla Impacto'!$B$221:$B$223,0))),'Tabla Impacto'!$F$223&amp;"Por favor no seleccionar los criterios de impacto(Afectación Económica o presupuestal y Pérdida Reputacional)",R149)</f>
        <v>El riesgo afecta la imagen de la entidad internamente, de conocimiento general, nivel interno, de junta dircetiva y accionistas y/o de provedores</v>
      </c>
      <c r="T149" s="364"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Menor</v>
      </c>
      <c r="U149" s="365">
        <f t="shared" ref="U149" ca="1" si="440">IF(T149="","",IF(T149="Leve",0.2,IF(T149="Menor",0.4,IF(T149="Moderado",0.6,IF(T149="Mayor",0.8,IF(T149="Catastrófico",1,))))))</f>
        <v>0.4</v>
      </c>
      <c r="V149" s="351" t="str">
        <f t="shared" ref="V149" ca="1" si="441">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233">
        <v>1</v>
      </c>
      <c r="X149" s="207" t="s">
        <v>752</v>
      </c>
      <c r="Y149" s="230" t="str">
        <f t="shared" si="431"/>
        <v>Probabilidad</v>
      </c>
      <c r="Z149" s="185" t="s">
        <v>208</v>
      </c>
      <c r="AA149" s="185" t="s">
        <v>216</v>
      </c>
      <c r="AB149" s="186" t="str">
        <f t="shared" si="396"/>
        <v>40%</v>
      </c>
      <c r="AC149" s="185" t="s">
        <v>219</v>
      </c>
      <c r="AD149" s="185" t="s">
        <v>224</v>
      </c>
      <c r="AE149" s="185" t="s">
        <v>228</v>
      </c>
      <c r="AF149" s="187">
        <f t="shared" ref="AF149" si="442">IFERROR(IF(Y149="Probabilidad",(Q149-(+Q149*AB149)),IF(Y149="Impacto",Q149,"")),"")</f>
        <v>0.48</v>
      </c>
      <c r="AG149" s="188" t="str">
        <f t="shared" si="433"/>
        <v>Media</v>
      </c>
      <c r="AH149" s="186">
        <f t="shared" si="434"/>
        <v>0.48</v>
      </c>
      <c r="AI149" s="188" t="str">
        <f t="shared" ca="1" si="435"/>
        <v>Menor</v>
      </c>
      <c r="AJ149" s="186">
        <f t="shared" ref="AJ149" ca="1" si="443">IFERROR(IF(Y149="Impacto",(U149-(+U149*AB149)),IF(Y149="Probabilidad",U149,"")),"")</f>
        <v>0.4</v>
      </c>
      <c r="AK149" s="189" t="str">
        <f t="shared" ca="1" si="437"/>
        <v>Moderado</v>
      </c>
      <c r="AL149" s="185" t="s">
        <v>255</v>
      </c>
      <c r="AM149" s="227"/>
      <c r="AN149" s="230"/>
      <c r="AO149" s="228"/>
      <c r="AP149" s="228"/>
      <c r="AQ149" s="227"/>
      <c r="AR149" s="229"/>
    </row>
    <row r="150" spans="1:44" s="191" customFormat="1" ht="127.5" customHeight="1" thickTop="1" thickBot="1" x14ac:dyDescent="0.3">
      <c r="A150" s="352"/>
      <c r="B150" s="353"/>
      <c r="C150" s="359"/>
      <c r="D150" s="359"/>
      <c r="E150" s="359"/>
      <c r="F150" s="360"/>
      <c r="G150" s="360"/>
      <c r="H150" s="361"/>
      <c r="I150" s="362"/>
      <c r="J150" s="362"/>
      <c r="K150" s="362"/>
      <c r="L150" s="362"/>
      <c r="M150" s="357"/>
      <c r="N150" s="357"/>
      <c r="O150" s="363"/>
      <c r="P150" s="364"/>
      <c r="Q150" s="365"/>
      <c r="R150" s="365"/>
      <c r="S150" s="365">
        <f ca="1">IF(NOT(ISERROR(MATCH(R150,_xlfn.ANCHORARRAY(H154),0))),#REF!&amp;"Por favor no seleccionar los criterios de impacto",R150)</f>
        <v>0</v>
      </c>
      <c r="T150" s="364"/>
      <c r="U150" s="365"/>
      <c r="V150" s="351"/>
      <c r="W150" s="233">
        <v>2</v>
      </c>
      <c r="X150" s="207" t="s">
        <v>753</v>
      </c>
      <c r="Y150" s="230" t="str">
        <f t="shared" si="431"/>
        <v>Probabilidad</v>
      </c>
      <c r="Z150" s="185" t="s">
        <v>208</v>
      </c>
      <c r="AA150" s="185" t="s">
        <v>216</v>
      </c>
      <c r="AB150" s="186" t="str">
        <f t="shared" si="396"/>
        <v>40%</v>
      </c>
      <c r="AC150" s="185" t="s">
        <v>222</v>
      </c>
      <c r="AD150" s="185" t="s">
        <v>224</v>
      </c>
      <c r="AE150" s="185" t="s">
        <v>228</v>
      </c>
      <c r="AF150" s="187">
        <f t="shared" ref="AF150:AF151" si="444">IFERROR(IF(AND(Y149="Probabilidad",Y150="Probabilidad"),(AH149-(+AH149*AB150)),IF(Y150="Probabilidad",(Q149-(+Q149*AB150)),IF(Y150="Impacto",AH149,""))),"")</f>
        <v>0.28799999999999998</v>
      </c>
      <c r="AG150" s="188" t="str">
        <f t="shared" si="433"/>
        <v>Baja</v>
      </c>
      <c r="AH150" s="186">
        <f t="shared" si="434"/>
        <v>0.28799999999999998</v>
      </c>
      <c r="AI150" s="188" t="str">
        <f t="shared" ca="1" si="435"/>
        <v>Menor</v>
      </c>
      <c r="AJ150" s="186">
        <f t="shared" ref="AJ150" ca="1" si="445">IFERROR(IF(AND(Y149="Impacto",Y150="Impacto"),(AJ149-(+AJ149*AB150)),IF(Y150="Impacto",(U149-(+U149*AB150)),IF(Y150="Probabilidad",AJ149,""))),"")</f>
        <v>0.4</v>
      </c>
      <c r="AK150" s="189" t="str">
        <f t="shared" ca="1" si="437"/>
        <v>Moderado</v>
      </c>
      <c r="AL150" s="185" t="s">
        <v>255</v>
      </c>
      <c r="AM150" s="227"/>
      <c r="AN150" s="230"/>
      <c r="AO150" s="228"/>
      <c r="AP150" s="228"/>
      <c r="AQ150" s="227"/>
      <c r="AR150" s="229"/>
    </row>
    <row r="151" spans="1:44" s="191" customFormat="1" ht="118.5" customHeight="1" thickTop="1" thickBot="1" x14ac:dyDescent="0.3">
      <c r="A151" s="352"/>
      <c r="B151" s="353"/>
      <c r="C151" s="359"/>
      <c r="D151" s="359"/>
      <c r="E151" s="359"/>
      <c r="F151" s="360"/>
      <c r="G151" s="360"/>
      <c r="H151" s="361"/>
      <c r="I151" s="362"/>
      <c r="J151" s="362"/>
      <c r="K151" s="362"/>
      <c r="L151" s="362"/>
      <c r="M151" s="357"/>
      <c r="N151" s="357"/>
      <c r="O151" s="363"/>
      <c r="P151" s="364"/>
      <c r="Q151" s="365"/>
      <c r="R151" s="365"/>
      <c r="S151" s="365">
        <f ca="1">IF(NOT(ISERROR(MATCH(R151,_xlfn.ANCHORARRAY(H155),0))),#REF!&amp;"Por favor no seleccionar los criterios de impacto",R151)</f>
        <v>0</v>
      </c>
      <c r="T151" s="364"/>
      <c r="U151" s="365"/>
      <c r="V151" s="351"/>
      <c r="W151" s="233">
        <v>3</v>
      </c>
      <c r="X151" s="207" t="s">
        <v>754</v>
      </c>
      <c r="Y151" s="230" t="str">
        <f t="shared" si="431"/>
        <v>Probabilidad</v>
      </c>
      <c r="Z151" s="185" t="s">
        <v>208</v>
      </c>
      <c r="AA151" s="185" t="s">
        <v>216</v>
      </c>
      <c r="AB151" s="186" t="str">
        <f t="shared" si="396"/>
        <v>40%</v>
      </c>
      <c r="AC151" s="185" t="s">
        <v>219</v>
      </c>
      <c r="AD151" s="185" t="s">
        <v>224</v>
      </c>
      <c r="AE151" s="185" t="s">
        <v>228</v>
      </c>
      <c r="AF151" s="187">
        <f t="shared" si="444"/>
        <v>0.17279999999999998</v>
      </c>
      <c r="AG151" s="188" t="str">
        <f t="shared" si="433"/>
        <v>Muy Baja</v>
      </c>
      <c r="AH151" s="186">
        <f t="shared" si="434"/>
        <v>0.17279999999999998</v>
      </c>
      <c r="AI151" s="188" t="str">
        <f t="shared" ca="1" si="435"/>
        <v>Menor</v>
      </c>
      <c r="AJ151" s="186">
        <f t="shared" ref="AJ151" ca="1" si="446">IFERROR(IF(AND(Y150="Impacto",Y151="Impacto"),(AJ150-(+AJ150*AB151)),IF(AND(Y150="Probabilidad",Y151="Impacto"),(AJ149-(+AJ149*AB151)),IF(Y151="Probabilidad",AJ150,""))),"")</f>
        <v>0.4</v>
      </c>
      <c r="AK151" s="189" t="str">
        <f t="shared" ca="1" si="437"/>
        <v>Bajo</v>
      </c>
      <c r="AL151" s="185" t="s">
        <v>255</v>
      </c>
      <c r="AM151" s="227"/>
      <c r="AN151" s="230"/>
      <c r="AO151" s="228"/>
      <c r="AP151" s="228"/>
      <c r="AQ151" s="227"/>
      <c r="AR151" s="229"/>
    </row>
    <row r="152" spans="1:44" s="191" customFormat="1" ht="149.25" customHeight="1" thickTop="1" thickBot="1" x14ac:dyDescent="0.3">
      <c r="A152" s="352">
        <v>65</v>
      </c>
      <c r="B152" s="353" t="s">
        <v>755</v>
      </c>
      <c r="C152" s="359" t="s">
        <v>276</v>
      </c>
      <c r="D152" s="359" t="s">
        <v>756</v>
      </c>
      <c r="E152" s="359" t="s">
        <v>240</v>
      </c>
      <c r="F152" s="360" t="s">
        <v>757</v>
      </c>
      <c r="G152" s="360" t="s">
        <v>758</v>
      </c>
      <c r="H152" s="361" t="s">
        <v>1154</v>
      </c>
      <c r="I152" s="362" t="s">
        <v>474</v>
      </c>
      <c r="J152" s="362" t="s">
        <v>474</v>
      </c>
      <c r="K152" s="362" t="s">
        <v>474</v>
      </c>
      <c r="L152" s="362" t="s">
        <v>474</v>
      </c>
      <c r="M152" s="357" t="s">
        <v>246</v>
      </c>
      <c r="N152" s="357"/>
      <c r="O152" s="363">
        <v>365</v>
      </c>
      <c r="P152" s="364" t="str">
        <f t="shared" ref="P152" si="447">IF(O152&lt;=0,"",IF(O152&lt;=2,"Muy Baja",IF(O152&lt;=24,"Baja",IF(O152&lt;=500,"Media",IF(O152&lt;=5000,"Alta","Muy Alta")))))</f>
        <v>Media</v>
      </c>
      <c r="Q152" s="365">
        <f t="shared" ref="Q152" si="448">IF(P152="","",IF(P152="Muy Baja",0.2,IF(P152="Baja",0.4,IF(P152="Media",0.6,IF(P152="Alta",0.8,IF(P152="Muy Alta",1,))))))</f>
        <v>0.6</v>
      </c>
      <c r="R152" s="365" t="s">
        <v>190</v>
      </c>
      <c r="S152" s="365" t="str">
        <f ca="1">IF(NOT(ISERROR(MATCH(R152,'Tabla Impacto'!$B$221:$B$223,0))),'Tabla Impacto'!$F$223&amp;"Por favor no seleccionar los criterios de impacto(Afectación Económica o presupuestal y Pérdida Reputacional)",R152)</f>
        <v>El riesgo afecta la imagen de la entidad con algunos usuarios de relevancia frente al logro de los objetivos</v>
      </c>
      <c r="T152" s="364" t="str">
        <f ca="1">+IF(OR(S152='[1]Tabla Impacto'!$C$11,S152='[1]Tabla Impacto'!$D$11),"Leve",IF(OR(S152='[1]Tabla Impacto'!$C$12,S152='[1]Tabla Impacto'!$D$12),"Menor",IF(OR(S152='[1]Tabla Impacto'!$C$13,S152='[1]Tabla Impacto'!$D$13),"Moderado",IF(OR(S152='[1]Tabla Impacto'!$C$14,S152='[1]Tabla Impacto'!$D$14),"Mayor",IF(OR(S152='[1]Tabla Impacto'!$C$15,S152='[1]Tabla Impacto'!$D$15),"Catastrófico","")))))</f>
        <v>Moderado</v>
      </c>
      <c r="U152" s="365">
        <f t="shared" ref="U152" ca="1" si="449">IF(T152="","",IF(T152="Leve",0.2,IF(T152="Menor",0.4,IF(T152="Moderado",0.6,IF(T152="Mayor",0.8,IF(T152="Catastrófico",1,))))))</f>
        <v>0.6</v>
      </c>
      <c r="V152" s="351" t="str">
        <f t="shared" ref="V152" ca="1" si="450">IF(OR(AND(P152="Muy Baja",T152="Leve"),AND(P152="Muy Baja",T152="Menor"),AND(P152="Baja",T152="Leve")),"Bajo",IF(OR(AND(P152="Muy baja",T152="Moderado"),AND(P152="Baja",T152="Menor"),AND(P152="Baja",T152="Moderado"),AND(P152="Media",T152="Leve"),AND(P152="Media",T152="Menor"),AND(P152="Media",T152="Moderado"),AND(P152="Alta",T152="Leve"),AND(P152="Alta",T152="Menor")),"Moderado",IF(OR(AND(P152="Muy Baja",T152="Mayor"),AND(P152="Baja",T152="Mayor"),AND(P152="Media",T152="Mayor"),AND(P152="Alta",T152="Moderado"),AND(P152="Alta",T152="Mayor"),AND(P152="Muy Alta",T152="Leve"),AND(P152="Muy Alta",T152="Menor"),AND(P152="Muy Alta",T152="Moderado"),AND(P152="Muy Alta",T152="Mayor")),"Alto",IF(OR(AND(P152="Muy Baja",T152="Catastrófico"),AND(P152="Baja",T152="Catastrófico"),AND(P152="Media",T152="Catastrófico"),AND(P152="Alta",T152="Catastrófico"),AND(P152="Muy Alta",T152="Catastrófico")),"Extremo",""))))</f>
        <v>Moderado</v>
      </c>
      <c r="W152" s="233">
        <v>1</v>
      </c>
      <c r="X152" s="207" t="s">
        <v>759</v>
      </c>
      <c r="Y152" s="230" t="str">
        <f t="shared" si="431"/>
        <v>Probabilidad</v>
      </c>
      <c r="Z152" s="185" t="s">
        <v>208</v>
      </c>
      <c r="AA152" s="185" t="s">
        <v>216</v>
      </c>
      <c r="AB152" s="186" t="str">
        <f t="shared" si="396"/>
        <v>40%</v>
      </c>
      <c r="AC152" s="185" t="s">
        <v>219</v>
      </c>
      <c r="AD152" s="185" t="s">
        <v>224</v>
      </c>
      <c r="AE152" s="185" t="s">
        <v>228</v>
      </c>
      <c r="AF152" s="187">
        <f t="shared" ref="AF152" si="451">IFERROR(IF(Y152="Probabilidad",(Q152-(+Q152*AB152)),IF(Y152="Impacto",Q152,"")),"")</f>
        <v>0.36</v>
      </c>
      <c r="AG152" s="188" t="str">
        <f t="shared" si="433"/>
        <v>Baja</v>
      </c>
      <c r="AH152" s="186">
        <f t="shared" si="434"/>
        <v>0.36</v>
      </c>
      <c r="AI152" s="188" t="str">
        <f t="shared" ca="1" si="435"/>
        <v>Moderado</v>
      </c>
      <c r="AJ152" s="186">
        <f t="shared" ref="AJ152" ca="1" si="452">IFERROR(IF(Y152="Impacto",(U152-(+U152*AB152)),IF(Y152="Probabilidad",U152,"")),"")</f>
        <v>0.6</v>
      </c>
      <c r="AK152" s="189" t="str">
        <f t="shared" ca="1" si="437"/>
        <v>Moderado</v>
      </c>
      <c r="AL152" s="185" t="s">
        <v>255</v>
      </c>
      <c r="AM152" s="227"/>
      <c r="AN152" s="230"/>
      <c r="AO152" s="228"/>
      <c r="AP152" s="228"/>
      <c r="AQ152" s="227"/>
      <c r="AR152" s="229"/>
    </row>
    <row r="153" spans="1:44" s="191" customFormat="1" ht="119.25" customHeight="1" thickTop="1" thickBot="1" x14ac:dyDescent="0.3">
      <c r="A153" s="352"/>
      <c r="B153" s="353"/>
      <c r="C153" s="359"/>
      <c r="D153" s="359"/>
      <c r="E153" s="359"/>
      <c r="F153" s="360"/>
      <c r="G153" s="360"/>
      <c r="H153" s="361"/>
      <c r="I153" s="362"/>
      <c r="J153" s="362"/>
      <c r="K153" s="362"/>
      <c r="L153" s="362"/>
      <c r="M153" s="357"/>
      <c r="N153" s="357"/>
      <c r="O153" s="363"/>
      <c r="P153" s="364"/>
      <c r="Q153" s="365"/>
      <c r="R153" s="365"/>
      <c r="S153" s="365">
        <f ca="1">IF(NOT(ISERROR(MATCH(R153,_xlfn.ANCHORARRAY(H156),0))),#REF!&amp;"Por favor no seleccionar los criterios de impacto",R153)</f>
        <v>0</v>
      </c>
      <c r="T153" s="364"/>
      <c r="U153" s="365"/>
      <c r="V153" s="351"/>
      <c r="W153" s="233">
        <v>2</v>
      </c>
      <c r="X153" s="207" t="s">
        <v>760</v>
      </c>
      <c r="Y153" s="230" t="str">
        <f t="shared" si="431"/>
        <v>Probabilidad</v>
      </c>
      <c r="Z153" s="185" t="s">
        <v>208</v>
      </c>
      <c r="AA153" s="185" t="s">
        <v>216</v>
      </c>
      <c r="AB153" s="186" t="str">
        <f t="shared" si="396"/>
        <v>40%</v>
      </c>
      <c r="AC153" s="185" t="s">
        <v>219</v>
      </c>
      <c r="AD153" s="185" t="s">
        <v>224</v>
      </c>
      <c r="AE153" s="185" t="s">
        <v>228</v>
      </c>
      <c r="AF153" s="187">
        <f t="shared" ref="AF153" si="453">IFERROR(IF(AND(Y152="Probabilidad",Y153="Probabilidad"),(AH152-(+AH152*AB153)),IF(Y153="Probabilidad",(Q152-(+Q152*AB153)),IF(Y153="Impacto",AH152,""))),"")</f>
        <v>0.216</v>
      </c>
      <c r="AG153" s="188" t="str">
        <f t="shared" si="433"/>
        <v>Baja</v>
      </c>
      <c r="AH153" s="186">
        <f t="shared" si="434"/>
        <v>0.216</v>
      </c>
      <c r="AI153" s="188" t="str">
        <f t="shared" ca="1" si="435"/>
        <v>Moderado</v>
      </c>
      <c r="AJ153" s="186">
        <f t="shared" ref="AJ153" ca="1" si="454">IFERROR(IF(AND(Y152="Impacto",Y153="Impacto"),(AJ152-(+AJ152*AB153)),IF(Y153="Impacto",(U152-(+U152*AB153)),IF(Y153="Probabilidad",AJ152,""))),"")</f>
        <v>0.6</v>
      </c>
      <c r="AK153" s="189" t="str">
        <f t="shared" ca="1" si="437"/>
        <v>Moderado</v>
      </c>
      <c r="AL153" s="185" t="s">
        <v>255</v>
      </c>
      <c r="AM153" s="227"/>
      <c r="AN153" s="230"/>
      <c r="AO153" s="228"/>
      <c r="AP153" s="228"/>
      <c r="AQ153" s="227"/>
      <c r="AR153" s="229"/>
    </row>
    <row r="154" spans="1:44" s="191" customFormat="1" ht="135" customHeight="1" thickTop="1" thickBot="1" x14ac:dyDescent="0.3">
      <c r="A154" s="352">
        <v>66</v>
      </c>
      <c r="B154" s="353" t="s">
        <v>761</v>
      </c>
      <c r="C154" s="359" t="s">
        <v>276</v>
      </c>
      <c r="D154" s="359" t="s">
        <v>756</v>
      </c>
      <c r="E154" s="359" t="s">
        <v>238</v>
      </c>
      <c r="F154" s="360" t="s">
        <v>762</v>
      </c>
      <c r="G154" s="360" t="s">
        <v>763</v>
      </c>
      <c r="H154" s="361" t="s">
        <v>1155</v>
      </c>
      <c r="I154" s="362" t="s">
        <v>474</v>
      </c>
      <c r="J154" s="362" t="s">
        <v>474</v>
      </c>
      <c r="K154" s="362" t="s">
        <v>474</v>
      </c>
      <c r="L154" s="362" t="s">
        <v>474</v>
      </c>
      <c r="M154" s="357" t="s">
        <v>239</v>
      </c>
      <c r="N154" s="357"/>
      <c r="O154" s="363">
        <v>365</v>
      </c>
      <c r="P154" s="364" t="str">
        <f t="shared" ref="P154" si="455">IF(O154&lt;=0,"",IF(O154&lt;=2,"Muy Baja",IF(O154&lt;=24,"Baja",IF(O154&lt;=500,"Media",IF(O154&lt;=5000,"Alta","Muy Alta")))))</f>
        <v>Media</v>
      </c>
      <c r="Q154" s="365">
        <f t="shared" ref="Q154" si="456">IF(P154="","",IF(P154="Muy Baja",0.2,IF(P154="Baja",0.4,IF(P154="Media",0.6,IF(P154="Alta",0.8,IF(P154="Muy Alta",1,))))))</f>
        <v>0.6</v>
      </c>
      <c r="R154" s="365" t="s">
        <v>190</v>
      </c>
      <c r="S154" s="365" t="str">
        <f ca="1">IF(NOT(ISERROR(MATCH(R154,'Tabla Impacto'!$B$221:$B$223,0))),'Tabla Impacto'!$F$223&amp;"Por favor no seleccionar los criterios de impacto(Afectación Económica o presupuestal y Pérdida Reputacional)",R154)</f>
        <v>El riesgo afecta la imagen de la entidad con algunos usuarios de relevancia frente al logro de los objetivos</v>
      </c>
      <c r="T154" s="364" t="str">
        <f ca="1">+IF(OR(S154='[1]Tabla Impacto'!$C$11,S154='[1]Tabla Impacto'!$D$11),"Leve",IF(OR(S154='[1]Tabla Impacto'!$C$12,S154='[1]Tabla Impacto'!$D$12),"Menor",IF(OR(S154='[1]Tabla Impacto'!$C$13,S154='[1]Tabla Impacto'!$D$13),"Moderado",IF(OR(S154='[1]Tabla Impacto'!$C$14,S154='[1]Tabla Impacto'!$D$14),"Mayor",IF(OR(S154='[1]Tabla Impacto'!$C$15,S154='[1]Tabla Impacto'!$D$15),"Catastrófico","")))))</f>
        <v>Moderado</v>
      </c>
      <c r="U154" s="365">
        <f t="shared" ref="U154" ca="1" si="457">IF(T154="","",IF(T154="Leve",0.2,IF(T154="Menor",0.4,IF(T154="Moderado",0.6,IF(T154="Mayor",0.8,IF(T154="Catastrófico",1,))))))</f>
        <v>0.6</v>
      </c>
      <c r="V154" s="351" t="str">
        <f t="shared" ref="V154" ca="1" si="458">IF(OR(AND(P154="Muy Baja",T154="Leve"),AND(P154="Muy Baja",T154="Menor"),AND(P154="Baja",T154="Leve")),"Bajo",IF(OR(AND(P154="Muy baja",T154="Moderado"),AND(P154="Baja",T154="Menor"),AND(P154="Baja",T154="Moderado"),AND(P154="Media",T154="Leve"),AND(P154="Media",T154="Menor"),AND(P154="Media",T154="Moderado"),AND(P154="Alta",T154="Leve"),AND(P154="Alta",T154="Menor")),"Moderado",IF(OR(AND(P154="Muy Baja",T154="Mayor"),AND(P154="Baja",T154="Mayor"),AND(P154="Media",T154="Mayor"),AND(P154="Alta",T154="Moderado"),AND(P154="Alta",T154="Mayor"),AND(P154="Muy Alta",T154="Leve"),AND(P154="Muy Alta",T154="Menor"),AND(P154="Muy Alta",T154="Moderado"),AND(P154="Muy Alta",T154="Mayor")),"Alto",IF(OR(AND(P154="Muy Baja",T154="Catastrófico"),AND(P154="Baja",T154="Catastrófico"),AND(P154="Media",T154="Catastrófico"),AND(P154="Alta",T154="Catastrófico"),AND(P154="Muy Alta",T154="Catastrófico")),"Extremo",""))))</f>
        <v>Moderado</v>
      </c>
      <c r="W154" s="233">
        <v>1</v>
      </c>
      <c r="X154" s="207" t="s">
        <v>764</v>
      </c>
      <c r="Y154" s="230" t="str">
        <f t="shared" si="431"/>
        <v>Probabilidad</v>
      </c>
      <c r="Z154" s="185" t="s">
        <v>208</v>
      </c>
      <c r="AA154" s="185" t="s">
        <v>216</v>
      </c>
      <c r="AB154" s="186" t="str">
        <f t="shared" si="396"/>
        <v>40%</v>
      </c>
      <c r="AC154" s="185" t="s">
        <v>219</v>
      </c>
      <c r="AD154" s="185" t="s">
        <v>224</v>
      </c>
      <c r="AE154" s="185" t="s">
        <v>228</v>
      </c>
      <c r="AF154" s="187">
        <f t="shared" ref="AF154" si="459">IFERROR(IF(Y154="Probabilidad",(Q154-(+Q154*AB154)),IF(Y154="Impacto",Q154,"")),"")</f>
        <v>0.36</v>
      </c>
      <c r="AG154" s="188" t="str">
        <f t="shared" si="433"/>
        <v>Baja</v>
      </c>
      <c r="AH154" s="186">
        <f t="shared" si="434"/>
        <v>0.36</v>
      </c>
      <c r="AI154" s="188" t="str">
        <f t="shared" ca="1" si="435"/>
        <v>Moderado</v>
      </c>
      <c r="AJ154" s="186">
        <f t="shared" ref="AJ154" ca="1" si="460">IFERROR(IF(Y154="Impacto",(U154-(+U154*AB154)),IF(Y154="Probabilidad",U154,"")),"")</f>
        <v>0.6</v>
      </c>
      <c r="AK154" s="189" t="str">
        <f t="shared" ca="1" si="437"/>
        <v>Moderado</v>
      </c>
      <c r="AL154" s="185" t="s">
        <v>255</v>
      </c>
      <c r="AM154" s="227"/>
      <c r="AN154" s="230"/>
      <c r="AO154" s="228"/>
      <c r="AP154" s="228"/>
      <c r="AQ154" s="227"/>
      <c r="AR154" s="229"/>
    </row>
    <row r="155" spans="1:44" s="191" customFormat="1" ht="135" customHeight="1" thickTop="1" thickBot="1" x14ac:dyDescent="0.3">
      <c r="A155" s="352"/>
      <c r="B155" s="353"/>
      <c r="C155" s="359"/>
      <c r="D155" s="359"/>
      <c r="E155" s="359"/>
      <c r="F155" s="360"/>
      <c r="G155" s="360"/>
      <c r="H155" s="361"/>
      <c r="I155" s="362"/>
      <c r="J155" s="362"/>
      <c r="K155" s="362"/>
      <c r="L155" s="362"/>
      <c r="M155" s="357"/>
      <c r="N155" s="357"/>
      <c r="O155" s="363"/>
      <c r="P155" s="364"/>
      <c r="Q155" s="365"/>
      <c r="R155" s="365"/>
      <c r="S155" s="365">
        <f ca="1">IF(NOT(ISERROR(MATCH(R155,_xlfn.ANCHORARRAY(#REF!),0))),#REF!&amp;"Por favor no seleccionar los criterios de impacto",R155)</f>
        <v>0</v>
      </c>
      <c r="T155" s="364"/>
      <c r="U155" s="365"/>
      <c r="V155" s="351"/>
      <c r="W155" s="233">
        <v>2</v>
      </c>
      <c r="X155" s="207" t="s">
        <v>765</v>
      </c>
      <c r="Y155" s="230" t="str">
        <f t="shared" si="431"/>
        <v>Probabilidad</v>
      </c>
      <c r="Z155" s="185" t="s">
        <v>208</v>
      </c>
      <c r="AA155" s="185" t="s">
        <v>216</v>
      </c>
      <c r="AB155" s="186" t="str">
        <f t="shared" si="396"/>
        <v>40%</v>
      </c>
      <c r="AC155" s="185" t="s">
        <v>219</v>
      </c>
      <c r="AD155" s="185" t="s">
        <v>224</v>
      </c>
      <c r="AE155" s="185" t="s">
        <v>228</v>
      </c>
      <c r="AF155" s="187">
        <f t="shared" ref="AF155" si="461">IFERROR(IF(AND(Y154="Probabilidad",Y155="Probabilidad"),(AH154-(+AH154*AB155)),IF(Y155="Probabilidad",(Q154-(+Q154*AB155)),IF(Y155="Impacto",AH154,""))),"")</f>
        <v>0.216</v>
      </c>
      <c r="AG155" s="188" t="str">
        <f t="shared" si="433"/>
        <v>Baja</v>
      </c>
      <c r="AH155" s="186">
        <f t="shared" si="434"/>
        <v>0.216</v>
      </c>
      <c r="AI155" s="188" t="str">
        <f t="shared" ca="1" si="435"/>
        <v>Moderado</v>
      </c>
      <c r="AJ155" s="186">
        <f t="shared" ref="AJ155" ca="1" si="462">IFERROR(IF(AND(Y154="Impacto",Y155="Impacto"),(AJ154-(+AJ154*AB155)),IF(Y155="Impacto",(U154-(+U154*AB155)),IF(Y155="Probabilidad",AJ154,""))),"")</f>
        <v>0.6</v>
      </c>
      <c r="AK155" s="189" t="str">
        <f t="shared" ca="1" si="437"/>
        <v>Moderado</v>
      </c>
      <c r="AL155" s="185" t="s">
        <v>255</v>
      </c>
      <c r="AM155" s="227"/>
      <c r="AN155" s="230"/>
      <c r="AO155" s="228"/>
      <c r="AP155" s="228"/>
      <c r="AQ155" s="227"/>
      <c r="AR155" s="229"/>
    </row>
    <row r="156" spans="1:44" s="191" customFormat="1" ht="109.5" customHeight="1" thickTop="1" thickBot="1" x14ac:dyDescent="0.3">
      <c r="A156" s="352">
        <v>67</v>
      </c>
      <c r="B156" s="353" t="s">
        <v>766</v>
      </c>
      <c r="C156" s="357" t="s">
        <v>276</v>
      </c>
      <c r="D156" s="357" t="s">
        <v>756</v>
      </c>
      <c r="E156" s="357" t="s">
        <v>238</v>
      </c>
      <c r="F156" s="375" t="s">
        <v>767</v>
      </c>
      <c r="G156" s="375" t="s">
        <v>768</v>
      </c>
      <c r="H156" s="374" t="s">
        <v>1156</v>
      </c>
      <c r="I156" s="362" t="s">
        <v>474</v>
      </c>
      <c r="J156" s="362" t="s">
        <v>474</v>
      </c>
      <c r="K156" s="362" t="s">
        <v>474</v>
      </c>
      <c r="L156" s="362" t="s">
        <v>474</v>
      </c>
      <c r="M156" s="357" t="s">
        <v>239</v>
      </c>
      <c r="N156" s="357"/>
      <c r="O156" s="363">
        <v>365</v>
      </c>
      <c r="P156" s="364" t="str">
        <f t="shared" ref="P156" si="463">IF(O156&lt;=0,"",IF(O156&lt;=2,"Muy Baja",IF(O156&lt;=24,"Baja",IF(O156&lt;=500,"Media",IF(O156&lt;=5000,"Alta","Muy Alta")))))</f>
        <v>Media</v>
      </c>
      <c r="Q156" s="365">
        <f t="shared" ref="Q156" si="464">IF(P156="","",IF(P156="Muy Baja",0.2,IF(P156="Baja",0.4,IF(P156="Media",0.6,IF(P156="Alta",0.8,IF(P156="Muy Alta",1,))))))</f>
        <v>0.6</v>
      </c>
      <c r="R156" s="365" t="s">
        <v>190</v>
      </c>
      <c r="S156" s="365" t="str">
        <f ca="1">IF(NOT(ISERROR(MATCH(R156,'Tabla Impacto'!$B$221:$B$223,0))),'Tabla Impacto'!$F$223&amp;"Por favor no seleccionar los criterios de impacto(Afectación Económica o presupuestal y Pérdida Reputacional)",R156)</f>
        <v>El riesgo afecta la imagen de la entidad con algunos usuarios de relevancia frente al logro de los objetivos</v>
      </c>
      <c r="T156" s="364" t="str">
        <f ca="1">+IF(OR(S156='[1]Tabla Impacto'!$C$11,S156='[1]Tabla Impacto'!$D$11),"Leve",IF(OR(S156='[1]Tabla Impacto'!$C$12,S156='[1]Tabla Impacto'!$D$12),"Menor",IF(OR(S156='[1]Tabla Impacto'!$C$13,S156='[1]Tabla Impacto'!$D$13),"Moderado",IF(OR(S156='[1]Tabla Impacto'!$C$14,S156='[1]Tabla Impacto'!$D$14),"Mayor",IF(OR(S156='[1]Tabla Impacto'!$C$15,S156='[1]Tabla Impacto'!$D$15),"Catastrófico","")))))</f>
        <v>Moderado</v>
      </c>
      <c r="U156" s="365">
        <f t="shared" ref="U156" ca="1" si="465">IF(T156="","",IF(T156="Leve",0.2,IF(T156="Menor",0.4,IF(T156="Moderado",0.6,IF(T156="Mayor",0.8,IF(T156="Catastrófico",1,))))))</f>
        <v>0.6</v>
      </c>
      <c r="V156" s="351" t="str">
        <f t="shared" ref="V156" ca="1" si="466">IF(OR(AND(P156="Muy Baja",T156="Leve"),AND(P156="Muy Baja",T156="Menor"),AND(P156="Baja",T156="Leve")),"Bajo",IF(OR(AND(P156="Muy baja",T156="Moderado"),AND(P156="Baja",T156="Menor"),AND(P156="Baja",T156="Moderado"),AND(P156="Media",T156="Leve"),AND(P156="Media",T156="Menor"),AND(P156="Media",T156="Moderado"),AND(P156="Alta",T156="Leve"),AND(P156="Alta",T156="Menor")),"Moderado",IF(OR(AND(P156="Muy Baja",T156="Mayor"),AND(P156="Baja",T156="Mayor"),AND(P156="Media",T156="Mayor"),AND(P156="Alta",T156="Moderado"),AND(P156="Alta",T156="Mayor"),AND(P156="Muy Alta",T156="Leve"),AND(P156="Muy Alta",T156="Menor"),AND(P156="Muy Alta",T156="Moderado"),AND(P156="Muy Alta",T156="Mayor")),"Alto",IF(OR(AND(P156="Muy Baja",T156="Catastrófico"),AND(P156="Baja",T156="Catastrófico"),AND(P156="Media",T156="Catastrófico"),AND(P156="Alta",T156="Catastrófico"),AND(P156="Muy Alta",T156="Catastrófico")),"Extremo",""))))</f>
        <v>Moderado</v>
      </c>
      <c r="W156" s="233">
        <v>1</v>
      </c>
      <c r="X156" s="207" t="s">
        <v>769</v>
      </c>
      <c r="Y156" s="230" t="str">
        <f t="shared" si="431"/>
        <v>Probabilidad</v>
      </c>
      <c r="Z156" s="185" t="s">
        <v>208</v>
      </c>
      <c r="AA156" s="185" t="s">
        <v>216</v>
      </c>
      <c r="AB156" s="186" t="str">
        <f t="shared" si="396"/>
        <v>40%</v>
      </c>
      <c r="AC156" s="185" t="s">
        <v>219</v>
      </c>
      <c r="AD156" s="185" t="s">
        <v>224</v>
      </c>
      <c r="AE156" s="185" t="s">
        <v>228</v>
      </c>
      <c r="AF156" s="187">
        <f t="shared" ref="AF156" si="467">IFERROR(IF(Y156="Probabilidad",(Q156-(+Q156*AB156)),IF(Y156="Impacto",Q156,"")),"")</f>
        <v>0.36</v>
      </c>
      <c r="AG156" s="188" t="str">
        <f t="shared" si="433"/>
        <v>Baja</v>
      </c>
      <c r="AH156" s="186">
        <f t="shared" si="434"/>
        <v>0.36</v>
      </c>
      <c r="AI156" s="188" t="str">
        <f t="shared" ca="1" si="435"/>
        <v>Moderado</v>
      </c>
      <c r="AJ156" s="186">
        <f t="shared" ref="AJ156" ca="1" si="468">IFERROR(IF(Y156="Impacto",(U156-(+U156*AB156)),IF(Y156="Probabilidad",U156,"")),"")</f>
        <v>0.6</v>
      </c>
      <c r="AK156" s="189" t="str">
        <f t="shared" ca="1" si="437"/>
        <v>Moderado</v>
      </c>
      <c r="AL156" s="185" t="s">
        <v>255</v>
      </c>
      <c r="AM156" s="227"/>
      <c r="AN156" s="230"/>
      <c r="AO156" s="228"/>
      <c r="AP156" s="228"/>
      <c r="AQ156" s="227"/>
      <c r="AR156" s="229"/>
    </row>
    <row r="157" spans="1:44" s="191" customFormat="1" ht="116.25" customHeight="1" thickTop="1" thickBot="1" x14ac:dyDescent="0.3">
      <c r="A157" s="352"/>
      <c r="B157" s="353"/>
      <c r="C157" s="357"/>
      <c r="D157" s="357"/>
      <c r="E157" s="357"/>
      <c r="F157" s="375"/>
      <c r="G157" s="375"/>
      <c r="H157" s="374"/>
      <c r="I157" s="362"/>
      <c r="J157" s="362"/>
      <c r="K157" s="362"/>
      <c r="L157" s="362"/>
      <c r="M157" s="357"/>
      <c r="N157" s="357"/>
      <c r="O157" s="363"/>
      <c r="P157" s="364"/>
      <c r="Q157" s="365"/>
      <c r="R157" s="365"/>
      <c r="S157" s="365">
        <f ca="1">IF(NOT(ISERROR(MATCH(R157,_xlfn.ANCHORARRAY(#REF!),0))),#REF!&amp;"Por favor no seleccionar los criterios de impacto",R157)</f>
        <v>0</v>
      </c>
      <c r="T157" s="364"/>
      <c r="U157" s="365"/>
      <c r="V157" s="351"/>
      <c r="W157" s="233">
        <v>2</v>
      </c>
      <c r="X157" s="207" t="s">
        <v>770</v>
      </c>
      <c r="Y157" s="230" t="str">
        <f t="shared" si="431"/>
        <v>Probabilidad</v>
      </c>
      <c r="Z157" s="185" t="s">
        <v>208</v>
      </c>
      <c r="AA157" s="185" t="s">
        <v>216</v>
      </c>
      <c r="AB157" s="186" t="str">
        <f t="shared" si="396"/>
        <v>40%</v>
      </c>
      <c r="AC157" s="185" t="s">
        <v>219</v>
      </c>
      <c r="AD157" s="185" t="s">
        <v>224</v>
      </c>
      <c r="AE157" s="185" t="s">
        <v>228</v>
      </c>
      <c r="AF157" s="187">
        <f t="shared" ref="AF157" si="469">IFERROR(IF(AND(Y156="Probabilidad",Y157="Probabilidad"),(AH156-(+AH156*AB157)),IF(Y157="Probabilidad",(Q156-(+Q156*AB157)),IF(Y157="Impacto",AH156,""))),"")</f>
        <v>0.216</v>
      </c>
      <c r="AG157" s="188" t="str">
        <f t="shared" si="433"/>
        <v>Baja</v>
      </c>
      <c r="AH157" s="186">
        <f t="shared" si="434"/>
        <v>0.216</v>
      </c>
      <c r="AI157" s="188" t="str">
        <f t="shared" ca="1" si="435"/>
        <v>Moderado</v>
      </c>
      <c r="AJ157" s="186">
        <f t="shared" ref="AJ157" ca="1" si="470">IFERROR(IF(AND(Y156="Impacto",Y157="Impacto"),(AJ156-(+AJ156*AB157)),IF(Y157="Impacto",(U156-(+U156*AB157)),IF(Y157="Probabilidad",AJ156,""))),"")</f>
        <v>0.6</v>
      </c>
      <c r="AK157" s="189" t="str">
        <f t="shared" ca="1" si="437"/>
        <v>Moderado</v>
      </c>
      <c r="AL157" s="185" t="s">
        <v>255</v>
      </c>
      <c r="AM157" s="227"/>
      <c r="AN157" s="230"/>
      <c r="AO157" s="228"/>
      <c r="AP157" s="228"/>
      <c r="AQ157" s="227"/>
      <c r="AR157" s="229"/>
    </row>
    <row r="158" spans="1:44" s="191" customFormat="1" ht="289.5" customHeight="1" thickTop="1" thickBot="1" x14ac:dyDescent="0.3">
      <c r="A158" s="215">
        <v>68</v>
      </c>
      <c r="B158" s="250" t="s">
        <v>778</v>
      </c>
      <c r="C158" s="216" t="s">
        <v>276</v>
      </c>
      <c r="D158" s="216" t="s">
        <v>964</v>
      </c>
      <c r="E158" s="216" t="s">
        <v>240</v>
      </c>
      <c r="F158" s="217" t="s">
        <v>779</v>
      </c>
      <c r="G158" s="217" t="s">
        <v>780</v>
      </c>
      <c r="H158" s="218" t="s">
        <v>1157</v>
      </c>
      <c r="I158" s="219" t="s">
        <v>474</v>
      </c>
      <c r="J158" s="219" t="s">
        <v>474</v>
      </c>
      <c r="K158" s="219" t="s">
        <v>474</v>
      </c>
      <c r="L158" s="219" t="s">
        <v>474</v>
      </c>
      <c r="M158" s="220" t="s">
        <v>239</v>
      </c>
      <c r="N158" s="220"/>
      <c r="O158" s="221">
        <v>2</v>
      </c>
      <c r="P158" s="222" t="str">
        <f t="shared" ref="P158:P174" si="471">IF(O158&lt;=0,"",IF(O158&lt;=2,"Muy Baja",IF(O158&lt;=24,"Baja",IF(O158&lt;=500,"Media",IF(O158&lt;=5000,"Alta","Muy Alta")))))</f>
        <v>Muy Baja</v>
      </c>
      <c r="Q158" s="223">
        <f t="shared" ref="Q158:Q174" si="472">IF(P158="","",IF(P158="Muy Baja",0.2,IF(P158="Baja",0.4,IF(P158="Media",0.6,IF(P158="Alta",0.8,IF(P158="Muy Alta",1,))))))</f>
        <v>0.2</v>
      </c>
      <c r="R158" s="223" t="s">
        <v>190</v>
      </c>
      <c r="S158" s="223" t="str">
        <f ca="1">IF(NOT(ISERROR(MATCH(R158,'Tabla Impacto'!$B$221:$B$223,0))),'Tabla Impacto'!$F$223&amp;"Por favor no seleccionar los criterios de impacto(Afectación Económica o presupuestal y Pérdida Reputacional)",R158)</f>
        <v>El riesgo afecta la imagen de la entidad con algunos usuarios de relevancia frente al logro de los objetivos</v>
      </c>
      <c r="T158" s="222" t="str">
        <f ca="1">+IF(OR(S158='[1]Tabla Impacto'!$C$11,S158='[1]Tabla Impacto'!$D$11),"Leve",IF(OR(S158='[1]Tabla Impacto'!$C$12,S158='[1]Tabla Impacto'!$D$12),"Menor",IF(OR(S158='[1]Tabla Impacto'!$C$13,S158='[1]Tabla Impacto'!$D$13),"Moderado",IF(OR(S158='[1]Tabla Impacto'!$C$14,S158='[1]Tabla Impacto'!$D$14),"Mayor",IF(OR(S158='[1]Tabla Impacto'!$C$15,S158='[1]Tabla Impacto'!$D$15),"Catastrófico","")))))</f>
        <v>Moderado</v>
      </c>
      <c r="U158" s="223">
        <f t="shared" ref="U158" ca="1" si="473">IF(T158="","",IF(T158="Leve",0.2,IF(T158="Menor",0.4,IF(T158="Moderado",0.6,IF(T158="Mayor",0.8,IF(T158="Catastrófico",1,))))))</f>
        <v>0.6</v>
      </c>
      <c r="V158" s="224" t="str">
        <f t="shared" ref="V158" ca="1" si="474">IF(OR(AND(P158="Muy Baja",T158="Leve"),AND(P158="Muy Baja",T158="Menor"),AND(P158="Baja",T158="Leve")),"Bajo",IF(OR(AND(P158="Muy baja",T158="Moderado"),AND(P158="Baja",T158="Menor"),AND(P158="Baja",T158="Moderado"),AND(P158="Media",T158="Leve"),AND(P158="Media",T158="Menor"),AND(P158="Media",T158="Moderado"),AND(P158="Alta",T158="Leve"),AND(P158="Alta",T158="Menor")),"Moderado",IF(OR(AND(P158="Muy Baja",T158="Mayor"),AND(P158="Baja",T158="Mayor"),AND(P158="Media",T158="Mayor"),AND(P158="Alta",T158="Moderado"),AND(P158="Alta",T158="Mayor"),AND(P158="Muy Alta",T158="Leve"),AND(P158="Muy Alta",T158="Menor"),AND(P158="Muy Alta",T158="Moderado"),AND(P158="Muy Alta",T158="Mayor")),"Alto",IF(OR(AND(P158="Muy Baja",T158="Catastrófico"),AND(P158="Baja",T158="Catastrófico"),AND(P158="Media",T158="Catastrófico"),AND(P158="Alta",T158="Catastrófico"),AND(P158="Muy Alta",T158="Catastrófico")),"Extremo",""))))</f>
        <v>Moderado</v>
      </c>
      <c r="W158" s="233">
        <v>1</v>
      </c>
      <c r="X158" s="207" t="s">
        <v>781</v>
      </c>
      <c r="Y158" s="230" t="str">
        <f t="shared" si="431"/>
        <v>Probabilidad</v>
      </c>
      <c r="Z158" s="185" t="s">
        <v>208</v>
      </c>
      <c r="AA158" s="185" t="s">
        <v>216</v>
      </c>
      <c r="AB158" s="186" t="str">
        <f t="shared" ref="AB158:AB187" si="475">IF(AND(Z158="Preventivo",AA158="Automático"),"50%",IF(AND(Z158="Preventivo",AA158="Manual"),"40%",IF(AND(Z158="Detectivo",AA158="Automático"),"40%",IF(AND(Z158="Detectivo",AA158="Manual"),"30%",IF(AND(Z158="Correctivo",AA158="Automático"),"35%",IF(AND(Z158="Correctivo",AA158="Manual"),"25%",""))))))</f>
        <v>40%</v>
      </c>
      <c r="AC158" s="185" t="s">
        <v>219</v>
      </c>
      <c r="AD158" s="185" t="s">
        <v>224</v>
      </c>
      <c r="AE158" s="185" t="s">
        <v>228</v>
      </c>
      <c r="AF158" s="187">
        <f t="shared" ref="AF158" si="476">IFERROR(IF(Y158="Probabilidad",(Q158-(+Q158*AB158)),IF(Y158="Impacto",Q158,"")),"")</f>
        <v>0.12</v>
      </c>
      <c r="AG158" s="188" t="str">
        <f t="shared" si="433"/>
        <v>Muy Baja</v>
      </c>
      <c r="AH158" s="186">
        <f t="shared" si="434"/>
        <v>0.12</v>
      </c>
      <c r="AI158" s="188" t="str">
        <f t="shared" ca="1" si="435"/>
        <v>Moderado</v>
      </c>
      <c r="AJ158" s="186">
        <f t="shared" ref="AJ158" ca="1" si="477">IFERROR(IF(Y158="Impacto",(U158-(+U158*AB158)),IF(Y158="Probabilidad",U158,"")),"")</f>
        <v>0.6</v>
      </c>
      <c r="AK158" s="189" t="str">
        <f t="shared" ca="1" si="437"/>
        <v>Moderado</v>
      </c>
      <c r="AL158" s="185" t="s">
        <v>255</v>
      </c>
      <c r="AM158" s="227"/>
      <c r="AN158" s="230"/>
      <c r="AO158" s="228"/>
      <c r="AP158" s="228"/>
      <c r="AQ158" s="227"/>
      <c r="AR158" s="229"/>
    </row>
    <row r="159" spans="1:44" s="191" customFormat="1" ht="114" customHeight="1" thickTop="1" thickBot="1" x14ac:dyDescent="0.3">
      <c r="A159" s="352">
        <v>69</v>
      </c>
      <c r="B159" s="353" t="s">
        <v>782</v>
      </c>
      <c r="C159" s="359" t="s">
        <v>276</v>
      </c>
      <c r="D159" s="359" t="s">
        <v>783</v>
      </c>
      <c r="E159" s="359" t="s">
        <v>240</v>
      </c>
      <c r="F159" s="360" t="s">
        <v>784</v>
      </c>
      <c r="G159" s="360" t="s">
        <v>1092</v>
      </c>
      <c r="H159" s="361" t="s">
        <v>785</v>
      </c>
      <c r="I159" s="362" t="s">
        <v>474</v>
      </c>
      <c r="J159" s="362" t="s">
        <v>474</v>
      </c>
      <c r="K159" s="362" t="s">
        <v>474</v>
      </c>
      <c r="L159" s="362" t="s">
        <v>474</v>
      </c>
      <c r="M159" s="357" t="s">
        <v>241</v>
      </c>
      <c r="N159" s="357"/>
      <c r="O159" s="363">
        <v>365</v>
      </c>
      <c r="P159" s="364" t="str">
        <f t="shared" si="471"/>
        <v>Media</v>
      </c>
      <c r="Q159" s="365">
        <f t="shared" si="472"/>
        <v>0.6</v>
      </c>
      <c r="R159" s="365" t="s">
        <v>190</v>
      </c>
      <c r="S159" s="365" t="str">
        <f ca="1">IF(NOT(ISERROR(MATCH(R159,'Tabla Impacto'!$B$221:$B$223,0))),'Tabla Impacto'!$F$223&amp;"Por favor no seleccionar los criterios de impacto(Afectación Económica o presupuestal y Pérdida Reputacional)",R159)</f>
        <v>El riesgo afecta la imagen de la entidad con algunos usuarios de relevancia frente al logro de los objetivos</v>
      </c>
      <c r="T159" s="364" t="str">
        <f ca="1">+IF(OR(S159='[1]Tabla Impacto'!$C$11,S159='[1]Tabla Impacto'!$D$11),"Leve",IF(OR(S159='[1]Tabla Impacto'!$C$12,S159='[1]Tabla Impacto'!$D$12),"Menor",IF(OR(S159='[1]Tabla Impacto'!$C$13,S159='[1]Tabla Impacto'!$D$13),"Moderado",IF(OR(S159='[1]Tabla Impacto'!$C$14,S159='[1]Tabla Impacto'!$D$14),"Mayor",IF(OR(S159='[1]Tabla Impacto'!$C$15,S159='[1]Tabla Impacto'!$D$15),"Catastrófico","")))))</f>
        <v>Moderado</v>
      </c>
      <c r="U159" s="365">
        <f t="shared" ref="U159" ca="1" si="478">IF(T159="","",IF(T159="Leve",0.2,IF(T159="Menor",0.4,IF(T159="Moderado",0.6,IF(T159="Mayor",0.8,IF(T159="Catastrófico",1,))))))</f>
        <v>0.6</v>
      </c>
      <c r="V159" s="351" t="str">
        <f t="shared" ref="V159" ca="1" si="479">IF(OR(AND(P159="Muy Baja",T159="Leve"),AND(P159="Muy Baja",T159="Menor"),AND(P159="Baja",T159="Leve")),"Bajo",IF(OR(AND(P159="Muy baja",T159="Moderado"),AND(P159="Baja",T159="Menor"),AND(P159="Baja",T159="Moderado"),AND(P159="Media",T159="Leve"),AND(P159="Media",T159="Menor"),AND(P159="Media",T159="Moderado"),AND(P159="Alta",T159="Leve"),AND(P159="Alta",T159="Menor")),"Moderado",IF(OR(AND(P159="Muy Baja",T159="Mayor"),AND(P159="Baja",T159="Mayor"),AND(P159="Media",T159="Mayor"),AND(P159="Alta",T159="Moderado"),AND(P159="Alta",T159="Mayor"),AND(P159="Muy Alta",T159="Leve"),AND(P159="Muy Alta",T159="Menor"),AND(P159="Muy Alta",T159="Moderado"),AND(P159="Muy Alta",T159="Mayor")),"Alto",IF(OR(AND(P159="Muy Baja",T159="Catastrófico"),AND(P159="Baja",T159="Catastrófico"),AND(P159="Media",T159="Catastrófico"),AND(P159="Alta",T159="Catastrófico"),AND(P159="Muy Alta",T159="Catastrófico")),"Extremo",""))))</f>
        <v>Moderado</v>
      </c>
      <c r="W159" s="233">
        <v>1</v>
      </c>
      <c r="X159" s="207" t="s">
        <v>786</v>
      </c>
      <c r="Y159" s="230" t="str">
        <f t="shared" si="431"/>
        <v>Probabilidad</v>
      </c>
      <c r="Z159" s="185" t="s">
        <v>208</v>
      </c>
      <c r="AA159" s="185" t="s">
        <v>216</v>
      </c>
      <c r="AB159" s="186" t="str">
        <f t="shared" si="475"/>
        <v>40%</v>
      </c>
      <c r="AC159" s="185" t="s">
        <v>219</v>
      </c>
      <c r="AD159" s="185" t="s">
        <v>224</v>
      </c>
      <c r="AE159" s="185" t="s">
        <v>228</v>
      </c>
      <c r="AF159" s="187">
        <f t="shared" ref="AF159" si="480">IFERROR(IF(Y159="Probabilidad",(Q159-(+Q159*AB159)),IF(Y159="Impacto",Q159,"")),"")</f>
        <v>0.36</v>
      </c>
      <c r="AG159" s="188" t="str">
        <f t="shared" si="433"/>
        <v>Baja</v>
      </c>
      <c r="AH159" s="186">
        <f t="shared" si="434"/>
        <v>0.36</v>
      </c>
      <c r="AI159" s="188" t="str">
        <f t="shared" ca="1" si="435"/>
        <v>Moderado</v>
      </c>
      <c r="AJ159" s="186">
        <f t="shared" ref="AJ159" ca="1" si="481">IFERROR(IF(Y159="Impacto",(U159-(+U159*AB159)),IF(Y159="Probabilidad",U159,"")),"")</f>
        <v>0.6</v>
      </c>
      <c r="AK159" s="189" t="str">
        <f t="shared" ca="1" si="437"/>
        <v>Moderado</v>
      </c>
      <c r="AL159" s="185" t="s">
        <v>255</v>
      </c>
      <c r="AM159" s="227"/>
      <c r="AN159" s="230"/>
      <c r="AO159" s="228"/>
      <c r="AP159" s="228"/>
      <c r="AQ159" s="227"/>
      <c r="AR159" s="229"/>
    </row>
    <row r="160" spans="1:44" s="191" customFormat="1" ht="108" customHeight="1" thickTop="1" thickBot="1" x14ac:dyDescent="0.3">
      <c r="A160" s="352"/>
      <c r="B160" s="353"/>
      <c r="C160" s="359"/>
      <c r="D160" s="359"/>
      <c r="E160" s="359"/>
      <c r="F160" s="360"/>
      <c r="G160" s="360"/>
      <c r="H160" s="361"/>
      <c r="I160" s="362"/>
      <c r="J160" s="362"/>
      <c r="K160" s="362"/>
      <c r="L160" s="362"/>
      <c r="M160" s="357"/>
      <c r="N160" s="357"/>
      <c r="O160" s="363"/>
      <c r="P160" s="364"/>
      <c r="Q160" s="365"/>
      <c r="R160" s="365"/>
      <c r="S160" s="365">
        <f ca="1">IF(NOT(ISERROR(MATCH(R160,_xlfn.ANCHORARRAY(H168),0))),#REF!&amp;"Por favor no seleccionar los criterios de impacto",R160)</f>
        <v>0</v>
      </c>
      <c r="T160" s="364"/>
      <c r="U160" s="365"/>
      <c r="V160" s="351"/>
      <c r="W160" s="233">
        <v>2</v>
      </c>
      <c r="X160" s="207" t="s">
        <v>787</v>
      </c>
      <c r="Y160" s="230" t="str">
        <f t="shared" si="431"/>
        <v>Probabilidad</v>
      </c>
      <c r="Z160" s="185" t="s">
        <v>208</v>
      </c>
      <c r="AA160" s="185" t="s">
        <v>216</v>
      </c>
      <c r="AB160" s="186" t="str">
        <f t="shared" si="475"/>
        <v>40%</v>
      </c>
      <c r="AC160" s="185" t="s">
        <v>219</v>
      </c>
      <c r="AD160" s="185" t="s">
        <v>224</v>
      </c>
      <c r="AE160" s="185" t="s">
        <v>228</v>
      </c>
      <c r="AF160" s="187">
        <f t="shared" ref="AF160:AF163" si="482">IFERROR(IF(AND(Y159="Probabilidad",Y160="Probabilidad"),(AH159-(+AH159*AB160)),IF(Y160="Probabilidad",(Q159-(+Q159*AB160)),IF(Y160="Impacto",AH159,""))),"")</f>
        <v>0.216</v>
      </c>
      <c r="AG160" s="188" t="str">
        <f t="shared" si="433"/>
        <v>Baja</v>
      </c>
      <c r="AH160" s="186">
        <f t="shared" si="434"/>
        <v>0.216</v>
      </c>
      <c r="AI160" s="188" t="str">
        <f t="shared" ca="1" si="435"/>
        <v>Moderado</v>
      </c>
      <c r="AJ160" s="186">
        <f t="shared" ref="AJ160" ca="1" si="483">IFERROR(IF(AND(Y159="Impacto",Y160="Impacto"),(AJ159-(+AJ159*AB160)),IF(Y160="Impacto",(U159-(+U159*AB160)),IF(Y160="Probabilidad",AJ159,""))),"")</f>
        <v>0.6</v>
      </c>
      <c r="AK160" s="189" t="str">
        <f t="shared" ca="1" si="437"/>
        <v>Moderado</v>
      </c>
      <c r="AL160" s="185" t="s">
        <v>255</v>
      </c>
      <c r="AM160" s="227"/>
      <c r="AN160" s="230"/>
      <c r="AO160" s="228"/>
      <c r="AP160" s="228"/>
      <c r="AQ160" s="227"/>
      <c r="AR160" s="229"/>
    </row>
    <row r="161" spans="1:44" s="191" customFormat="1" ht="109.5" customHeight="1" thickTop="1" thickBot="1" x14ac:dyDescent="0.3">
      <c r="A161" s="352"/>
      <c r="B161" s="353"/>
      <c r="C161" s="359"/>
      <c r="D161" s="359"/>
      <c r="E161" s="359"/>
      <c r="F161" s="360"/>
      <c r="G161" s="360"/>
      <c r="H161" s="361"/>
      <c r="I161" s="362"/>
      <c r="J161" s="362"/>
      <c r="K161" s="362"/>
      <c r="L161" s="362"/>
      <c r="M161" s="357"/>
      <c r="N161" s="357"/>
      <c r="O161" s="363"/>
      <c r="P161" s="364"/>
      <c r="Q161" s="365"/>
      <c r="R161" s="365"/>
      <c r="S161" s="365">
        <f ca="1">IF(NOT(ISERROR(MATCH(R161,_xlfn.ANCHORARRAY(H169),0))),#REF!&amp;"Por favor no seleccionar los criterios de impacto",R161)</f>
        <v>0</v>
      </c>
      <c r="T161" s="364"/>
      <c r="U161" s="365"/>
      <c r="V161" s="351"/>
      <c r="W161" s="233">
        <v>3</v>
      </c>
      <c r="X161" s="207" t="s">
        <v>788</v>
      </c>
      <c r="Y161" s="230" t="str">
        <f t="shared" si="431"/>
        <v>Probabilidad</v>
      </c>
      <c r="Z161" s="185" t="s">
        <v>210</v>
      </c>
      <c r="AA161" s="185" t="s">
        <v>216</v>
      </c>
      <c r="AB161" s="186" t="str">
        <f t="shared" si="475"/>
        <v>30%</v>
      </c>
      <c r="AC161" s="185" t="s">
        <v>219</v>
      </c>
      <c r="AD161" s="185" t="s">
        <v>224</v>
      </c>
      <c r="AE161" s="185" t="s">
        <v>228</v>
      </c>
      <c r="AF161" s="187">
        <f t="shared" si="482"/>
        <v>0.1512</v>
      </c>
      <c r="AG161" s="188" t="str">
        <f t="shared" si="433"/>
        <v>Muy Baja</v>
      </c>
      <c r="AH161" s="186">
        <f t="shared" si="434"/>
        <v>0.1512</v>
      </c>
      <c r="AI161" s="188" t="str">
        <f t="shared" ca="1" si="435"/>
        <v>Moderado</v>
      </c>
      <c r="AJ161" s="186">
        <f t="shared" ref="AJ161:AJ163" ca="1" si="484">IFERROR(IF(AND(Y160="Impacto",Y161="Impacto"),(AJ160-(+AJ160*AB161)),IF(AND(Y160="Probabilidad",Y161="Impacto"),(AJ159-(+AJ159*AB161)),IF(Y161="Probabilidad",AJ160,""))),"")</f>
        <v>0.6</v>
      </c>
      <c r="AK161" s="189" t="str">
        <f t="shared" ca="1" si="437"/>
        <v>Moderado</v>
      </c>
      <c r="AL161" s="185" t="s">
        <v>255</v>
      </c>
      <c r="AM161" s="227"/>
      <c r="AN161" s="230"/>
      <c r="AO161" s="228"/>
      <c r="AP161" s="228"/>
      <c r="AQ161" s="227"/>
      <c r="AR161" s="229"/>
    </row>
    <row r="162" spans="1:44" s="191" customFormat="1" ht="105.75" customHeight="1" thickTop="1" thickBot="1" x14ac:dyDescent="0.3">
      <c r="A162" s="352"/>
      <c r="B162" s="353"/>
      <c r="C162" s="359"/>
      <c r="D162" s="359"/>
      <c r="E162" s="359"/>
      <c r="F162" s="360"/>
      <c r="G162" s="360"/>
      <c r="H162" s="361"/>
      <c r="I162" s="362"/>
      <c r="J162" s="362"/>
      <c r="K162" s="362"/>
      <c r="L162" s="362"/>
      <c r="M162" s="357"/>
      <c r="N162" s="357"/>
      <c r="O162" s="363"/>
      <c r="P162" s="364"/>
      <c r="Q162" s="365"/>
      <c r="R162" s="365"/>
      <c r="S162" s="365">
        <f ca="1">IF(NOT(ISERROR(MATCH(R162,_xlfn.ANCHORARRAY(#REF!),0))),#REF!&amp;"Por favor no seleccionar los criterios de impacto",R162)</f>
        <v>0</v>
      </c>
      <c r="T162" s="364"/>
      <c r="U162" s="365"/>
      <c r="V162" s="351"/>
      <c r="W162" s="233">
        <v>4</v>
      </c>
      <c r="X162" s="207" t="s">
        <v>789</v>
      </c>
      <c r="Y162" s="230" t="str">
        <f t="shared" si="431"/>
        <v>Probabilidad</v>
      </c>
      <c r="Z162" s="185" t="s">
        <v>210</v>
      </c>
      <c r="AA162" s="185" t="s">
        <v>216</v>
      </c>
      <c r="AB162" s="186" t="str">
        <f t="shared" si="475"/>
        <v>30%</v>
      </c>
      <c r="AC162" s="185" t="s">
        <v>219</v>
      </c>
      <c r="AD162" s="185" t="s">
        <v>224</v>
      </c>
      <c r="AE162" s="185" t="s">
        <v>228</v>
      </c>
      <c r="AF162" s="187">
        <f t="shared" si="482"/>
        <v>0.10584</v>
      </c>
      <c r="AG162" s="188" t="str">
        <f t="shared" si="433"/>
        <v>Muy Baja</v>
      </c>
      <c r="AH162" s="186">
        <f t="shared" si="434"/>
        <v>0.10584</v>
      </c>
      <c r="AI162" s="188" t="str">
        <f t="shared" ca="1" si="435"/>
        <v>Moderado</v>
      </c>
      <c r="AJ162" s="186">
        <f t="shared" ca="1" si="484"/>
        <v>0.6</v>
      </c>
      <c r="AK162" s="189" t="str">
        <f t="shared" ca="1" si="437"/>
        <v>Moderado</v>
      </c>
      <c r="AL162" s="185" t="s">
        <v>255</v>
      </c>
      <c r="AM162" s="227"/>
      <c r="AN162" s="230"/>
      <c r="AO162" s="228"/>
      <c r="AP162" s="228"/>
      <c r="AQ162" s="227"/>
      <c r="AR162" s="229"/>
    </row>
    <row r="163" spans="1:44" s="191" customFormat="1" ht="138.75" customHeight="1" thickTop="1" thickBot="1" x14ac:dyDescent="0.3">
      <c r="A163" s="352"/>
      <c r="B163" s="353"/>
      <c r="C163" s="359"/>
      <c r="D163" s="359"/>
      <c r="E163" s="359"/>
      <c r="F163" s="360"/>
      <c r="G163" s="360"/>
      <c r="H163" s="361"/>
      <c r="I163" s="362"/>
      <c r="J163" s="362"/>
      <c r="K163" s="362"/>
      <c r="L163" s="362"/>
      <c r="M163" s="357"/>
      <c r="N163" s="357"/>
      <c r="O163" s="363"/>
      <c r="P163" s="364"/>
      <c r="Q163" s="365"/>
      <c r="R163" s="365"/>
      <c r="S163" s="365">
        <f ca="1">IF(NOT(ISERROR(MATCH(R163,_xlfn.ANCHORARRAY(#REF!),0))),#REF!&amp;"Por favor no seleccionar los criterios de impacto",R163)</f>
        <v>0</v>
      </c>
      <c r="T163" s="364"/>
      <c r="U163" s="365"/>
      <c r="V163" s="351"/>
      <c r="W163" s="233">
        <v>5</v>
      </c>
      <c r="X163" s="207" t="s">
        <v>790</v>
      </c>
      <c r="Y163" s="230" t="str">
        <f t="shared" si="431"/>
        <v>Impacto</v>
      </c>
      <c r="Z163" s="185" t="s">
        <v>212</v>
      </c>
      <c r="AA163" s="185" t="s">
        <v>216</v>
      </c>
      <c r="AB163" s="186" t="str">
        <f t="shared" si="475"/>
        <v>25%</v>
      </c>
      <c r="AC163" s="185" t="s">
        <v>219</v>
      </c>
      <c r="AD163" s="185" t="s">
        <v>224</v>
      </c>
      <c r="AE163" s="185" t="s">
        <v>228</v>
      </c>
      <c r="AF163" s="187">
        <f t="shared" si="482"/>
        <v>0.10584</v>
      </c>
      <c r="AG163" s="188" t="str">
        <f t="shared" si="433"/>
        <v>Muy Baja</v>
      </c>
      <c r="AH163" s="186">
        <f t="shared" si="434"/>
        <v>0.10584</v>
      </c>
      <c r="AI163" s="188" t="str">
        <f t="shared" ca="1" si="435"/>
        <v>Moderado</v>
      </c>
      <c r="AJ163" s="186">
        <f t="shared" ca="1" si="484"/>
        <v>0.44999999999999996</v>
      </c>
      <c r="AK163" s="189" t="str">
        <f t="shared" ca="1" si="437"/>
        <v>Moderado</v>
      </c>
      <c r="AL163" s="185" t="s">
        <v>255</v>
      </c>
      <c r="AM163" s="227"/>
      <c r="AN163" s="230"/>
      <c r="AO163" s="228"/>
      <c r="AP163" s="228"/>
      <c r="AQ163" s="227"/>
      <c r="AR163" s="229"/>
    </row>
    <row r="164" spans="1:44" s="191" customFormat="1" ht="134.25" customHeight="1" thickTop="1" thickBot="1" x14ac:dyDescent="0.3">
      <c r="A164" s="352">
        <v>70</v>
      </c>
      <c r="B164" s="353" t="s">
        <v>791</v>
      </c>
      <c r="C164" s="359" t="s">
        <v>276</v>
      </c>
      <c r="D164" s="359" t="s">
        <v>783</v>
      </c>
      <c r="E164" s="359" t="s">
        <v>236</v>
      </c>
      <c r="F164" s="360" t="s">
        <v>792</v>
      </c>
      <c r="G164" s="360" t="s">
        <v>793</v>
      </c>
      <c r="H164" s="361" t="s">
        <v>1158</v>
      </c>
      <c r="I164" s="362" t="s">
        <v>474</v>
      </c>
      <c r="J164" s="362" t="s">
        <v>474</v>
      </c>
      <c r="K164" s="362" t="s">
        <v>474</v>
      </c>
      <c r="L164" s="362" t="s">
        <v>474</v>
      </c>
      <c r="M164" s="357" t="s">
        <v>241</v>
      </c>
      <c r="N164" s="357"/>
      <c r="O164" s="363">
        <v>365</v>
      </c>
      <c r="P164" s="364" t="str">
        <f t="shared" si="471"/>
        <v>Media</v>
      </c>
      <c r="Q164" s="365">
        <f t="shared" si="472"/>
        <v>0.6</v>
      </c>
      <c r="R164" s="365" t="s">
        <v>186</v>
      </c>
      <c r="S164" s="365" t="str">
        <f ca="1">IF(NOT(ISERROR(MATCH(R164,'Tabla Impacto'!$B$221:$B$223,0))),'Tabla Impacto'!$F$223&amp;"Por favor no seleccionar los criterios de impacto(Afectación Económica o presupuestal y Pérdida Reputacional)",R164)</f>
        <v xml:space="preserve">Entre 10 y 50 SMLMV </v>
      </c>
      <c r="T164" s="364" t="str">
        <f ca="1">+IF(OR(S164='[1]Tabla Impacto'!$C$11,S164='[1]Tabla Impacto'!$D$11),"Leve",IF(OR(S164='[1]Tabla Impacto'!$C$12,S164='[1]Tabla Impacto'!$D$12),"Menor",IF(OR(S164='[1]Tabla Impacto'!$C$13,S164='[1]Tabla Impacto'!$D$13),"Moderado",IF(OR(S164='[1]Tabla Impacto'!$C$14,S164='[1]Tabla Impacto'!$D$14),"Mayor",IF(OR(S164='[1]Tabla Impacto'!$C$15,S164='[1]Tabla Impacto'!$D$15),"Catastrófico","")))))</f>
        <v>Menor</v>
      </c>
      <c r="U164" s="365">
        <f t="shared" ref="U164" ca="1" si="485">IF(T164="","",IF(T164="Leve",0.2,IF(T164="Menor",0.4,IF(T164="Moderado",0.6,IF(T164="Mayor",0.8,IF(T164="Catastrófico",1,))))))</f>
        <v>0.4</v>
      </c>
      <c r="V164" s="351" t="str">
        <f t="shared" ref="V164" ca="1" si="486">IF(OR(AND(P164="Muy Baja",T164="Leve"),AND(P164="Muy Baja",T164="Menor"),AND(P164="Baja",T164="Leve")),"Bajo",IF(OR(AND(P164="Muy baja",T164="Moderado"),AND(P164="Baja",T164="Menor"),AND(P164="Baja",T164="Moderado"),AND(P164="Media",T164="Leve"),AND(P164="Media",T164="Menor"),AND(P164="Media",T164="Moderado"),AND(P164="Alta",T164="Leve"),AND(P164="Alta",T164="Menor")),"Moderado",IF(OR(AND(P164="Muy Baja",T164="Mayor"),AND(P164="Baja",T164="Mayor"),AND(P164="Media",T164="Mayor"),AND(P164="Alta",T164="Moderado"),AND(P164="Alta",T164="Mayor"),AND(P164="Muy Alta",T164="Leve"),AND(P164="Muy Alta",T164="Menor"),AND(P164="Muy Alta",T164="Moderado"),AND(P164="Muy Alta",T164="Mayor")),"Alto",IF(OR(AND(P164="Muy Baja",T164="Catastrófico"),AND(P164="Baja",T164="Catastrófico"),AND(P164="Media",T164="Catastrófico"),AND(P164="Alta",T164="Catastrófico"),AND(P164="Muy Alta",T164="Catastrófico")),"Extremo",""))))</f>
        <v>Moderado</v>
      </c>
      <c r="W164" s="233">
        <v>1</v>
      </c>
      <c r="X164" s="207" t="s">
        <v>794</v>
      </c>
      <c r="Y164" s="230" t="str">
        <f t="shared" si="431"/>
        <v>Probabilidad</v>
      </c>
      <c r="Z164" s="185" t="s">
        <v>208</v>
      </c>
      <c r="AA164" s="185" t="s">
        <v>216</v>
      </c>
      <c r="AB164" s="186" t="str">
        <f t="shared" si="475"/>
        <v>40%</v>
      </c>
      <c r="AC164" s="185" t="s">
        <v>219</v>
      </c>
      <c r="AD164" s="185" t="s">
        <v>224</v>
      </c>
      <c r="AE164" s="185" t="s">
        <v>228</v>
      </c>
      <c r="AF164" s="187">
        <f t="shared" ref="AF164" si="487">IFERROR(IF(Y164="Probabilidad",(Q164-(+Q164*AB164)),IF(Y164="Impacto",Q164,"")),"")</f>
        <v>0.36</v>
      </c>
      <c r="AG164" s="188" t="str">
        <f t="shared" si="433"/>
        <v>Baja</v>
      </c>
      <c r="AH164" s="186">
        <f t="shared" si="434"/>
        <v>0.36</v>
      </c>
      <c r="AI164" s="188" t="str">
        <f t="shared" ca="1" si="435"/>
        <v>Menor</v>
      </c>
      <c r="AJ164" s="186">
        <f t="shared" ref="AJ164" ca="1" si="488">IFERROR(IF(Y164="Impacto",(U164-(+U164*AB164)),IF(Y164="Probabilidad",U164,"")),"")</f>
        <v>0.4</v>
      </c>
      <c r="AK164" s="189" t="str">
        <f t="shared" ca="1" si="437"/>
        <v>Moderado</v>
      </c>
      <c r="AL164" s="185" t="s">
        <v>255</v>
      </c>
      <c r="AM164" s="227"/>
      <c r="AN164" s="230"/>
      <c r="AO164" s="228"/>
      <c r="AP164" s="228"/>
      <c r="AQ164" s="227"/>
      <c r="AR164" s="229"/>
    </row>
    <row r="165" spans="1:44" s="191" customFormat="1" ht="157.5" customHeight="1" thickTop="1" thickBot="1" x14ac:dyDescent="0.3">
      <c r="A165" s="352"/>
      <c r="B165" s="353"/>
      <c r="C165" s="359"/>
      <c r="D165" s="359"/>
      <c r="E165" s="359"/>
      <c r="F165" s="360"/>
      <c r="G165" s="360"/>
      <c r="H165" s="361"/>
      <c r="I165" s="362"/>
      <c r="J165" s="362"/>
      <c r="K165" s="362"/>
      <c r="L165" s="362"/>
      <c r="M165" s="357"/>
      <c r="N165" s="357"/>
      <c r="O165" s="363"/>
      <c r="P165" s="364"/>
      <c r="Q165" s="365"/>
      <c r="R165" s="365"/>
      <c r="S165" s="365">
        <f ca="1">IF(NOT(ISERROR(MATCH(R165,_xlfn.ANCHORARRAY(H170),0))),Q172&amp;"Por favor no seleccionar los criterios de impacto",R165)</f>
        <v>0</v>
      </c>
      <c r="T165" s="364"/>
      <c r="U165" s="365"/>
      <c r="V165" s="351"/>
      <c r="W165" s="233">
        <v>2</v>
      </c>
      <c r="X165" s="207" t="s">
        <v>795</v>
      </c>
      <c r="Y165" s="230" t="str">
        <f t="shared" si="431"/>
        <v>Probabilidad</v>
      </c>
      <c r="Z165" s="185" t="s">
        <v>208</v>
      </c>
      <c r="AA165" s="185" t="s">
        <v>216</v>
      </c>
      <c r="AB165" s="186" t="str">
        <f t="shared" si="475"/>
        <v>40%</v>
      </c>
      <c r="AC165" s="185" t="s">
        <v>219</v>
      </c>
      <c r="AD165" s="185" t="s">
        <v>224</v>
      </c>
      <c r="AE165" s="185" t="s">
        <v>228</v>
      </c>
      <c r="AF165" s="187">
        <f t="shared" ref="AF165:AF167" si="489">IFERROR(IF(AND(Y164="Probabilidad",Y165="Probabilidad"),(AH164-(+AH164*AB165)),IF(Y165="Probabilidad",(Q164-(+Q164*AB165)),IF(Y165="Impacto",AH164,""))),"")</f>
        <v>0.216</v>
      </c>
      <c r="AG165" s="188" t="str">
        <f t="shared" si="433"/>
        <v>Baja</v>
      </c>
      <c r="AH165" s="186">
        <f t="shared" si="434"/>
        <v>0.216</v>
      </c>
      <c r="AI165" s="188" t="str">
        <f t="shared" ca="1" si="435"/>
        <v>Menor</v>
      </c>
      <c r="AJ165" s="186">
        <f t="shared" ref="AJ165" ca="1" si="490">IFERROR(IF(AND(Y164="Impacto",Y165="Impacto"),(AJ164-(+AJ164*AB165)),IF(Y165="Impacto",(U164-(+U164*AB165)),IF(Y165="Probabilidad",AJ164,""))),"")</f>
        <v>0.4</v>
      </c>
      <c r="AK165" s="189" t="str">
        <f t="shared" ca="1" si="437"/>
        <v>Moderado</v>
      </c>
      <c r="AL165" s="185" t="s">
        <v>255</v>
      </c>
      <c r="AM165" s="227"/>
      <c r="AN165" s="230"/>
      <c r="AO165" s="228"/>
      <c r="AP165" s="228"/>
      <c r="AQ165" s="227"/>
      <c r="AR165" s="229"/>
    </row>
    <row r="166" spans="1:44" s="191" customFormat="1" ht="115.5" customHeight="1" thickTop="1" thickBot="1" x14ac:dyDescent="0.3">
      <c r="A166" s="352"/>
      <c r="B166" s="353"/>
      <c r="C166" s="359"/>
      <c r="D166" s="359"/>
      <c r="E166" s="359"/>
      <c r="F166" s="360"/>
      <c r="G166" s="360"/>
      <c r="H166" s="361"/>
      <c r="I166" s="362"/>
      <c r="J166" s="362"/>
      <c r="K166" s="362"/>
      <c r="L166" s="362"/>
      <c r="M166" s="357"/>
      <c r="N166" s="357"/>
      <c r="O166" s="363"/>
      <c r="P166" s="364"/>
      <c r="Q166" s="365"/>
      <c r="R166" s="365"/>
      <c r="S166" s="365">
        <f ca="1">IF(NOT(ISERROR(MATCH(R166,_xlfn.ANCHORARRAY(H171),0))),Q173&amp;"Por favor no seleccionar los criterios de impacto",R166)</f>
        <v>0</v>
      </c>
      <c r="T166" s="364"/>
      <c r="U166" s="365"/>
      <c r="V166" s="351"/>
      <c r="W166" s="233">
        <v>3</v>
      </c>
      <c r="X166" s="207" t="s">
        <v>796</v>
      </c>
      <c r="Y166" s="230" t="str">
        <f t="shared" si="431"/>
        <v>Probabilidad</v>
      </c>
      <c r="Z166" s="185" t="s">
        <v>208</v>
      </c>
      <c r="AA166" s="185" t="s">
        <v>216</v>
      </c>
      <c r="AB166" s="186" t="str">
        <f t="shared" si="475"/>
        <v>40%</v>
      </c>
      <c r="AC166" s="185" t="s">
        <v>219</v>
      </c>
      <c r="AD166" s="185" t="s">
        <v>224</v>
      </c>
      <c r="AE166" s="185" t="s">
        <v>228</v>
      </c>
      <c r="AF166" s="187">
        <f t="shared" si="489"/>
        <v>0.12959999999999999</v>
      </c>
      <c r="AG166" s="188" t="str">
        <f t="shared" si="433"/>
        <v>Muy Baja</v>
      </c>
      <c r="AH166" s="186">
        <f t="shared" si="434"/>
        <v>0.12959999999999999</v>
      </c>
      <c r="AI166" s="188" t="str">
        <f t="shared" ca="1" si="435"/>
        <v>Menor</v>
      </c>
      <c r="AJ166" s="186">
        <f t="shared" ref="AJ166:AJ167" ca="1" si="491">IFERROR(IF(AND(Y165="Impacto",Y166="Impacto"),(AJ165-(+AJ165*AB166)),IF(AND(Y165="Probabilidad",Y166="Impacto"),(AJ164-(+AJ164*AB166)),IF(Y166="Probabilidad",AJ165,""))),"")</f>
        <v>0.4</v>
      </c>
      <c r="AK166" s="189" t="str">
        <f t="shared" ca="1" si="437"/>
        <v>Bajo</v>
      </c>
      <c r="AL166" s="185" t="s">
        <v>255</v>
      </c>
      <c r="AM166" s="227"/>
      <c r="AN166" s="230"/>
      <c r="AO166" s="228"/>
      <c r="AP166" s="228"/>
      <c r="AQ166" s="227"/>
      <c r="AR166" s="229"/>
    </row>
    <row r="167" spans="1:44" s="191" customFormat="1" ht="132" customHeight="1" thickTop="1" thickBot="1" x14ac:dyDescent="0.3">
      <c r="A167" s="352"/>
      <c r="B167" s="353"/>
      <c r="C167" s="359"/>
      <c r="D167" s="359"/>
      <c r="E167" s="359"/>
      <c r="F167" s="360"/>
      <c r="G167" s="360"/>
      <c r="H167" s="361"/>
      <c r="I167" s="362"/>
      <c r="J167" s="362"/>
      <c r="K167" s="362"/>
      <c r="L167" s="362"/>
      <c r="M167" s="357"/>
      <c r="N167" s="357"/>
      <c r="O167" s="363"/>
      <c r="P167" s="364"/>
      <c r="Q167" s="365"/>
      <c r="R167" s="365"/>
      <c r="S167" s="365">
        <f ca="1">IF(NOT(ISERROR(MATCH(R167,_xlfn.ANCHORARRAY(H172),0))),#REF!&amp;"Por favor no seleccionar los criterios de impacto",R167)</f>
        <v>0</v>
      </c>
      <c r="T167" s="364"/>
      <c r="U167" s="365"/>
      <c r="V167" s="351"/>
      <c r="W167" s="233">
        <v>4</v>
      </c>
      <c r="X167" s="207" t="s">
        <v>797</v>
      </c>
      <c r="Y167" s="230" t="str">
        <f t="shared" si="431"/>
        <v>Probabilidad</v>
      </c>
      <c r="Z167" s="185" t="s">
        <v>208</v>
      </c>
      <c r="AA167" s="185" t="s">
        <v>216</v>
      </c>
      <c r="AB167" s="186" t="str">
        <f t="shared" si="475"/>
        <v>40%</v>
      </c>
      <c r="AC167" s="185" t="s">
        <v>219</v>
      </c>
      <c r="AD167" s="185" t="s">
        <v>224</v>
      </c>
      <c r="AE167" s="185" t="s">
        <v>228</v>
      </c>
      <c r="AF167" s="187">
        <f t="shared" si="489"/>
        <v>7.7759999999999996E-2</v>
      </c>
      <c r="AG167" s="188" t="str">
        <f t="shared" si="433"/>
        <v>Muy Baja</v>
      </c>
      <c r="AH167" s="186">
        <f t="shared" si="434"/>
        <v>7.7759999999999996E-2</v>
      </c>
      <c r="AI167" s="188" t="str">
        <f t="shared" ca="1" si="435"/>
        <v>Menor</v>
      </c>
      <c r="AJ167" s="186">
        <f t="shared" ca="1" si="491"/>
        <v>0.4</v>
      </c>
      <c r="AK167" s="189" t="str">
        <f t="shared" ca="1" si="437"/>
        <v>Bajo</v>
      </c>
      <c r="AL167" s="185" t="s">
        <v>255</v>
      </c>
      <c r="AM167" s="227"/>
      <c r="AN167" s="230"/>
      <c r="AO167" s="228"/>
      <c r="AP167" s="228"/>
      <c r="AQ167" s="227"/>
      <c r="AR167" s="229"/>
    </row>
    <row r="168" spans="1:44" s="191" customFormat="1" ht="156.75" customHeight="1" thickTop="1" thickBot="1" x14ac:dyDescent="0.3">
      <c r="A168" s="352">
        <v>71</v>
      </c>
      <c r="B168" s="353" t="s">
        <v>798</v>
      </c>
      <c r="C168" s="359" t="s">
        <v>276</v>
      </c>
      <c r="D168" s="359" t="s">
        <v>965</v>
      </c>
      <c r="E168" s="359" t="s">
        <v>240</v>
      </c>
      <c r="F168" s="360" t="s">
        <v>799</v>
      </c>
      <c r="G168" s="360" t="s">
        <v>800</v>
      </c>
      <c r="H168" s="361" t="s">
        <v>1159</v>
      </c>
      <c r="I168" s="362" t="s">
        <v>474</v>
      </c>
      <c r="J168" s="362" t="s">
        <v>474</v>
      </c>
      <c r="K168" s="362" t="s">
        <v>474</v>
      </c>
      <c r="L168" s="362" t="s">
        <v>474</v>
      </c>
      <c r="M168" s="357" t="s">
        <v>239</v>
      </c>
      <c r="N168" s="357"/>
      <c r="O168" s="363">
        <v>365</v>
      </c>
      <c r="P168" s="364" t="str">
        <f t="shared" si="471"/>
        <v>Media</v>
      </c>
      <c r="Q168" s="365">
        <f t="shared" si="472"/>
        <v>0.6</v>
      </c>
      <c r="R168" s="365" t="s">
        <v>190</v>
      </c>
      <c r="S168" s="365" t="str">
        <f ca="1">IF(NOT(ISERROR(MATCH(R168,'Tabla Impacto'!$B$221:$B$223,0))),'Tabla Impacto'!$F$223&amp;"Por favor no seleccionar los criterios de impacto(Afectación Económica o presupuestal y Pérdida Reputacional)",R168)</f>
        <v>El riesgo afecta la imagen de la entidad con algunos usuarios de relevancia frente al logro de los objetivos</v>
      </c>
      <c r="T168" s="364" t="str">
        <f ca="1">+IF(OR(S168='[1]Tabla Impacto'!$C$11,S168='[1]Tabla Impacto'!$D$11),"Leve",IF(OR(S168='[1]Tabla Impacto'!$C$12,S168='[1]Tabla Impacto'!$D$12),"Menor",IF(OR(S168='[1]Tabla Impacto'!$C$13,S168='[1]Tabla Impacto'!$D$13),"Moderado",IF(OR(S168='[1]Tabla Impacto'!$C$14,S168='[1]Tabla Impacto'!$D$14),"Mayor",IF(OR(S168='[1]Tabla Impacto'!$C$15,S168='[1]Tabla Impacto'!$D$15),"Catastrófico","")))))</f>
        <v>Moderado</v>
      </c>
      <c r="U168" s="365">
        <f t="shared" ref="U168" ca="1" si="492">IF(T168="","",IF(T168="Leve",0.2,IF(T168="Menor",0.4,IF(T168="Moderado",0.6,IF(T168="Mayor",0.8,IF(T168="Catastrófico",1,))))))</f>
        <v>0.6</v>
      </c>
      <c r="V168" s="351" t="str">
        <f t="shared" ref="V168" ca="1" si="493">IF(OR(AND(P168="Muy Baja",T168="Leve"),AND(P168="Muy Baja",T168="Menor"),AND(P168="Baja",T168="Leve")),"Bajo",IF(OR(AND(P168="Muy baja",T168="Moderado"),AND(P168="Baja",T168="Menor"),AND(P168="Baja",T168="Moderado"),AND(P168="Media",T168="Leve"),AND(P168="Media",T168="Menor"),AND(P168="Media",T168="Moderado"),AND(P168="Alta",T168="Leve"),AND(P168="Alta",T168="Menor")),"Moderado",IF(OR(AND(P168="Muy Baja",T168="Mayor"),AND(P168="Baja",T168="Mayor"),AND(P168="Media",T168="Mayor"),AND(P168="Alta",T168="Moderado"),AND(P168="Alta",T168="Mayor"),AND(P168="Muy Alta",T168="Leve"),AND(P168="Muy Alta",T168="Menor"),AND(P168="Muy Alta",T168="Moderado"),AND(P168="Muy Alta",T168="Mayor")),"Alto",IF(OR(AND(P168="Muy Baja",T168="Catastrófico"),AND(P168="Baja",T168="Catastrófico"),AND(P168="Media",T168="Catastrófico"),AND(P168="Alta",T168="Catastrófico"),AND(P168="Muy Alta",T168="Catastrófico")),"Extremo",""))))</f>
        <v>Moderado</v>
      </c>
      <c r="W168" s="233">
        <v>1</v>
      </c>
      <c r="X168" s="207" t="s">
        <v>957</v>
      </c>
      <c r="Y168" s="230" t="str">
        <f t="shared" si="431"/>
        <v>Probabilidad</v>
      </c>
      <c r="Z168" s="185" t="s">
        <v>208</v>
      </c>
      <c r="AA168" s="185" t="s">
        <v>216</v>
      </c>
      <c r="AB168" s="186" t="str">
        <f t="shared" si="475"/>
        <v>40%</v>
      </c>
      <c r="AC168" s="185" t="s">
        <v>219</v>
      </c>
      <c r="AD168" s="185" t="s">
        <v>224</v>
      </c>
      <c r="AE168" s="185" t="s">
        <v>228</v>
      </c>
      <c r="AF168" s="187">
        <f t="shared" ref="AF168" si="494">IFERROR(IF(Y168="Probabilidad",(Q168-(+Q168*AB168)),IF(Y168="Impacto",Q168,"")),"")</f>
        <v>0.36</v>
      </c>
      <c r="AG168" s="188" t="str">
        <f t="shared" si="433"/>
        <v>Baja</v>
      </c>
      <c r="AH168" s="186">
        <f t="shared" si="434"/>
        <v>0.36</v>
      </c>
      <c r="AI168" s="188" t="str">
        <f t="shared" ca="1" si="435"/>
        <v>Moderado</v>
      </c>
      <c r="AJ168" s="186">
        <f t="shared" ref="AJ168" ca="1" si="495">IFERROR(IF(Y168="Impacto",(U168-(+U168*AB168)),IF(Y168="Probabilidad",U168,"")),"")</f>
        <v>0.6</v>
      </c>
      <c r="AK168" s="189" t="str">
        <f t="shared" ca="1" si="437"/>
        <v>Moderado</v>
      </c>
      <c r="AL168" s="185" t="s">
        <v>255</v>
      </c>
      <c r="AM168" s="227"/>
      <c r="AN168" s="230"/>
      <c r="AO168" s="228"/>
      <c r="AP168" s="228"/>
      <c r="AQ168" s="227"/>
      <c r="AR168" s="229"/>
    </row>
    <row r="169" spans="1:44" s="191" customFormat="1" ht="184.5" customHeight="1" thickTop="1" thickBot="1" x14ac:dyDescent="0.3">
      <c r="A169" s="352"/>
      <c r="B169" s="353"/>
      <c r="C169" s="359"/>
      <c r="D169" s="359"/>
      <c r="E169" s="359"/>
      <c r="F169" s="360"/>
      <c r="G169" s="360"/>
      <c r="H169" s="361"/>
      <c r="I169" s="362"/>
      <c r="J169" s="362"/>
      <c r="K169" s="362"/>
      <c r="L169" s="362"/>
      <c r="M169" s="357"/>
      <c r="N169" s="357"/>
      <c r="O169" s="363"/>
      <c r="P169" s="364"/>
      <c r="Q169" s="365"/>
      <c r="R169" s="365"/>
      <c r="S169" s="365">
        <f ca="1">IF(NOT(ISERROR(MATCH(R169,_xlfn.ANCHORARRAY(H174),0))),Q176&amp;"Por favor no seleccionar los criterios de impacto",R169)</f>
        <v>0</v>
      </c>
      <c r="T169" s="364"/>
      <c r="U169" s="365"/>
      <c r="V169" s="351"/>
      <c r="W169" s="233">
        <v>2</v>
      </c>
      <c r="X169" s="207" t="s">
        <v>801</v>
      </c>
      <c r="Y169" s="230" t="str">
        <f t="shared" si="431"/>
        <v>Probabilidad</v>
      </c>
      <c r="Z169" s="185" t="s">
        <v>208</v>
      </c>
      <c r="AA169" s="185" t="s">
        <v>216</v>
      </c>
      <c r="AB169" s="186" t="str">
        <f t="shared" si="475"/>
        <v>40%</v>
      </c>
      <c r="AC169" s="185" t="s">
        <v>219</v>
      </c>
      <c r="AD169" s="185" t="s">
        <v>224</v>
      </c>
      <c r="AE169" s="185" t="s">
        <v>228</v>
      </c>
      <c r="AF169" s="187">
        <f t="shared" ref="AF169" si="496">IFERROR(IF(AND(Y168="Probabilidad",Y169="Probabilidad"),(AH168-(+AH168*AB169)),IF(Y169="Probabilidad",(Q168-(+Q168*AB169)),IF(Y169="Impacto",AH168,""))),"")</f>
        <v>0.216</v>
      </c>
      <c r="AG169" s="188" t="str">
        <f t="shared" si="433"/>
        <v>Baja</v>
      </c>
      <c r="AH169" s="186">
        <f t="shared" si="434"/>
        <v>0.216</v>
      </c>
      <c r="AI169" s="188" t="str">
        <f t="shared" ca="1" si="435"/>
        <v>Moderado</v>
      </c>
      <c r="AJ169" s="186">
        <f t="shared" ref="AJ169" ca="1" si="497">IFERROR(IF(AND(Y168="Impacto",Y169="Impacto"),(AJ168-(+AJ168*AB169)),IF(Y169="Impacto",(U168-(+U168*AB169)),IF(Y169="Probabilidad",AJ168,""))),"")</f>
        <v>0.6</v>
      </c>
      <c r="AK169" s="189" t="str">
        <f t="shared" ca="1" si="437"/>
        <v>Moderado</v>
      </c>
      <c r="AL169" s="185" t="s">
        <v>255</v>
      </c>
      <c r="AM169" s="227"/>
      <c r="AN169" s="230"/>
      <c r="AO169" s="228"/>
      <c r="AP169" s="228"/>
      <c r="AQ169" s="227"/>
      <c r="AR169" s="229"/>
    </row>
    <row r="170" spans="1:44" s="191" customFormat="1" ht="120.75" customHeight="1" thickTop="1" thickBot="1" x14ac:dyDescent="0.3">
      <c r="A170" s="352">
        <v>72</v>
      </c>
      <c r="B170" s="353" t="s">
        <v>802</v>
      </c>
      <c r="C170" s="357" t="s">
        <v>277</v>
      </c>
      <c r="D170" s="359" t="s">
        <v>975</v>
      </c>
      <c r="E170" s="357" t="s">
        <v>240</v>
      </c>
      <c r="F170" s="375" t="s">
        <v>803</v>
      </c>
      <c r="G170" s="375" t="s">
        <v>804</v>
      </c>
      <c r="H170" s="374" t="s">
        <v>1160</v>
      </c>
      <c r="I170" s="362" t="s">
        <v>474</v>
      </c>
      <c r="J170" s="362" t="s">
        <v>474</v>
      </c>
      <c r="K170" s="362" t="s">
        <v>474</v>
      </c>
      <c r="L170" s="362" t="s">
        <v>474</v>
      </c>
      <c r="M170" s="357" t="s">
        <v>466</v>
      </c>
      <c r="N170" s="357"/>
      <c r="O170" s="363">
        <v>52</v>
      </c>
      <c r="P170" s="364" t="str">
        <f t="shared" si="471"/>
        <v>Media</v>
      </c>
      <c r="Q170" s="365">
        <f t="shared" si="472"/>
        <v>0.6</v>
      </c>
      <c r="R170" s="365" t="s">
        <v>192</v>
      </c>
      <c r="S170" s="365" t="str">
        <f ca="1">IF(NOT(ISERROR(MATCH(R170,'Tabla Impacto'!$B$221:$B$223,0))),'Tabla Impacto'!$F$223&amp;"Por favor no seleccionar los criterios de impacto(Afectación Económica o presupuestal y Pérdida Reputacional)",R170)</f>
        <v xml:space="preserve">Entre 100 y 500 SMLMV </v>
      </c>
      <c r="T170" s="364" t="str">
        <f ca="1">+IF(OR(S170='[1]Tabla Impacto'!$C$11,S170='[1]Tabla Impacto'!$D$11),"Leve",IF(OR(S170='[1]Tabla Impacto'!$C$12,S170='[1]Tabla Impacto'!$D$12),"Menor",IF(OR(S170='[1]Tabla Impacto'!$C$13,S170='[1]Tabla Impacto'!$D$13),"Moderado",IF(OR(S170='[1]Tabla Impacto'!$C$14,S170='[1]Tabla Impacto'!$D$14),"Mayor",IF(OR(S170='[1]Tabla Impacto'!$C$15,S170='[1]Tabla Impacto'!$D$15),"Catastrófico","")))))</f>
        <v>Mayor</v>
      </c>
      <c r="U170" s="365">
        <f t="shared" ref="U170" ca="1" si="498">IF(T170="","",IF(T170="Leve",0.2,IF(T170="Menor",0.4,IF(T170="Moderado",0.6,IF(T170="Mayor",0.8,IF(T170="Catastrófico",1,))))))</f>
        <v>0.8</v>
      </c>
      <c r="V170" s="351" t="str">
        <f t="shared" ref="V170" ca="1" si="499">IF(OR(AND(P170="Muy Baja",T170="Leve"),AND(P170="Muy Baja",T170="Menor"),AND(P170="Baja",T170="Leve")),"Bajo",IF(OR(AND(P170="Muy baja",T170="Moderado"),AND(P170="Baja",T170="Menor"),AND(P170="Baja",T170="Moderado"),AND(P170="Media",T170="Leve"),AND(P170="Media",T170="Menor"),AND(P170="Media",T170="Moderado"),AND(P170="Alta",T170="Leve"),AND(P170="Alta",T170="Menor")),"Moderado",IF(OR(AND(P170="Muy Baja",T170="Mayor"),AND(P170="Baja",T170="Mayor"),AND(P170="Media",T170="Mayor"),AND(P170="Alta",T170="Moderado"),AND(P170="Alta",T170="Mayor"),AND(P170="Muy Alta",T170="Leve"),AND(P170="Muy Alta",T170="Menor"),AND(P170="Muy Alta",T170="Moderado"),AND(P170="Muy Alta",T170="Mayor")),"Alto",IF(OR(AND(P170="Muy Baja",T170="Catastrófico"),AND(P170="Baja",T170="Catastrófico"),AND(P170="Media",T170="Catastrófico"),AND(P170="Alta",T170="Catastrófico"),AND(P170="Muy Alta",T170="Catastrófico")),"Extremo",""))))</f>
        <v>Alto</v>
      </c>
      <c r="W170" s="233">
        <v>1</v>
      </c>
      <c r="X170" s="207" t="s">
        <v>1073</v>
      </c>
      <c r="Y170" s="230" t="str">
        <f t="shared" ref="Y170:Y215" si="500">IF(OR(Z170="Preventivo",Z170="Detectivo"),"Probabilidad",IF(Z170="Correctivo","Impacto",""))</f>
        <v>Probabilidad</v>
      </c>
      <c r="Z170" s="185" t="s">
        <v>208</v>
      </c>
      <c r="AA170" s="185" t="s">
        <v>216</v>
      </c>
      <c r="AB170" s="186" t="str">
        <f t="shared" si="475"/>
        <v>40%</v>
      </c>
      <c r="AC170" s="185" t="s">
        <v>219</v>
      </c>
      <c r="AD170" s="185" t="s">
        <v>224</v>
      </c>
      <c r="AE170" s="185" t="s">
        <v>228</v>
      </c>
      <c r="AF170" s="187">
        <f t="shared" ref="AF170" si="501">IFERROR(IF(Y170="Probabilidad",(Q170-(+Q170*AB170)),IF(Y170="Impacto",Q170,"")),"")</f>
        <v>0.36</v>
      </c>
      <c r="AG170" s="188" t="str">
        <f t="shared" ref="AG170:AG215" si="502">IFERROR(IF(AF170="","",IF(AF170&lt;=0.2,"Muy Baja",IF(AF170&lt;=0.4,"Baja",IF(AF170&lt;=0.6,"Media",IF(AF170&lt;=0.8,"Alta","Muy Alta"))))),"")</f>
        <v>Baja</v>
      </c>
      <c r="AH170" s="186">
        <f t="shared" ref="AH170:AH215" si="503">+AF170</f>
        <v>0.36</v>
      </c>
      <c r="AI170" s="188" t="str">
        <f t="shared" ref="AI170:AI215" ca="1" si="504">IFERROR(IF(AJ170="","",IF(AJ170&lt;=0.2,"Leve",IF(AJ170&lt;=0.4,"Menor",IF(AJ170&lt;=0.6,"Moderado",IF(AJ170&lt;=0.8,"Mayor","Catastrófico"))))),"")</f>
        <v>Mayor</v>
      </c>
      <c r="AJ170" s="186">
        <f t="shared" ref="AJ170" ca="1" si="505">IFERROR(IF(Y170="Impacto",(U170-(+U170*AB170)),IF(Y170="Probabilidad",U170,"")),"")</f>
        <v>0.8</v>
      </c>
      <c r="AK170" s="189" t="str">
        <f t="shared" ref="AK170:AK215" ca="1" si="506">IFERROR(IF(OR(AND(AG170="Muy Baja",AI170="Leve"),AND(AG170="Muy Baja",AI170="Menor"),AND(AG170="Baja",AI170="Leve")),"Bajo",IF(OR(AND(AG170="Muy baja",AI170="Moderado"),AND(AG170="Baja",AI170="Menor"),AND(AG170="Baja",AI170="Moderado"),AND(AG170="Media",AI170="Leve"),AND(AG170="Media",AI170="Menor"),AND(AG170="Media",AI170="Moderado"),AND(AG170="Alta",AI170="Leve"),AND(AG170="Alta",AI170="Menor")),"Moderado",IF(OR(AND(AG170="Muy Baja",AI170="Mayor"),AND(AG170="Baja",AI170="Mayor"),AND(AG170="Media",AI170="Mayor"),AND(AG170="Alta",AI170="Moderado"),AND(AG170="Alta",AI170="Mayor"),AND(AG170="Muy Alta",AI170="Leve"),AND(AG170="Muy Alta",AI170="Menor"),AND(AG170="Muy Alta",AI170="Moderado"),AND(AG170="Muy Alta",AI170="Mayor")),"Alto",IF(OR(AND(AG170="Muy Baja",AI170="Catastrófico"),AND(AG170="Baja",AI170="Catastrófico"),AND(AG170="Media",AI170="Catastrófico"),AND(AG170="Alta",AI170="Catastrófico"),AND(AG170="Muy Alta",AI170="Catastrófico")),"Extremo","")))),"")</f>
        <v>Alto</v>
      </c>
      <c r="AL170" s="185" t="s">
        <v>262</v>
      </c>
      <c r="AM170" s="368" t="s">
        <v>805</v>
      </c>
      <c r="AN170" s="357" t="s">
        <v>806</v>
      </c>
      <c r="AO170" s="377">
        <v>45658</v>
      </c>
      <c r="AP170" s="379" t="s">
        <v>535</v>
      </c>
      <c r="AQ170" s="357" t="s">
        <v>807</v>
      </c>
      <c r="AR170" s="378" t="s">
        <v>259</v>
      </c>
    </row>
    <row r="171" spans="1:44" s="191" customFormat="1" ht="135.75" customHeight="1" thickTop="1" thickBot="1" x14ac:dyDescent="0.3">
      <c r="A171" s="352"/>
      <c r="B171" s="353"/>
      <c r="C171" s="357"/>
      <c r="D171" s="359"/>
      <c r="E171" s="357"/>
      <c r="F171" s="375"/>
      <c r="G171" s="375"/>
      <c r="H171" s="374"/>
      <c r="I171" s="362"/>
      <c r="J171" s="362"/>
      <c r="K171" s="362"/>
      <c r="L171" s="362"/>
      <c r="M171" s="357"/>
      <c r="N171" s="357"/>
      <c r="O171" s="363"/>
      <c r="P171" s="364"/>
      <c r="Q171" s="365"/>
      <c r="R171" s="365"/>
      <c r="S171" s="365">
        <f ca="1">IF(NOT(ISERROR(MATCH(R171,_xlfn.ANCHORARRAY(H180),0))),Q182&amp;"Por favor no seleccionar los criterios de impacto",R171)</f>
        <v>0</v>
      </c>
      <c r="T171" s="364"/>
      <c r="U171" s="365"/>
      <c r="V171" s="351"/>
      <c r="W171" s="233">
        <v>2</v>
      </c>
      <c r="X171" s="207" t="s">
        <v>1074</v>
      </c>
      <c r="Y171" s="230" t="str">
        <f t="shared" si="500"/>
        <v>Probabilidad</v>
      </c>
      <c r="Z171" s="185" t="s">
        <v>208</v>
      </c>
      <c r="AA171" s="185" t="s">
        <v>216</v>
      </c>
      <c r="AB171" s="186" t="str">
        <f t="shared" si="475"/>
        <v>40%</v>
      </c>
      <c r="AC171" s="185" t="s">
        <v>219</v>
      </c>
      <c r="AD171" s="185" t="s">
        <v>224</v>
      </c>
      <c r="AE171" s="185" t="s">
        <v>228</v>
      </c>
      <c r="AF171" s="187">
        <f t="shared" ref="AF171:AF173" si="507">IFERROR(IF(AND(Y170="Probabilidad",Y171="Probabilidad"),(AH170-(+AH170*AB171)),IF(Y171="Probabilidad",(Q170-(+Q170*AB171)),IF(Y171="Impacto",AH170,""))),"")</f>
        <v>0.216</v>
      </c>
      <c r="AG171" s="188" t="str">
        <f t="shared" si="502"/>
        <v>Baja</v>
      </c>
      <c r="AH171" s="186">
        <f t="shared" si="503"/>
        <v>0.216</v>
      </c>
      <c r="AI171" s="188" t="str">
        <f t="shared" ca="1" si="504"/>
        <v>Mayor</v>
      </c>
      <c r="AJ171" s="186">
        <f t="shared" ref="AJ171" ca="1" si="508">IFERROR(IF(AND(Y170="Impacto",Y171="Impacto"),(AJ170-(+AJ170*AB171)),IF(Y171="Impacto",(U170-(+U170*AB171)),IF(Y171="Probabilidad",AJ170,""))),"")</f>
        <v>0.8</v>
      </c>
      <c r="AK171" s="189" t="str">
        <f t="shared" ca="1" si="506"/>
        <v>Alto</v>
      </c>
      <c r="AL171" s="185" t="s">
        <v>262</v>
      </c>
      <c r="AM171" s="368"/>
      <c r="AN171" s="357"/>
      <c r="AO171" s="377"/>
      <c r="AP171" s="379"/>
      <c r="AQ171" s="357"/>
      <c r="AR171" s="378"/>
    </row>
    <row r="172" spans="1:44" s="191" customFormat="1" ht="118.5" customHeight="1" thickTop="1" thickBot="1" x14ac:dyDescent="0.3">
      <c r="A172" s="352"/>
      <c r="B172" s="353"/>
      <c r="C172" s="357"/>
      <c r="D172" s="359"/>
      <c r="E172" s="357"/>
      <c r="F172" s="375"/>
      <c r="G172" s="375"/>
      <c r="H172" s="374"/>
      <c r="I172" s="362"/>
      <c r="J172" s="362"/>
      <c r="K172" s="362"/>
      <c r="L172" s="362"/>
      <c r="M172" s="357"/>
      <c r="N172" s="357"/>
      <c r="O172" s="363"/>
      <c r="P172" s="364"/>
      <c r="Q172" s="365"/>
      <c r="R172" s="365"/>
      <c r="S172" s="365">
        <f ca="1">IF(NOT(ISERROR(MATCH(R172,_xlfn.ANCHORARRAY(H181),0))),#REF!&amp;"Por favor no seleccionar los criterios de impacto",R172)</f>
        <v>0</v>
      </c>
      <c r="T172" s="364"/>
      <c r="U172" s="365"/>
      <c r="V172" s="351"/>
      <c r="W172" s="233">
        <v>3</v>
      </c>
      <c r="X172" s="207" t="s">
        <v>1075</v>
      </c>
      <c r="Y172" s="230" t="str">
        <f t="shared" si="500"/>
        <v>Probabilidad</v>
      </c>
      <c r="Z172" s="185" t="s">
        <v>208</v>
      </c>
      <c r="AA172" s="185" t="s">
        <v>216</v>
      </c>
      <c r="AB172" s="186" t="str">
        <f t="shared" si="475"/>
        <v>40%</v>
      </c>
      <c r="AC172" s="185" t="s">
        <v>219</v>
      </c>
      <c r="AD172" s="185" t="s">
        <v>224</v>
      </c>
      <c r="AE172" s="185" t="s">
        <v>228</v>
      </c>
      <c r="AF172" s="187">
        <f t="shared" si="507"/>
        <v>0.12959999999999999</v>
      </c>
      <c r="AG172" s="188" t="str">
        <f t="shared" si="502"/>
        <v>Muy Baja</v>
      </c>
      <c r="AH172" s="186">
        <f t="shared" si="503"/>
        <v>0.12959999999999999</v>
      </c>
      <c r="AI172" s="188" t="str">
        <f t="shared" ca="1" si="504"/>
        <v>Mayor</v>
      </c>
      <c r="AJ172" s="186">
        <f t="shared" ref="AJ172:AJ173" ca="1" si="509">IFERROR(IF(AND(Y171="Impacto",Y172="Impacto"),(AJ171-(+AJ171*AB172)),IF(AND(Y171="Probabilidad",Y172="Impacto"),(AJ170-(+AJ170*AB172)),IF(Y172="Probabilidad",AJ171,""))),"")</f>
        <v>0.8</v>
      </c>
      <c r="AK172" s="189" t="str">
        <f t="shared" ca="1" si="506"/>
        <v>Alto</v>
      </c>
      <c r="AL172" s="185" t="s">
        <v>262</v>
      </c>
      <c r="AM172" s="368"/>
      <c r="AN172" s="357"/>
      <c r="AO172" s="377"/>
      <c r="AP172" s="379"/>
      <c r="AQ172" s="357"/>
      <c r="AR172" s="378"/>
    </row>
    <row r="173" spans="1:44" s="191" customFormat="1" ht="129.75" thickTop="1" thickBot="1" x14ac:dyDescent="0.3">
      <c r="A173" s="352"/>
      <c r="B173" s="353"/>
      <c r="C173" s="357"/>
      <c r="D173" s="359"/>
      <c r="E173" s="357"/>
      <c r="F173" s="375"/>
      <c r="G173" s="375"/>
      <c r="H173" s="374"/>
      <c r="I173" s="362"/>
      <c r="J173" s="362"/>
      <c r="K173" s="362"/>
      <c r="L173" s="362"/>
      <c r="M173" s="357"/>
      <c r="N173" s="357"/>
      <c r="O173" s="363"/>
      <c r="P173" s="364"/>
      <c r="Q173" s="365"/>
      <c r="R173" s="365"/>
      <c r="S173" s="365">
        <f ca="1">IF(NOT(ISERROR(MATCH(R173,_xlfn.ANCHORARRAY(H182),0))),#REF!&amp;"Por favor no seleccionar los criterios de impacto",R173)</f>
        <v>0</v>
      </c>
      <c r="T173" s="364"/>
      <c r="U173" s="365"/>
      <c r="V173" s="351"/>
      <c r="W173" s="233">
        <v>4</v>
      </c>
      <c r="X173" s="208" t="s">
        <v>1076</v>
      </c>
      <c r="Y173" s="230" t="str">
        <f t="shared" si="500"/>
        <v>Probabilidad</v>
      </c>
      <c r="Z173" s="185" t="s">
        <v>208</v>
      </c>
      <c r="AA173" s="185" t="s">
        <v>216</v>
      </c>
      <c r="AB173" s="186" t="str">
        <f t="shared" si="475"/>
        <v>40%</v>
      </c>
      <c r="AC173" s="185" t="s">
        <v>219</v>
      </c>
      <c r="AD173" s="185" t="s">
        <v>224</v>
      </c>
      <c r="AE173" s="185" t="s">
        <v>228</v>
      </c>
      <c r="AF173" s="187">
        <f t="shared" si="507"/>
        <v>7.7759999999999996E-2</v>
      </c>
      <c r="AG173" s="188" t="str">
        <f t="shared" si="502"/>
        <v>Muy Baja</v>
      </c>
      <c r="AH173" s="186">
        <f t="shared" si="503"/>
        <v>7.7759999999999996E-2</v>
      </c>
      <c r="AI173" s="188" t="str">
        <f t="shared" ca="1" si="504"/>
        <v>Mayor</v>
      </c>
      <c r="AJ173" s="186">
        <f t="shared" ca="1" si="509"/>
        <v>0.8</v>
      </c>
      <c r="AK173" s="189" t="str">
        <f t="shared" ca="1" si="506"/>
        <v>Alto</v>
      </c>
      <c r="AL173" s="185" t="s">
        <v>262</v>
      </c>
      <c r="AM173" s="368"/>
      <c r="AN173" s="357"/>
      <c r="AO173" s="377"/>
      <c r="AP173" s="379"/>
      <c r="AQ173" s="357"/>
      <c r="AR173" s="378"/>
    </row>
    <row r="174" spans="1:44" s="191" customFormat="1" ht="137.25" customHeight="1" thickTop="1" thickBot="1" x14ac:dyDescent="0.3">
      <c r="A174" s="352">
        <v>73</v>
      </c>
      <c r="B174" s="353" t="s">
        <v>808</v>
      </c>
      <c r="C174" s="357" t="s">
        <v>277</v>
      </c>
      <c r="D174" s="359" t="s">
        <v>809</v>
      </c>
      <c r="E174" s="357" t="s">
        <v>240</v>
      </c>
      <c r="F174" s="375" t="s">
        <v>810</v>
      </c>
      <c r="G174" s="375" t="s">
        <v>811</v>
      </c>
      <c r="H174" s="374" t="s">
        <v>1161</v>
      </c>
      <c r="I174" s="362" t="s">
        <v>474</v>
      </c>
      <c r="J174" s="362" t="s">
        <v>474</v>
      </c>
      <c r="K174" s="362" t="s">
        <v>474</v>
      </c>
      <c r="L174" s="362" t="s">
        <v>474</v>
      </c>
      <c r="M174" s="357" t="s">
        <v>466</v>
      </c>
      <c r="N174" s="357"/>
      <c r="O174" s="363">
        <v>365</v>
      </c>
      <c r="P174" s="364" t="str">
        <f t="shared" si="471"/>
        <v>Media</v>
      </c>
      <c r="Q174" s="365">
        <f t="shared" si="472"/>
        <v>0.6</v>
      </c>
      <c r="R174" s="365" t="s">
        <v>192</v>
      </c>
      <c r="S174" s="365" t="str">
        <f ca="1">IF(NOT(ISERROR(MATCH(R174,'Tabla Impacto'!$B$221:$B$223,0))),'Tabla Impacto'!$F$223&amp;"Por favor no seleccionar los criterios de impacto(Afectación Económica o presupuestal y Pérdida Reputacional)",R174)</f>
        <v xml:space="preserve">Entre 100 y 500 SMLMV </v>
      </c>
      <c r="T174" s="364" t="str">
        <f ca="1">+IF(OR(S174='[1]Tabla Impacto'!$C$11,S174='[1]Tabla Impacto'!$D$11),"Leve",IF(OR(S174='[1]Tabla Impacto'!$C$12,S174='[1]Tabla Impacto'!$D$12),"Menor",IF(OR(S174='[1]Tabla Impacto'!$C$13,S174='[1]Tabla Impacto'!$D$13),"Moderado",IF(OR(S174='[1]Tabla Impacto'!$C$14,S174='[1]Tabla Impacto'!$D$14),"Mayor",IF(OR(S174='[1]Tabla Impacto'!$C$15,S174='[1]Tabla Impacto'!$D$15),"Catastrófico","")))))</f>
        <v>Mayor</v>
      </c>
      <c r="U174" s="365">
        <f t="shared" ref="U174" ca="1" si="510">IF(T174="","",IF(T174="Leve",0.2,IF(T174="Menor",0.4,IF(T174="Moderado",0.6,IF(T174="Mayor",0.8,IF(T174="Catastrófico",1,))))))</f>
        <v>0.8</v>
      </c>
      <c r="V174" s="351" t="str">
        <f t="shared" ref="V174" ca="1" si="511">IF(OR(AND(P174="Muy Baja",T174="Leve"),AND(P174="Muy Baja",T174="Menor"),AND(P174="Baja",T174="Leve")),"Bajo",IF(OR(AND(P174="Muy baja",T174="Moderado"),AND(P174="Baja",T174="Menor"),AND(P174="Baja",T174="Moderado"),AND(P174="Media",T174="Leve"),AND(P174="Media",T174="Menor"),AND(P174="Media",T174="Moderado"),AND(P174="Alta",T174="Leve"),AND(P174="Alta",T174="Menor")),"Moderado",IF(OR(AND(P174="Muy Baja",T174="Mayor"),AND(P174="Baja",T174="Mayor"),AND(P174="Media",T174="Mayor"),AND(P174="Alta",T174="Moderado"),AND(P174="Alta",T174="Mayor"),AND(P174="Muy Alta",T174="Leve"),AND(P174="Muy Alta",T174="Menor"),AND(P174="Muy Alta",T174="Moderado"),AND(P174="Muy Alta",T174="Mayor")),"Alto",IF(OR(AND(P174="Muy Baja",T174="Catastrófico"),AND(P174="Baja",T174="Catastrófico"),AND(P174="Media",T174="Catastrófico"),AND(P174="Alta",T174="Catastrófico"),AND(P174="Muy Alta",T174="Catastrófico")),"Extremo",""))))</f>
        <v>Alto</v>
      </c>
      <c r="W174" s="233">
        <v>1</v>
      </c>
      <c r="X174" s="212" t="s">
        <v>1046</v>
      </c>
      <c r="Y174" s="230" t="str">
        <f t="shared" si="500"/>
        <v>Probabilidad</v>
      </c>
      <c r="Z174" s="185" t="s">
        <v>208</v>
      </c>
      <c r="AA174" s="185" t="s">
        <v>216</v>
      </c>
      <c r="AB174" s="186" t="str">
        <f t="shared" si="475"/>
        <v>40%</v>
      </c>
      <c r="AC174" s="185" t="s">
        <v>219</v>
      </c>
      <c r="AD174" s="185" t="s">
        <v>224</v>
      </c>
      <c r="AE174" s="185" t="s">
        <v>228</v>
      </c>
      <c r="AF174" s="187">
        <f t="shared" ref="AF174" si="512">IFERROR(IF(Y174="Probabilidad",(Q174-(+Q174*AB174)),IF(Y174="Impacto",Q174,"")),"")</f>
        <v>0.36</v>
      </c>
      <c r="AG174" s="188" t="str">
        <f t="shared" si="502"/>
        <v>Baja</v>
      </c>
      <c r="AH174" s="186">
        <f t="shared" si="503"/>
        <v>0.36</v>
      </c>
      <c r="AI174" s="188" t="str">
        <f t="shared" ca="1" si="504"/>
        <v>Mayor</v>
      </c>
      <c r="AJ174" s="186">
        <f t="shared" ref="AJ174" ca="1" si="513">IFERROR(IF(Y174="Impacto",(U174-(+U174*AB174)),IF(Y174="Probabilidad",U174,"")),"")</f>
        <v>0.8</v>
      </c>
      <c r="AK174" s="189" t="str">
        <f t="shared" ca="1" si="506"/>
        <v>Alto</v>
      </c>
      <c r="AL174" s="185" t="s">
        <v>262</v>
      </c>
      <c r="AM174" s="368" t="s">
        <v>816</v>
      </c>
      <c r="AN174" s="357" t="s">
        <v>815</v>
      </c>
      <c r="AO174" s="377">
        <v>45658</v>
      </c>
      <c r="AP174" s="379" t="s">
        <v>535</v>
      </c>
      <c r="AQ174" s="357" t="s">
        <v>807</v>
      </c>
      <c r="AR174" s="378" t="s">
        <v>259</v>
      </c>
    </row>
    <row r="175" spans="1:44" s="191" customFormat="1" ht="144" customHeight="1" thickTop="1" thickBot="1" x14ac:dyDescent="0.3">
      <c r="A175" s="352"/>
      <c r="B175" s="353"/>
      <c r="C175" s="357"/>
      <c r="D175" s="359"/>
      <c r="E175" s="357"/>
      <c r="F175" s="375"/>
      <c r="G175" s="375"/>
      <c r="H175" s="374"/>
      <c r="I175" s="362"/>
      <c r="J175" s="362"/>
      <c r="K175" s="362"/>
      <c r="L175" s="362"/>
      <c r="M175" s="357"/>
      <c r="N175" s="357"/>
      <c r="O175" s="363"/>
      <c r="P175" s="364"/>
      <c r="Q175" s="365"/>
      <c r="R175" s="365"/>
      <c r="S175" s="365">
        <f ca="1">IF(NOT(ISERROR(MATCH(R175,_xlfn.ANCHORARRAY(H183),0))),Q185&amp;"Por favor no seleccionar los criterios de impacto",R175)</f>
        <v>0</v>
      </c>
      <c r="T175" s="364"/>
      <c r="U175" s="365"/>
      <c r="V175" s="351"/>
      <c r="W175" s="233">
        <v>2</v>
      </c>
      <c r="X175" s="212" t="s">
        <v>1047</v>
      </c>
      <c r="Y175" s="230" t="str">
        <f t="shared" si="500"/>
        <v>Probabilidad</v>
      </c>
      <c r="Z175" s="185" t="s">
        <v>208</v>
      </c>
      <c r="AA175" s="185" t="s">
        <v>216</v>
      </c>
      <c r="AB175" s="186" t="str">
        <f t="shared" si="475"/>
        <v>40%</v>
      </c>
      <c r="AC175" s="185" t="s">
        <v>219</v>
      </c>
      <c r="AD175" s="185" t="s">
        <v>224</v>
      </c>
      <c r="AE175" s="185" t="s">
        <v>228</v>
      </c>
      <c r="AF175" s="187">
        <f t="shared" ref="AF175:AF179" si="514">IFERROR(IF(AND(Y174="Probabilidad",Y175="Probabilidad"),(AH174-(+AH174*AB175)),IF(Y175="Probabilidad",(Q174-(+Q174*AB175)),IF(Y175="Impacto",AH174,""))),"")</f>
        <v>0.216</v>
      </c>
      <c r="AG175" s="188" t="str">
        <f t="shared" si="502"/>
        <v>Baja</v>
      </c>
      <c r="AH175" s="186">
        <f t="shared" si="503"/>
        <v>0.216</v>
      </c>
      <c r="AI175" s="188" t="str">
        <f t="shared" ca="1" si="504"/>
        <v>Mayor</v>
      </c>
      <c r="AJ175" s="186">
        <f t="shared" ref="AJ175" ca="1" si="515">IFERROR(IF(AND(Y174="Impacto",Y175="Impacto"),(AJ174-(+AJ174*AB175)),IF(Y175="Impacto",(U174-(+U174*AB175)),IF(Y175="Probabilidad",AJ174,""))),"")</f>
        <v>0.8</v>
      </c>
      <c r="AK175" s="189" t="str">
        <f t="shared" ca="1" si="506"/>
        <v>Alto</v>
      </c>
      <c r="AL175" s="185" t="s">
        <v>262</v>
      </c>
      <c r="AM175" s="368"/>
      <c r="AN175" s="357"/>
      <c r="AO175" s="377"/>
      <c r="AP175" s="379"/>
      <c r="AQ175" s="357"/>
      <c r="AR175" s="378"/>
    </row>
    <row r="176" spans="1:44" s="191" customFormat="1" ht="174.75" customHeight="1" thickTop="1" thickBot="1" x14ac:dyDescent="0.3">
      <c r="A176" s="352"/>
      <c r="B176" s="353"/>
      <c r="C176" s="357"/>
      <c r="D176" s="359"/>
      <c r="E176" s="357"/>
      <c r="F176" s="375"/>
      <c r="G176" s="375"/>
      <c r="H176" s="374"/>
      <c r="I176" s="362"/>
      <c r="J176" s="362"/>
      <c r="K176" s="362"/>
      <c r="L176" s="362"/>
      <c r="M176" s="357"/>
      <c r="N176" s="357"/>
      <c r="O176" s="363"/>
      <c r="P176" s="364"/>
      <c r="Q176" s="365"/>
      <c r="R176" s="365"/>
      <c r="S176" s="365">
        <f ca="1">IF(NOT(ISERROR(MATCH(R176,_xlfn.ANCHORARRAY(H184),0))),Q186&amp;"Por favor no seleccionar los criterios de impacto",R176)</f>
        <v>0</v>
      </c>
      <c r="T176" s="364"/>
      <c r="U176" s="365"/>
      <c r="V176" s="351"/>
      <c r="W176" s="233">
        <v>3</v>
      </c>
      <c r="X176" s="212" t="s">
        <v>1048</v>
      </c>
      <c r="Y176" s="230" t="str">
        <f t="shared" si="500"/>
        <v>Probabilidad</v>
      </c>
      <c r="Z176" s="185" t="s">
        <v>208</v>
      </c>
      <c r="AA176" s="185" t="s">
        <v>216</v>
      </c>
      <c r="AB176" s="186" t="str">
        <f t="shared" si="475"/>
        <v>40%</v>
      </c>
      <c r="AC176" s="185" t="s">
        <v>219</v>
      </c>
      <c r="AD176" s="185" t="s">
        <v>224</v>
      </c>
      <c r="AE176" s="185" t="s">
        <v>228</v>
      </c>
      <c r="AF176" s="187">
        <f t="shared" si="514"/>
        <v>0.12959999999999999</v>
      </c>
      <c r="AG176" s="188" t="str">
        <f t="shared" si="502"/>
        <v>Muy Baja</v>
      </c>
      <c r="AH176" s="186">
        <f t="shared" si="503"/>
        <v>0.12959999999999999</v>
      </c>
      <c r="AI176" s="188" t="str">
        <f t="shared" ca="1" si="504"/>
        <v>Mayor</v>
      </c>
      <c r="AJ176" s="186">
        <f t="shared" ref="AJ176:AJ179" ca="1" si="516">IFERROR(IF(AND(Y175="Impacto",Y176="Impacto"),(AJ175-(+AJ175*AB176)),IF(AND(Y175="Probabilidad",Y176="Impacto"),(AJ174-(+AJ174*AB176)),IF(Y176="Probabilidad",AJ175,""))),"")</f>
        <v>0.8</v>
      </c>
      <c r="AK176" s="189" t="str">
        <f t="shared" ca="1" si="506"/>
        <v>Alto</v>
      </c>
      <c r="AL176" s="185" t="s">
        <v>262</v>
      </c>
      <c r="AM176" s="368"/>
      <c r="AN176" s="357"/>
      <c r="AO176" s="377"/>
      <c r="AP176" s="379"/>
      <c r="AQ176" s="357"/>
      <c r="AR176" s="378"/>
    </row>
    <row r="177" spans="1:44" s="191" customFormat="1" ht="116.25" customHeight="1" thickTop="1" thickBot="1" x14ac:dyDescent="0.3">
      <c r="A177" s="352"/>
      <c r="B177" s="353"/>
      <c r="C177" s="357"/>
      <c r="D177" s="359"/>
      <c r="E177" s="357"/>
      <c r="F177" s="375"/>
      <c r="G177" s="375"/>
      <c r="H177" s="374"/>
      <c r="I177" s="362"/>
      <c r="J177" s="362"/>
      <c r="K177" s="362"/>
      <c r="L177" s="362"/>
      <c r="M177" s="357"/>
      <c r="N177" s="357"/>
      <c r="O177" s="363"/>
      <c r="P177" s="364"/>
      <c r="Q177" s="365"/>
      <c r="R177" s="365"/>
      <c r="S177" s="365">
        <f ca="1">IF(NOT(ISERROR(MATCH(R177,_xlfn.ANCHORARRAY(H185),0))),#REF!&amp;"Por favor no seleccionar los criterios de impacto",R177)</f>
        <v>0</v>
      </c>
      <c r="T177" s="364"/>
      <c r="U177" s="365"/>
      <c r="V177" s="351"/>
      <c r="W177" s="233">
        <v>4</v>
      </c>
      <c r="X177" s="212" t="s">
        <v>812</v>
      </c>
      <c r="Y177" s="230" t="str">
        <f t="shared" si="500"/>
        <v>Probabilidad</v>
      </c>
      <c r="Z177" s="185" t="s">
        <v>208</v>
      </c>
      <c r="AA177" s="185" t="s">
        <v>216</v>
      </c>
      <c r="AB177" s="186" t="str">
        <f t="shared" si="475"/>
        <v>40%</v>
      </c>
      <c r="AC177" s="185" t="s">
        <v>219</v>
      </c>
      <c r="AD177" s="185" t="s">
        <v>224</v>
      </c>
      <c r="AE177" s="185" t="s">
        <v>228</v>
      </c>
      <c r="AF177" s="187">
        <f t="shared" si="514"/>
        <v>7.7759999999999996E-2</v>
      </c>
      <c r="AG177" s="188" t="str">
        <f t="shared" si="502"/>
        <v>Muy Baja</v>
      </c>
      <c r="AH177" s="186">
        <f t="shared" si="503"/>
        <v>7.7759999999999996E-2</v>
      </c>
      <c r="AI177" s="188" t="str">
        <f t="shared" ca="1" si="504"/>
        <v>Mayor</v>
      </c>
      <c r="AJ177" s="186">
        <f t="shared" ca="1" si="516"/>
        <v>0.8</v>
      </c>
      <c r="AK177" s="189" t="str">
        <f t="shared" ca="1" si="506"/>
        <v>Alto</v>
      </c>
      <c r="AL177" s="185" t="s">
        <v>262</v>
      </c>
      <c r="AM177" s="368"/>
      <c r="AN177" s="357"/>
      <c r="AO177" s="377"/>
      <c r="AP177" s="379"/>
      <c r="AQ177" s="357"/>
      <c r="AR177" s="378"/>
    </row>
    <row r="178" spans="1:44" s="191" customFormat="1" ht="129.75" thickTop="1" thickBot="1" x14ac:dyDescent="0.3">
      <c r="A178" s="352"/>
      <c r="B178" s="353"/>
      <c r="C178" s="357"/>
      <c r="D178" s="359"/>
      <c r="E178" s="357"/>
      <c r="F178" s="375"/>
      <c r="G178" s="375"/>
      <c r="H178" s="374"/>
      <c r="I178" s="362"/>
      <c r="J178" s="362"/>
      <c r="K178" s="362"/>
      <c r="L178" s="362"/>
      <c r="M178" s="357"/>
      <c r="N178" s="357"/>
      <c r="O178" s="363"/>
      <c r="P178" s="364"/>
      <c r="Q178" s="365"/>
      <c r="R178" s="365"/>
      <c r="S178" s="365">
        <f ca="1">IF(NOT(ISERROR(MATCH(R178,_xlfn.ANCHORARRAY(H186),0))),#REF!&amp;"Por favor no seleccionar los criterios de impacto",R178)</f>
        <v>0</v>
      </c>
      <c r="T178" s="364"/>
      <c r="U178" s="365"/>
      <c r="V178" s="351"/>
      <c r="W178" s="233">
        <v>5</v>
      </c>
      <c r="X178" s="212" t="s">
        <v>813</v>
      </c>
      <c r="Y178" s="230" t="str">
        <f t="shared" si="500"/>
        <v>Probabilidad</v>
      </c>
      <c r="Z178" s="185" t="s">
        <v>208</v>
      </c>
      <c r="AA178" s="185" t="s">
        <v>216</v>
      </c>
      <c r="AB178" s="186" t="str">
        <f t="shared" si="475"/>
        <v>40%</v>
      </c>
      <c r="AC178" s="185" t="s">
        <v>219</v>
      </c>
      <c r="AD178" s="185" t="s">
        <v>224</v>
      </c>
      <c r="AE178" s="185" t="s">
        <v>228</v>
      </c>
      <c r="AF178" s="187">
        <f t="shared" si="514"/>
        <v>4.6655999999999996E-2</v>
      </c>
      <c r="AG178" s="188" t="str">
        <f t="shared" si="502"/>
        <v>Muy Baja</v>
      </c>
      <c r="AH178" s="186">
        <f t="shared" si="503"/>
        <v>4.6655999999999996E-2</v>
      </c>
      <c r="AI178" s="188" t="str">
        <f t="shared" ca="1" si="504"/>
        <v>Mayor</v>
      </c>
      <c r="AJ178" s="186">
        <f t="shared" ca="1" si="516"/>
        <v>0.8</v>
      </c>
      <c r="AK178" s="189" t="str">
        <f t="shared" ca="1" si="506"/>
        <v>Alto</v>
      </c>
      <c r="AL178" s="185" t="s">
        <v>262</v>
      </c>
      <c r="AM178" s="368"/>
      <c r="AN178" s="357"/>
      <c r="AO178" s="377"/>
      <c r="AP178" s="379"/>
      <c r="AQ178" s="357"/>
      <c r="AR178" s="378"/>
    </row>
    <row r="179" spans="1:44" s="191" customFormat="1" ht="129.75" thickTop="1" thickBot="1" x14ac:dyDescent="0.3">
      <c r="A179" s="352"/>
      <c r="B179" s="353"/>
      <c r="C179" s="357"/>
      <c r="D179" s="359"/>
      <c r="E179" s="357"/>
      <c r="F179" s="375"/>
      <c r="G179" s="375"/>
      <c r="H179" s="374"/>
      <c r="I179" s="362"/>
      <c r="J179" s="362"/>
      <c r="K179" s="362"/>
      <c r="L179" s="362"/>
      <c r="M179" s="357"/>
      <c r="N179" s="357"/>
      <c r="O179" s="363"/>
      <c r="P179" s="364"/>
      <c r="Q179" s="365"/>
      <c r="R179" s="365"/>
      <c r="S179" s="365">
        <f ca="1">IF(NOT(ISERROR(MATCH(R179,_xlfn.ANCHORARRAY(#REF!),0))),Q187&amp;"Por favor no seleccionar los criterios de impacto",R179)</f>
        <v>0</v>
      </c>
      <c r="T179" s="364"/>
      <c r="U179" s="365"/>
      <c r="V179" s="351"/>
      <c r="W179" s="233">
        <v>6</v>
      </c>
      <c r="X179" s="212" t="s">
        <v>814</v>
      </c>
      <c r="Y179" s="230" t="str">
        <f t="shared" si="500"/>
        <v>Probabilidad</v>
      </c>
      <c r="Z179" s="185" t="s">
        <v>210</v>
      </c>
      <c r="AA179" s="185" t="s">
        <v>216</v>
      </c>
      <c r="AB179" s="186" t="str">
        <f t="shared" si="475"/>
        <v>30%</v>
      </c>
      <c r="AC179" s="185" t="s">
        <v>219</v>
      </c>
      <c r="AD179" s="185" t="s">
        <v>224</v>
      </c>
      <c r="AE179" s="185" t="s">
        <v>228</v>
      </c>
      <c r="AF179" s="187">
        <f t="shared" si="514"/>
        <v>3.2659199999999999E-2</v>
      </c>
      <c r="AG179" s="188" t="str">
        <f t="shared" si="502"/>
        <v>Muy Baja</v>
      </c>
      <c r="AH179" s="186">
        <f t="shared" si="503"/>
        <v>3.2659199999999999E-2</v>
      </c>
      <c r="AI179" s="188" t="str">
        <f t="shared" ca="1" si="504"/>
        <v>Mayor</v>
      </c>
      <c r="AJ179" s="186">
        <f t="shared" ca="1" si="516"/>
        <v>0.8</v>
      </c>
      <c r="AK179" s="189" t="str">
        <f t="shared" ca="1" si="506"/>
        <v>Alto</v>
      </c>
      <c r="AL179" s="185" t="s">
        <v>262</v>
      </c>
      <c r="AM179" s="368"/>
      <c r="AN179" s="357"/>
      <c r="AO179" s="377"/>
      <c r="AP179" s="379"/>
      <c r="AQ179" s="357"/>
      <c r="AR179" s="378"/>
    </row>
    <row r="180" spans="1:44" s="191" customFormat="1" ht="121.5" customHeight="1" thickTop="1" thickBot="1" x14ac:dyDescent="0.3">
      <c r="A180" s="352">
        <v>74</v>
      </c>
      <c r="B180" s="353" t="s">
        <v>817</v>
      </c>
      <c r="C180" s="357" t="s">
        <v>277</v>
      </c>
      <c r="D180" s="359" t="s">
        <v>809</v>
      </c>
      <c r="E180" s="357" t="s">
        <v>236</v>
      </c>
      <c r="F180" s="375" t="s">
        <v>818</v>
      </c>
      <c r="G180" s="375" t="s">
        <v>819</v>
      </c>
      <c r="H180" s="374" t="s">
        <v>1162</v>
      </c>
      <c r="I180" s="362" t="s">
        <v>474</v>
      </c>
      <c r="J180" s="362" t="s">
        <v>474</v>
      </c>
      <c r="K180" s="362" t="s">
        <v>474</v>
      </c>
      <c r="L180" s="362" t="s">
        <v>474</v>
      </c>
      <c r="M180" s="357" t="s">
        <v>466</v>
      </c>
      <c r="N180" s="357"/>
      <c r="O180" s="363">
        <v>365</v>
      </c>
      <c r="P180" s="364" t="str">
        <f t="shared" ref="P180:P191" si="517">IF(O180&lt;=0,"",IF(O180&lt;=2,"Muy Baja",IF(O180&lt;=24,"Baja",IF(O180&lt;=500,"Media",IF(O180&lt;=5000,"Alta","Muy Alta")))))</f>
        <v>Media</v>
      </c>
      <c r="Q180" s="365">
        <f t="shared" ref="Q180:Q191" si="518">IF(P180="","",IF(P180="Muy Baja",0.2,IF(P180="Baja",0.4,IF(P180="Media",0.6,IF(P180="Alta",0.8,IF(P180="Muy Alta",1,))))))</f>
        <v>0.6</v>
      </c>
      <c r="R180" s="365" t="s">
        <v>189</v>
      </c>
      <c r="S180" s="365" t="str">
        <f ca="1">IF(NOT(ISERROR(MATCH(R180,'Tabla Impacto'!$B$221:$B$223,0))),'Tabla Impacto'!$F$223&amp;"Por favor no seleccionar los criterios de impacto(Afectación Económica o presupuestal y Pérdida Reputacional)",R180)</f>
        <v xml:space="preserve">Entre 50 y 100 SMLMV </v>
      </c>
      <c r="T180" s="364" t="str">
        <f ca="1">+IF(OR(S180='[1]Tabla Impacto'!$C$11,S180='[1]Tabla Impacto'!$D$11),"Leve",IF(OR(S180='[1]Tabla Impacto'!$C$12,S180='[1]Tabla Impacto'!$D$12),"Menor",IF(OR(S180='[1]Tabla Impacto'!$C$13,S180='[1]Tabla Impacto'!$D$13),"Moderado",IF(OR(S180='[1]Tabla Impacto'!$C$14,S180='[1]Tabla Impacto'!$D$14),"Mayor",IF(OR(S180='[1]Tabla Impacto'!$C$15,S180='[1]Tabla Impacto'!$D$15),"Catastrófico","")))))</f>
        <v>Moderado</v>
      </c>
      <c r="U180" s="365">
        <f t="shared" ref="U180" ca="1" si="519">IF(T180="","",IF(T180="Leve",0.2,IF(T180="Menor",0.4,IF(T180="Moderado",0.6,IF(T180="Mayor",0.8,IF(T180="Catastrófico",1,))))))</f>
        <v>0.6</v>
      </c>
      <c r="V180" s="351" t="str">
        <f t="shared" ref="V180" ca="1" si="520">IF(OR(AND(P180="Muy Baja",T180="Leve"),AND(P180="Muy Baja",T180="Menor"),AND(P180="Baja",T180="Leve")),"Bajo",IF(OR(AND(P180="Muy baja",T180="Moderado"),AND(P180="Baja",T180="Menor"),AND(P180="Baja",T180="Moderado"),AND(P180="Media",T180="Leve"),AND(P180="Media",T180="Menor"),AND(P180="Media",T180="Moderado"),AND(P180="Alta",T180="Leve"),AND(P180="Alta",T180="Menor")),"Moderado",IF(OR(AND(P180="Muy Baja",T180="Mayor"),AND(P180="Baja",T180="Mayor"),AND(P180="Media",T180="Mayor"),AND(P180="Alta",T180="Moderado"),AND(P180="Alta",T180="Mayor"),AND(P180="Muy Alta",T180="Leve"),AND(P180="Muy Alta",T180="Menor"),AND(P180="Muy Alta",T180="Moderado"),AND(P180="Muy Alta",T180="Mayor")),"Alto",IF(OR(AND(P180="Muy Baja",T180="Catastrófico"),AND(P180="Baja",T180="Catastrófico"),AND(P180="Media",T180="Catastrófico"),AND(P180="Alta",T180="Catastrófico"),AND(P180="Muy Alta",T180="Catastrófico")),"Extremo",""))))</f>
        <v>Moderado</v>
      </c>
      <c r="W180" s="233">
        <v>1</v>
      </c>
      <c r="X180" s="212" t="s">
        <v>820</v>
      </c>
      <c r="Y180" s="230" t="str">
        <f t="shared" si="500"/>
        <v>Probabilidad</v>
      </c>
      <c r="Z180" s="185" t="s">
        <v>208</v>
      </c>
      <c r="AA180" s="185" t="s">
        <v>216</v>
      </c>
      <c r="AB180" s="186" t="str">
        <f t="shared" si="475"/>
        <v>40%</v>
      </c>
      <c r="AC180" s="185" t="s">
        <v>219</v>
      </c>
      <c r="AD180" s="185" t="s">
        <v>224</v>
      </c>
      <c r="AE180" s="185" t="s">
        <v>228</v>
      </c>
      <c r="AF180" s="187">
        <f t="shared" ref="AF180" si="521">IFERROR(IF(Y180="Probabilidad",(Q180-(+Q180*AB180)),IF(Y180="Impacto",Q180,"")),"")</f>
        <v>0.36</v>
      </c>
      <c r="AG180" s="188" t="str">
        <f t="shared" si="502"/>
        <v>Baja</v>
      </c>
      <c r="AH180" s="186">
        <f t="shared" si="503"/>
        <v>0.36</v>
      </c>
      <c r="AI180" s="188" t="str">
        <f t="shared" ca="1" si="504"/>
        <v>Moderado</v>
      </c>
      <c r="AJ180" s="186">
        <f t="shared" ref="AJ180" ca="1" si="522">IFERROR(IF(Y180="Impacto",(U180-(+U180*AB180)),IF(Y180="Probabilidad",U180,"")),"")</f>
        <v>0.6</v>
      </c>
      <c r="AK180" s="189" t="str">
        <f t="shared" ca="1" si="506"/>
        <v>Moderado</v>
      </c>
      <c r="AL180" s="185" t="s">
        <v>255</v>
      </c>
      <c r="AM180" s="227"/>
      <c r="AN180" s="230"/>
      <c r="AO180" s="228"/>
      <c r="AP180" s="228"/>
      <c r="AQ180" s="227"/>
      <c r="AR180" s="229"/>
    </row>
    <row r="181" spans="1:44" s="191" customFormat="1" ht="129.75" customHeight="1" thickTop="1" thickBot="1" x14ac:dyDescent="0.3">
      <c r="A181" s="352"/>
      <c r="B181" s="353"/>
      <c r="C181" s="357"/>
      <c r="D181" s="359"/>
      <c r="E181" s="357"/>
      <c r="F181" s="375"/>
      <c r="G181" s="375"/>
      <c r="H181" s="374"/>
      <c r="I181" s="362"/>
      <c r="J181" s="362"/>
      <c r="K181" s="362"/>
      <c r="L181" s="362"/>
      <c r="M181" s="357"/>
      <c r="N181" s="357"/>
      <c r="O181" s="363"/>
      <c r="P181" s="364"/>
      <c r="Q181" s="365"/>
      <c r="R181" s="365"/>
      <c r="S181" s="365">
        <f ca="1">IF(NOT(ISERROR(MATCH(R181,_xlfn.ANCHORARRAY(H187),0))),Q189&amp;"Por favor no seleccionar los criterios de impacto",R181)</f>
        <v>0</v>
      </c>
      <c r="T181" s="364"/>
      <c r="U181" s="365"/>
      <c r="V181" s="351"/>
      <c r="W181" s="233">
        <v>2</v>
      </c>
      <c r="X181" s="212" t="s">
        <v>821</v>
      </c>
      <c r="Y181" s="230" t="str">
        <f t="shared" si="500"/>
        <v>Probabilidad</v>
      </c>
      <c r="Z181" s="185" t="s">
        <v>208</v>
      </c>
      <c r="AA181" s="185" t="s">
        <v>216</v>
      </c>
      <c r="AB181" s="186" t="str">
        <f t="shared" si="475"/>
        <v>40%</v>
      </c>
      <c r="AC181" s="185" t="s">
        <v>219</v>
      </c>
      <c r="AD181" s="185" t="s">
        <v>224</v>
      </c>
      <c r="AE181" s="185" t="s">
        <v>228</v>
      </c>
      <c r="AF181" s="187">
        <f t="shared" ref="AF181:AF182" si="523">IFERROR(IF(AND(Y180="Probabilidad",Y181="Probabilidad"),(AH180-(+AH180*AB181)),IF(Y181="Probabilidad",(Q180-(+Q180*AB181)),IF(Y181="Impacto",AH180,""))),"")</f>
        <v>0.216</v>
      </c>
      <c r="AG181" s="188" t="str">
        <f t="shared" si="502"/>
        <v>Baja</v>
      </c>
      <c r="AH181" s="186">
        <f t="shared" si="503"/>
        <v>0.216</v>
      </c>
      <c r="AI181" s="188" t="str">
        <f t="shared" ca="1" si="504"/>
        <v>Moderado</v>
      </c>
      <c r="AJ181" s="186">
        <f t="shared" ref="AJ181" ca="1" si="524">IFERROR(IF(AND(Y180="Impacto",Y181="Impacto"),(AJ180-(+AJ180*AB181)),IF(Y181="Impacto",(U180-(+U180*AB181)),IF(Y181="Probabilidad",AJ180,""))),"")</f>
        <v>0.6</v>
      </c>
      <c r="AK181" s="189" t="str">
        <f t="shared" ca="1" si="506"/>
        <v>Moderado</v>
      </c>
      <c r="AL181" s="185" t="s">
        <v>255</v>
      </c>
      <c r="AM181" s="227"/>
      <c r="AN181" s="230"/>
      <c r="AO181" s="228"/>
      <c r="AP181" s="228"/>
      <c r="AQ181" s="227"/>
      <c r="AR181" s="229"/>
    </row>
    <row r="182" spans="1:44" s="191" customFormat="1" ht="144" customHeight="1" thickTop="1" thickBot="1" x14ac:dyDescent="0.3">
      <c r="A182" s="352"/>
      <c r="B182" s="353"/>
      <c r="C182" s="357"/>
      <c r="D182" s="359"/>
      <c r="E182" s="357"/>
      <c r="F182" s="375"/>
      <c r="G182" s="375"/>
      <c r="H182" s="374"/>
      <c r="I182" s="362"/>
      <c r="J182" s="362"/>
      <c r="K182" s="362"/>
      <c r="L182" s="362"/>
      <c r="M182" s="357"/>
      <c r="N182" s="357"/>
      <c r="O182" s="363"/>
      <c r="P182" s="364"/>
      <c r="Q182" s="365"/>
      <c r="R182" s="365"/>
      <c r="S182" s="365">
        <f ca="1">IF(NOT(ISERROR(MATCH(R182,_xlfn.ANCHORARRAY(H188),0))),Q190&amp;"Por favor no seleccionar los criterios de impacto",R182)</f>
        <v>0</v>
      </c>
      <c r="T182" s="364"/>
      <c r="U182" s="365"/>
      <c r="V182" s="351"/>
      <c r="W182" s="233">
        <v>3</v>
      </c>
      <c r="X182" s="212" t="s">
        <v>1077</v>
      </c>
      <c r="Y182" s="230" t="str">
        <f t="shared" si="500"/>
        <v>Probabilidad</v>
      </c>
      <c r="Z182" s="185" t="s">
        <v>208</v>
      </c>
      <c r="AA182" s="185" t="s">
        <v>216</v>
      </c>
      <c r="AB182" s="186" t="str">
        <f t="shared" si="475"/>
        <v>40%</v>
      </c>
      <c r="AC182" s="185" t="s">
        <v>219</v>
      </c>
      <c r="AD182" s="185" t="s">
        <v>224</v>
      </c>
      <c r="AE182" s="185" t="s">
        <v>228</v>
      </c>
      <c r="AF182" s="187">
        <f t="shared" si="523"/>
        <v>0.12959999999999999</v>
      </c>
      <c r="AG182" s="188" t="str">
        <f t="shared" si="502"/>
        <v>Muy Baja</v>
      </c>
      <c r="AH182" s="186">
        <f t="shared" si="503"/>
        <v>0.12959999999999999</v>
      </c>
      <c r="AI182" s="188" t="str">
        <f t="shared" ca="1" si="504"/>
        <v>Moderado</v>
      </c>
      <c r="AJ182" s="186">
        <f t="shared" ref="AJ182" ca="1" si="525">IFERROR(IF(AND(Y181="Impacto",Y182="Impacto"),(AJ181-(+AJ181*AB182)),IF(AND(Y181="Probabilidad",Y182="Impacto"),(AJ180-(+AJ180*AB182)),IF(Y182="Probabilidad",AJ181,""))),"")</f>
        <v>0.6</v>
      </c>
      <c r="AK182" s="189" t="str">
        <f t="shared" ca="1" si="506"/>
        <v>Moderado</v>
      </c>
      <c r="AL182" s="185" t="s">
        <v>255</v>
      </c>
      <c r="AM182" s="227"/>
      <c r="AN182" s="230"/>
      <c r="AO182" s="228"/>
      <c r="AP182" s="228"/>
      <c r="AQ182" s="227"/>
      <c r="AR182" s="229"/>
    </row>
    <row r="183" spans="1:44" s="191" customFormat="1" ht="139.5" customHeight="1" thickTop="1" thickBot="1" x14ac:dyDescent="0.3">
      <c r="A183" s="352">
        <v>75</v>
      </c>
      <c r="B183" s="353" t="s">
        <v>822</v>
      </c>
      <c r="C183" s="357" t="s">
        <v>277</v>
      </c>
      <c r="D183" s="359" t="s">
        <v>975</v>
      </c>
      <c r="E183" s="359" t="s">
        <v>240</v>
      </c>
      <c r="F183" s="360" t="s">
        <v>823</v>
      </c>
      <c r="G183" s="360" t="s">
        <v>824</v>
      </c>
      <c r="H183" s="361" t="s">
        <v>1184</v>
      </c>
      <c r="I183" s="362" t="s">
        <v>593</v>
      </c>
      <c r="J183" s="362" t="s">
        <v>593</v>
      </c>
      <c r="K183" s="362" t="s">
        <v>593</v>
      </c>
      <c r="L183" s="362" t="s">
        <v>593</v>
      </c>
      <c r="M183" s="373" t="s">
        <v>244</v>
      </c>
      <c r="N183" s="357"/>
      <c r="O183" s="363">
        <v>365</v>
      </c>
      <c r="P183" s="364" t="str">
        <f t="shared" si="517"/>
        <v>Media</v>
      </c>
      <c r="Q183" s="365">
        <f t="shared" si="518"/>
        <v>0.6</v>
      </c>
      <c r="R183" s="365" t="s">
        <v>192</v>
      </c>
      <c r="S183" s="365" t="str">
        <f ca="1">IF(NOT(ISERROR(MATCH(R183,'Tabla Impacto'!$B$221:$B$223,0))),'Tabla Impacto'!$F$223&amp;"Por favor no seleccionar los criterios de impacto(Afectación Económica o presupuestal y Pérdida Reputacional)",R183)</f>
        <v xml:space="preserve">Entre 100 y 500 SMLMV </v>
      </c>
      <c r="T183" s="364" t="str">
        <f ca="1">+IF(OR(S183='[1]Tabla Impacto'!$C$11,S183='[1]Tabla Impacto'!$D$11),"Leve",IF(OR(S183='[1]Tabla Impacto'!$C$12,S183='[1]Tabla Impacto'!$D$12),"Menor",IF(OR(S183='[1]Tabla Impacto'!$C$13,S183='[1]Tabla Impacto'!$D$13),"Moderado",IF(OR(S183='[1]Tabla Impacto'!$C$14,S183='[1]Tabla Impacto'!$D$14),"Mayor",IF(OR(S183='[1]Tabla Impacto'!$C$15,S183='[1]Tabla Impacto'!$D$15),"Catastrófico","")))))</f>
        <v>Mayor</v>
      </c>
      <c r="U183" s="365">
        <f t="shared" ref="U183" ca="1" si="526">IF(T183="","",IF(T183="Leve",0.2,IF(T183="Menor",0.4,IF(T183="Moderado",0.6,IF(T183="Mayor",0.8,IF(T183="Catastrófico",1,))))))</f>
        <v>0.8</v>
      </c>
      <c r="V183" s="351" t="str">
        <f t="shared" ref="V183" ca="1" si="527">IF(OR(AND(P183="Muy Baja",T183="Leve"),AND(P183="Muy Baja",T183="Menor"),AND(P183="Baja",T183="Leve")),"Bajo",IF(OR(AND(P183="Muy baja",T183="Moderado"),AND(P183="Baja",T183="Menor"),AND(P183="Baja",T183="Moderado"),AND(P183="Media",T183="Leve"),AND(P183="Media",T183="Menor"),AND(P183="Media",T183="Moderado"),AND(P183="Alta",T183="Leve"),AND(P183="Alta",T183="Menor")),"Moderado",IF(OR(AND(P183="Muy Baja",T183="Mayor"),AND(P183="Baja",T183="Mayor"),AND(P183="Media",T183="Mayor"),AND(P183="Alta",T183="Moderado"),AND(P183="Alta",T183="Mayor"),AND(P183="Muy Alta",T183="Leve"),AND(P183="Muy Alta",T183="Menor"),AND(P183="Muy Alta",T183="Moderado"),AND(P183="Muy Alta",T183="Mayor")),"Alto",IF(OR(AND(P183="Muy Baja",T183="Catastrófico"),AND(P183="Baja",T183="Catastrófico"),AND(P183="Media",T183="Catastrófico"),AND(P183="Alta",T183="Catastrófico"),AND(P183="Muy Alta",T183="Catastrófico")),"Extremo",""))))</f>
        <v>Alto</v>
      </c>
      <c r="W183" s="233">
        <v>1</v>
      </c>
      <c r="X183" s="207" t="s">
        <v>825</v>
      </c>
      <c r="Y183" s="230" t="str">
        <f t="shared" si="500"/>
        <v>Probabilidad</v>
      </c>
      <c r="Z183" s="185" t="s">
        <v>208</v>
      </c>
      <c r="AA183" s="185" t="s">
        <v>216</v>
      </c>
      <c r="AB183" s="186" t="str">
        <f t="shared" si="475"/>
        <v>40%</v>
      </c>
      <c r="AC183" s="185" t="s">
        <v>219</v>
      </c>
      <c r="AD183" s="185" t="s">
        <v>224</v>
      </c>
      <c r="AE183" s="185" t="s">
        <v>228</v>
      </c>
      <c r="AF183" s="187">
        <f t="shared" ref="AF183" si="528">IFERROR(IF(Y183="Probabilidad",(Q183-(+Q183*AB183)),IF(Y183="Impacto",Q183,"")),"")</f>
        <v>0.36</v>
      </c>
      <c r="AG183" s="188" t="str">
        <f t="shared" si="502"/>
        <v>Baja</v>
      </c>
      <c r="AH183" s="186">
        <f t="shared" si="503"/>
        <v>0.36</v>
      </c>
      <c r="AI183" s="188" t="str">
        <f t="shared" ca="1" si="504"/>
        <v>Mayor</v>
      </c>
      <c r="AJ183" s="186">
        <f t="shared" ref="AJ183" ca="1" si="529">IFERROR(IF(Y183="Impacto",(U183-(+U183*AB183)),IF(Y183="Probabilidad",U183,"")),"")</f>
        <v>0.8</v>
      </c>
      <c r="AK183" s="189" t="str">
        <f t="shared" ca="1" si="506"/>
        <v>Alto</v>
      </c>
      <c r="AL183" s="185" t="s">
        <v>262</v>
      </c>
      <c r="AM183" s="380" t="s">
        <v>826</v>
      </c>
      <c r="AN183" s="381" t="s">
        <v>828</v>
      </c>
      <c r="AO183" s="382">
        <v>45689</v>
      </c>
      <c r="AP183" s="383" t="s">
        <v>535</v>
      </c>
      <c r="AQ183" s="357" t="s">
        <v>827</v>
      </c>
      <c r="AR183" s="384" t="s">
        <v>259</v>
      </c>
    </row>
    <row r="184" spans="1:44" s="191" customFormat="1" ht="210" customHeight="1" thickTop="1" thickBot="1" x14ac:dyDescent="0.3">
      <c r="A184" s="352"/>
      <c r="B184" s="353"/>
      <c r="C184" s="357"/>
      <c r="D184" s="359"/>
      <c r="E184" s="359"/>
      <c r="F184" s="360"/>
      <c r="G184" s="360"/>
      <c r="H184" s="361"/>
      <c r="I184" s="362"/>
      <c r="J184" s="362"/>
      <c r="K184" s="362"/>
      <c r="L184" s="362"/>
      <c r="M184" s="373"/>
      <c r="N184" s="357"/>
      <c r="O184" s="363"/>
      <c r="P184" s="364"/>
      <c r="Q184" s="365"/>
      <c r="R184" s="365"/>
      <c r="S184" s="365">
        <f ca="1">IF(NOT(ISERROR(MATCH(R184,_xlfn.ANCHORARRAY(H191),0))),#REF!&amp;"Por favor no seleccionar los criterios de impacto",R184)</f>
        <v>0</v>
      </c>
      <c r="T184" s="364"/>
      <c r="U184" s="365"/>
      <c r="V184" s="351"/>
      <c r="W184" s="233">
        <v>2</v>
      </c>
      <c r="X184" s="207" t="s">
        <v>1078</v>
      </c>
      <c r="Y184" s="230" t="str">
        <f t="shared" si="500"/>
        <v>Probabilidad</v>
      </c>
      <c r="Z184" s="185" t="s">
        <v>208</v>
      </c>
      <c r="AA184" s="185" t="s">
        <v>216</v>
      </c>
      <c r="AB184" s="186" t="str">
        <f t="shared" si="475"/>
        <v>40%</v>
      </c>
      <c r="AC184" s="185" t="s">
        <v>219</v>
      </c>
      <c r="AD184" s="185" t="s">
        <v>224</v>
      </c>
      <c r="AE184" s="185" t="s">
        <v>228</v>
      </c>
      <c r="AF184" s="187">
        <f t="shared" ref="AF184:AF186" si="530">IFERROR(IF(AND(Y183="Probabilidad",Y184="Probabilidad"),(AH183-(+AH183*AB184)),IF(Y184="Probabilidad",(Q183-(+Q183*AB184)),IF(Y184="Impacto",AH183,""))),"")</f>
        <v>0.216</v>
      </c>
      <c r="AG184" s="188" t="str">
        <f t="shared" si="502"/>
        <v>Baja</v>
      </c>
      <c r="AH184" s="186">
        <f t="shared" si="503"/>
        <v>0.216</v>
      </c>
      <c r="AI184" s="188" t="str">
        <f t="shared" ca="1" si="504"/>
        <v>Mayor</v>
      </c>
      <c r="AJ184" s="186">
        <f t="shared" ref="AJ184" ca="1" si="531">IFERROR(IF(AND(Y183="Impacto",Y184="Impacto"),(AJ183-(+AJ183*AB184)),IF(Y184="Impacto",(U183-(+U183*AB184)),IF(Y184="Probabilidad",AJ183,""))),"")</f>
        <v>0.8</v>
      </c>
      <c r="AK184" s="189" t="str">
        <f t="shared" ca="1" si="506"/>
        <v>Alto</v>
      </c>
      <c r="AL184" s="185" t="s">
        <v>262</v>
      </c>
      <c r="AM184" s="380"/>
      <c r="AN184" s="381"/>
      <c r="AO184" s="382"/>
      <c r="AP184" s="383"/>
      <c r="AQ184" s="357"/>
      <c r="AR184" s="384"/>
    </row>
    <row r="185" spans="1:44" s="191" customFormat="1" ht="154.5" customHeight="1" thickTop="1" thickBot="1" x14ac:dyDescent="0.3">
      <c r="A185" s="352"/>
      <c r="B185" s="353"/>
      <c r="C185" s="357"/>
      <c r="D185" s="359"/>
      <c r="E185" s="359"/>
      <c r="F185" s="360"/>
      <c r="G185" s="360"/>
      <c r="H185" s="361"/>
      <c r="I185" s="362"/>
      <c r="J185" s="362"/>
      <c r="K185" s="362"/>
      <c r="L185" s="362"/>
      <c r="M185" s="373"/>
      <c r="N185" s="357"/>
      <c r="O185" s="363"/>
      <c r="P185" s="364"/>
      <c r="Q185" s="365"/>
      <c r="R185" s="365"/>
      <c r="S185" s="365">
        <f ca="1">IF(NOT(ISERROR(MATCH(R185,_xlfn.ANCHORARRAY(H192),0))),#REF!&amp;"Por favor no seleccionar los criterios de impacto",R185)</f>
        <v>0</v>
      </c>
      <c r="T185" s="364"/>
      <c r="U185" s="365"/>
      <c r="V185" s="351"/>
      <c r="W185" s="233">
        <v>3</v>
      </c>
      <c r="X185" s="207" t="s">
        <v>1079</v>
      </c>
      <c r="Y185" s="230" t="str">
        <f t="shared" si="500"/>
        <v>Probabilidad</v>
      </c>
      <c r="Z185" s="185" t="s">
        <v>208</v>
      </c>
      <c r="AA185" s="185" t="s">
        <v>216</v>
      </c>
      <c r="AB185" s="186" t="str">
        <f t="shared" si="475"/>
        <v>40%</v>
      </c>
      <c r="AC185" s="185" t="s">
        <v>219</v>
      </c>
      <c r="AD185" s="185" t="s">
        <v>224</v>
      </c>
      <c r="AE185" s="185" t="s">
        <v>228</v>
      </c>
      <c r="AF185" s="187">
        <f t="shared" si="530"/>
        <v>0.12959999999999999</v>
      </c>
      <c r="AG185" s="188" t="str">
        <f t="shared" si="502"/>
        <v>Muy Baja</v>
      </c>
      <c r="AH185" s="186">
        <f t="shared" si="503"/>
        <v>0.12959999999999999</v>
      </c>
      <c r="AI185" s="188" t="str">
        <f t="shared" ca="1" si="504"/>
        <v>Mayor</v>
      </c>
      <c r="AJ185" s="186">
        <f t="shared" ref="AJ185:AJ186" ca="1" si="532">IFERROR(IF(AND(Y184="Impacto",Y185="Impacto"),(AJ184-(+AJ184*AB185)),IF(AND(Y184="Probabilidad",Y185="Impacto"),(AJ183-(+AJ183*AB185)),IF(Y185="Probabilidad",AJ184,""))),"")</f>
        <v>0.8</v>
      </c>
      <c r="AK185" s="189" t="str">
        <f t="shared" ca="1" si="506"/>
        <v>Alto</v>
      </c>
      <c r="AL185" s="185" t="s">
        <v>262</v>
      </c>
      <c r="AM185" s="380"/>
      <c r="AN185" s="381"/>
      <c r="AO185" s="382"/>
      <c r="AP185" s="383"/>
      <c r="AQ185" s="357"/>
      <c r="AR185" s="384"/>
    </row>
    <row r="186" spans="1:44" s="191" customFormat="1" ht="326.25" customHeight="1" thickTop="1" thickBot="1" x14ac:dyDescent="0.3">
      <c r="A186" s="352"/>
      <c r="B186" s="353"/>
      <c r="C186" s="357"/>
      <c r="D186" s="359"/>
      <c r="E186" s="359"/>
      <c r="F186" s="360"/>
      <c r="G186" s="360"/>
      <c r="H186" s="361"/>
      <c r="I186" s="362"/>
      <c r="J186" s="362"/>
      <c r="K186" s="362"/>
      <c r="L186" s="362"/>
      <c r="M186" s="373"/>
      <c r="N186" s="357"/>
      <c r="O186" s="363"/>
      <c r="P186" s="364"/>
      <c r="Q186" s="365"/>
      <c r="R186" s="365"/>
      <c r="S186" s="365">
        <f ca="1">IF(NOT(ISERROR(MATCH(R186,_xlfn.ANCHORARRAY(#REF!),0))),#REF!&amp;"Por favor no seleccionar los criterios de impacto",R186)</f>
        <v>0</v>
      </c>
      <c r="T186" s="364"/>
      <c r="U186" s="365"/>
      <c r="V186" s="351"/>
      <c r="W186" s="233">
        <v>4</v>
      </c>
      <c r="X186" s="207" t="s">
        <v>1102</v>
      </c>
      <c r="Y186" s="230" t="str">
        <f t="shared" si="500"/>
        <v>Probabilidad</v>
      </c>
      <c r="Z186" s="185" t="s">
        <v>210</v>
      </c>
      <c r="AA186" s="185" t="s">
        <v>216</v>
      </c>
      <c r="AB186" s="186" t="str">
        <f t="shared" si="475"/>
        <v>30%</v>
      </c>
      <c r="AC186" s="185" t="s">
        <v>219</v>
      </c>
      <c r="AD186" s="185" t="s">
        <v>224</v>
      </c>
      <c r="AE186" s="185" t="s">
        <v>228</v>
      </c>
      <c r="AF186" s="187">
        <f t="shared" si="530"/>
        <v>9.0719999999999995E-2</v>
      </c>
      <c r="AG186" s="188" t="str">
        <f t="shared" si="502"/>
        <v>Muy Baja</v>
      </c>
      <c r="AH186" s="186">
        <f t="shared" si="503"/>
        <v>9.0719999999999995E-2</v>
      </c>
      <c r="AI186" s="188" t="str">
        <f t="shared" ca="1" si="504"/>
        <v>Mayor</v>
      </c>
      <c r="AJ186" s="186">
        <f t="shared" ca="1" si="532"/>
        <v>0.8</v>
      </c>
      <c r="AK186" s="189" t="str">
        <f t="shared" ca="1" si="506"/>
        <v>Alto</v>
      </c>
      <c r="AL186" s="185" t="s">
        <v>262</v>
      </c>
      <c r="AM186" s="380"/>
      <c r="AN186" s="381"/>
      <c r="AO186" s="382"/>
      <c r="AP186" s="383"/>
      <c r="AQ186" s="357"/>
      <c r="AR186" s="384"/>
    </row>
    <row r="187" spans="1:44" s="191" customFormat="1" ht="141.75" customHeight="1" thickTop="1" thickBot="1" x14ac:dyDescent="0.3">
      <c r="A187" s="352">
        <v>76</v>
      </c>
      <c r="B187" s="353" t="s">
        <v>829</v>
      </c>
      <c r="C187" s="357" t="s">
        <v>277</v>
      </c>
      <c r="D187" s="359" t="s">
        <v>975</v>
      </c>
      <c r="E187" s="359" t="s">
        <v>236</v>
      </c>
      <c r="F187" s="360" t="s">
        <v>823</v>
      </c>
      <c r="G187" s="360" t="s">
        <v>830</v>
      </c>
      <c r="H187" s="361" t="s">
        <v>1185</v>
      </c>
      <c r="I187" s="362" t="s">
        <v>593</v>
      </c>
      <c r="J187" s="362" t="s">
        <v>593</v>
      </c>
      <c r="K187" s="362" t="s">
        <v>593</v>
      </c>
      <c r="L187" s="362" t="s">
        <v>593</v>
      </c>
      <c r="M187" s="373" t="s">
        <v>244</v>
      </c>
      <c r="N187" s="357"/>
      <c r="O187" s="363">
        <v>365</v>
      </c>
      <c r="P187" s="364" t="str">
        <f t="shared" si="517"/>
        <v>Media</v>
      </c>
      <c r="Q187" s="365">
        <f t="shared" si="518"/>
        <v>0.6</v>
      </c>
      <c r="R187" s="365" t="s">
        <v>192</v>
      </c>
      <c r="S187" s="365" t="str">
        <f ca="1">IF(NOT(ISERROR(MATCH(R187,'Tabla Impacto'!$B$221:$B$223,0))),'Tabla Impacto'!$F$223&amp;"Por favor no seleccionar los criterios de impacto(Afectación Económica o presupuestal y Pérdida Reputacional)",R187)</f>
        <v xml:space="preserve">Entre 100 y 500 SMLMV </v>
      </c>
      <c r="T187" s="364" t="str">
        <f ca="1">+IF(OR(S187='[1]Tabla Impacto'!$C$11,S187='[1]Tabla Impacto'!$D$11),"Leve",IF(OR(S187='[1]Tabla Impacto'!$C$12,S187='[1]Tabla Impacto'!$D$12),"Menor",IF(OR(S187='[1]Tabla Impacto'!$C$13,S187='[1]Tabla Impacto'!$D$13),"Moderado",IF(OR(S187='[1]Tabla Impacto'!$C$14,S187='[1]Tabla Impacto'!$D$14),"Mayor",IF(OR(S187='[1]Tabla Impacto'!$C$15,S187='[1]Tabla Impacto'!$D$15),"Catastrófico","")))))</f>
        <v>Mayor</v>
      </c>
      <c r="U187" s="365">
        <f t="shared" ref="U187" ca="1" si="533">IF(T187="","",IF(T187="Leve",0.2,IF(T187="Menor",0.4,IF(T187="Moderado",0.6,IF(T187="Mayor",0.8,IF(T187="Catastrófico",1,))))))</f>
        <v>0.8</v>
      </c>
      <c r="V187" s="351" t="str">
        <f t="shared" ref="V187" ca="1" si="534">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233">
        <v>1</v>
      </c>
      <c r="X187" s="208" t="s">
        <v>1080</v>
      </c>
      <c r="Y187" s="230" t="str">
        <f t="shared" si="500"/>
        <v>Probabilidad</v>
      </c>
      <c r="Z187" s="185" t="s">
        <v>208</v>
      </c>
      <c r="AA187" s="185" t="s">
        <v>216</v>
      </c>
      <c r="AB187" s="186" t="str">
        <f t="shared" si="475"/>
        <v>40%</v>
      </c>
      <c r="AC187" s="185" t="s">
        <v>219</v>
      </c>
      <c r="AD187" s="185" t="s">
        <v>224</v>
      </c>
      <c r="AE187" s="185" t="s">
        <v>228</v>
      </c>
      <c r="AF187" s="187">
        <f t="shared" ref="AF187" si="535">IFERROR(IF(Y187="Probabilidad",(Q187-(+Q187*AB187)),IF(Y187="Impacto",Q187,"")),"")</f>
        <v>0.36</v>
      </c>
      <c r="AG187" s="188" t="str">
        <f t="shared" si="502"/>
        <v>Baja</v>
      </c>
      <c r="AH187" s="186">
        <f t="shared" si="503"/>
        <v>0.36</v>
      </c>
      <c r="AI187" s="188" t="str">
        <f t="shared" ca="1" si="504"/>
        <v>Mayor</v>
      </c>
      <c r="AJ187" s="186">
        <f t="shared" ref="AJ187" ca="1" si="536">IFERROR(IF(Y187="Impacto",(U187-(+U187*AB187)),IF(Y187="Probabilidad",U187,"")),"")</f>
        <v>0.8</v>
      </c>
      <c r="AK187" s="189" t="str">
        <f t="shared" ca="1" si="506"/>
        <v>Alto</v>
      </c>
      <c r="AL187" s="185" t="s">
        <v>262</v>
      </c>
      <c r="AM187" s="380" t="s">
        <v>831</v>
      </c>
      <c r="AN187" s="383" t="s">
        <v>832</v>
      </c>
      <c r="AO187" s="382">
        <v>45689</v>
      </c>
      <c r="AP187" s="381" t="s">
        <v>535</v>
      </c>
      <c r="AQ187" s="383"/>
      <c r="AR187" s="384" t="s">
        <v>259</v>
      </c>
    </row>
    <row r="188" spans="1:44" s="191" customFormat="1" ht="126.75" customHeight="1" thickTop="1" thickBot="1" x14ac:dyDescent="0.3">
      <c r="A188" s="352"/>
      <c r="B188" s="353"/>
      <c r="C188" s="357"/>
      <c r="D188" s="359"/>
      <c r="E188" s="359"/>
      <c r="F188" s="360"/>
      <c r="G188" s="360"/>
      <c r="H188" s="361"/>
      <c r="I188" s="362"/>
      <c r="J188" s="362"/>
      <c r="K188" s="362"/>
      <c r="L188" s="362"/>
      <c r="M188" s="373"/>
      <c r="N188" s="357"/>
      <c r="O188" s="363"/>
      <c r="P188" s="364"/>
      <c r="Q188" s="365"/>
      <c r="R188" s="365"/>
      <c r="S188" s="365">
        <f ca="1">IF(NOT(ISERROR(MATCH(R188,_xlfn.ANCHORARRAY(H199),0))),Q201&amp;"Por favor no seleccionar los criterios de impacto",R188)</f>
        <v>0</v>
      </c>
      <c r="T188" s="364"/>
      <c r="U188" s="365"/>
      <c r="V188" s="351"/>
      <c r="W188" s="233">
        <v>2</v>
      </c>
      <c r="X188" s="208" t="s">
        <v>1081</v>
      </c>
      <c r="Y188" s="230" t="str">
        <f t="shared" si="500"/>
        <v>Probabilidad</v>
      </c>
      <c r="Z188" s="185" t="s">
        <v>208</v>
      </c>
      <c r="AA188" s="185" t="s">
        <v>216</v>
      </c>
      <c r="AB188" s="186" t="str">
        <f t="shared" ref="AB188:AB224" si="537">IF(AND(Z188="Preventivo",AA188="Automático"),"50%",IF(AND(Z188="Preventivo",AA188="Manual"),"40%",IF(AND(Z188="Detectivo",AA188="Automático"),"40%",IF(AND(Z188="Detectivo",AA188="Manual"),"30%",IF(AND(Z188="Correctivo",AA188="Automático"),"35%",IF(AND(Z188="Correctivo",AA188="Manual"),"25%",""))))))</f>
        <v>40%</v>
      </c>
      <c r="AC188" s="185" t="s">
        <v>219</v>
      </c>
      <c r="AD188" s="185" t="s">
        <v>224</v>
      </c>
      <c r="AE188" s="185" t="s">
        <v>228</v>
      </c>
      <c r="AF188" s="187">
        <f t="shared" ref="AF188:AF190" si="538">IFERROR(IF(AND(Y187="Probabilidad",Y188="Probabilidad"),(AH187-(+AH187*AB188)),IF(Y188="Probabilidad",(Q187-(+Q187*AB188)),IF(Y188="Impacto",AH187,""))),"")</f>
        <v>0.216</v>
      </c>
      <c r="AG188" s="188" t="str">
        <f t="shared" si="502"/>
        <v>Baja</v>
      </c>
      <c r="AH188" s="186">
        <f t="shared" si="503"/>
        <v>0.216</v>
      </c>
      <c r="AI188" s="188" t="str">
        <f t="shared" ca="1" si="504"/>
        <v>Mayor</v>
      </c>
      <c r="AJ188" s="186">
        <f t="shared" ref="AJ188" ca="1" si="539">IFERROR(IF(AND(Y187="Impacto",Y188="Impacto"),(AJ187-(+AJ187*AB188)),IF(Y188="Impacto",(U187-(+U187*AB188)),IF(Y188="Probabilidad",AJ187,""))),"")</f>
        <v>0.8</v>
      </c>
      <c r="AK188" s="189" t="str">
        <f t="shared" ca="1" si="506"/>
        <v>Alto</v>
      </c>
      <c r="AL188" s="185" t="s">
        <v>262</v>
      </c>
      <c r="AM188" s="380"/>
      <c r="AN188" s="383"/>
      <c r="AO188" s="382"/>
      <c r="AP188" s="381"/>
      <c r="AQ188" s="383"/>
      <c r="AR188" s="384"/>
    </row>
    <row r="189" spans="1:44" s="191" customFormat="1" ht="132" customHeight="1" thickTop="1" thickBot="1" x14ac:dyDescent="0.3">
      <c r="A189" s="352"/>
      <c r="B189" s="353"/>
      <c r="C189" s="357"/>
      <c r="D189" s="359"/>
      <c r="E189" s="359"/>
      <c r="F189" s="360"/>
      <c r="G189" s="360"/>
      <c r="H189" s="361"/>
      <c r="I189" s="362"/>
      <c r="J189" s="362"/>
      <c r="K189" s="362"/>
      <c r="L189" s="362"/>
      <c r="M189" s="373"/>
      <c r="N189" s="357"/>
      <c r="O189" s="363"/>
      <c r="P189" s="364"/>
      <c r="Q189" s="365"/>
      <c r="R189" s="365"/>
      <c r="S189" s="365">
        <f ca="1">IF(NOT(ISERROR(MATCH(R189,_xlfn.ANCHORARRAY(H200),0))),#REF!&amp;"Por favor no seleccionar los criterios de impacto",R189)</f>
        <v>0</v>
      </c>
      <c r="T189" s="364"/>
      <c r="U189" s="365"/>
      <c r="V189" s="351"/>
      <c r="W189" s="233">
        <v>3</v>
      </c>
      <c r="X189" s="208" t="s">
        <v>1082</v>
      </c>
      <c r="Y189" s="230" t="str">
        <f t="shared" si="500"/>
        <v>Probabilidad</v>
      </c>
      <c r="Z189" s="185" t="s">
        <v>208</v>
      </c>
      <c r="AA189" s="185" t="s">
        <v>216</v>
      </c>
      <c r="AB189" s="186" t="str">
        <f t="shared" si="537"/>
        <v>40%</v>
      </c>
      <c r="AC189" s="185" t="s">
        <v>219</v>
      </c>
      <c r="AD189" s="185" t="s">
        <v>224</v>
      </c>
      <c r="AE189" s="185" t="s">
        <v>228</v>
      </c>
      <c r="AF189" s="187">
        <f t="shared" si="538"/>
        <v>0.12959999999999999</v>
      </c>
      <c r="AG189" s="188" t="str">
        <f t="shared" si="502"/>
        <v>Muy Baja</v>
      </c>
      <c r="AH189" s="186">
        <f t="shared" si="503"/>
        <v>0.12959999999999999</v>
      </c>
      <c r="AI189" s="188" t="str">
        <f t="shared" ca="1" si="504"/>
        <v>Mayor</v>
      </c>
      <c r="AJ189" s="186">
        <f t="shared" ref="AJ189:AJ190" ca="1" si="540">IFERROR(IF(AND(Y188="Impacto",Y189="Impacto"),(AJ188-(+AJ188*AB189)),IF(AND(Y188="Probabilidad",Y189="Impacto"),(AJ187-(+AJ187*AB189)),IF(Y189="Probabilidad",AJ188,""))),"")</f>
        <v>0.8</v>
      </c>
      <c r="AK189" s="189" t="str">
        <f t="shared" ca="1" si="506"/>
        <v>Alto</v>
      </c>
      <c r="AL189" s="185" t="s">
        <v>262</v>
      </c>
      <c r="AM189" s="380"/>
      <c r="AN189" s="383"/>
      <c r="AO189" s="382"/>
      <c r="AP189" s="381"/>
      <c r="AQ189" s="383"/>
      <c r="AR189" s="384"/>
    </row>
    <row r="190" spans="1:44" s="191" customFormat="1" ht="321.75" customHeight="1" thickTop="1" thickBot="1" x14ac:dyDescent="0.3">
      <c r="A190" s="352"/>
      <c r="B190" s="353"/>
      <c r="C190" s="357"/>
      <c r="D190" s="359"/>
      <c r="E190" s="359"/>
      <c r="F190" s="360"/>
      <c r="G190" s="360"/>
      <c r="H190" s="361"/>
      <c r="I190" s="362"/>
      <c r="J190" s="362"/>
      <c r="K190" s="362"/>
      <c r="L190" s="362"/>
      <c r="M190" s="373"/>
      <c r="N190" s="357"/>
      <c r="O190" s="363"/>
      <c r="P190" s="364"/>
      <c r="Q190" s="365"/>
      <c r="R190" s="365"/>
      <c r="S190" s="365">
        <f ca="1">IF(NOT(ISERROR(MATCH(R190,_xlfn.ANCHORARRAY(H201),0))),#REF!&amp;"Por favor no seleccionar los criterios de impacto",R190)</f>
        <v>0</v>
      </c>
      <c r="T190" s="364"/>
      <c r="U190" s="365"/>
      <c r="V190" s="351"/>
      <c r="W190" s="233">
        <v>4</v>
      </c>
      <c r="X190" s="207" t="s">
        <v>1103</v>
      </c>
      <c r="Y190" s="230" t="str">
        <f t="shared" si="500"/>
        <v>Probabilidad</v>
      </c>
      <c r="Z190" s="185" t="s">
        <v>210</v>
      </c>
      <c r="AA190" s="185" t="s">
        <v>216</v>
      </c>
      <c r="AB190" s="186" t="str">
        <f t="shared" si="537"/>
        <v>30%</v>
      </c>
      <c r="AC190" s="185" t="s">
        <v>219</v>
      </c>
      <c r="AD190" s="185" t="s">
        <v>224</v>
      </c>
      <c r="AE190" s="185" t="s">
        <v>228</v>
      </c>
      <c r="AF190" s="187">
        <f t="shared" si="538"/>
        <v>9.0719999999999995E-2</v>
      </c>
      <c r="AG190" s="188" t="str">
        <f t="shared" si="502"/>
        <v>Muy Baja</v>
      </c>
      <c r="AH190" s="186">
        <f t="shared" si="503"/>
        <v>9.0719999999999995E-2</v>
      </c>
      <c r="AI190" s="188" t="str">
        <f t="shared" ca="1" si="504"/>
        <v>Mayor</v>
      </c>
      <c r="AJ190" s="186">
        <f t="shared" ca="1" si="540"/>
        <v>0.8</v>
      </c>
      <c r="AK190" s="189" t="str">
        <f t="shared" ca="1" si="506"/>
        <v>Alto</v>
      </c>
      <c r="AL190" s="185" t="s">
        <v>262</v>
      </c>
      <c r="AM190" s="380"/>
      <c r="AN190" s="383"/>
      <c r="AO190" s="382"/>
      <c r="AP190" s="381"/>
      <c r="AQ190" s="383"/>
      <c r="AR190" s="384"/>
    </row>
    <row r="191" spans="1:44" s="191" customFormat="1" ht="213" customHeight="1" thickTop="1" thickBot="1" x14ac:dyDescent="0.3">
      <c r="A191" s="352">
        <v>77</v>
      </c>
      <c r="B191" s="353" t="s">
        <v>833</v>
      </c>
      <c r="C191" s="357" t="s">
        <v>277</v>
      </c>
      <c r="D191" s="359" t="s">
        <v>975</v>
      </c>
      <c r="E191" s="357" t="s">
        <v>240</v>
      </c>
      <c r="F191" s="375" t="s">
        <v>659</v>
      </c>
      <c r="G191" s="375" t="s">
        <v>834</v>
      </c>
      <c r="H191" s="374" t="s">
        <v>1163</v>
      </c>
      <c r="I191" s="362" t="s">
        <v>474</v>
      </c>
      <c r="J191" s="362" t="s">
        <v>474</v>
      </c>
      <c r="K191" s="362" t="s">
        <v>474</v>
      </c>
      <c r="L191" s="362" t="s">
        <v>474</v>
      </c>
      <c r="M191" s="357" t="s">
        <v>239</v>
      </c>
      <c r="N191" s="357"/>
      <c r="O191" s="363">
        <v>1500</v>
      </c>
      <c r="P191" s="364" t="str">
        <f t="shared" si="517"/>
        <v>Alta</v>
      </c>
      <c r="Q191" s="365">
        <f t="shared" si="518"/>
        <v>0.8</v>
      </c>
      <c r="R191" s="365" t="s">
        <v>184</v>
      </c>
      <c r="S191" s="365" t="str">
        <f ca="1">IF(NOT(ISERROR(MATCH(R191,'Tabla Impacto'!$B$221:$B$223,0))),'Tabla Impacto'!$F$223&amp;"Por favor no seleccionar los criterios de impacto(Afectación Económica o presupuestal y Pérdida Reputacional)",R191)</f>
        <v>El riesgo afecta la imagen de alguna área de la organización</v>
      </c>
      <c r="T191" s="364" t="str">
        <f ca="1">+IF(OR(S191='[1]Tabla Impacto'!$C$11,S191='[1]Tabla Impacto'!$D$11),"Leve",IF(OR(S191='[1]Tabla Impacto'!$C$12,S191='[1]Tabla Impacto'!$D$12),"Menor",IF(OR(S191='[1]Tabla Impacto'!$C$13,S191='[1]Tabla Impacto'!$D$13),"Moderado",IF(OR(S191='[1]Tabla Impacto'!$C$14,S191='[1]Tabla Impacto'!$D$14),"Mayor",IF(OR(S191='[1]Tabla Impacto'!$C$15,S191='[1]Tabla Impacto'!$D$15),"Catastrófico","")))))</f>
        <v>Leve</v>
      </c>
      <c r="U191" s="365">
        <f t="shared" ref="U191" ca="1" si="541">IF(T191="","",IF(T191="Leve",0.2,IF(T191="Menor",0.4,IF(T191="Moderado",0.6,IF(T191="Mayor",0.8,IF(T191="Catastrófico",1,))))))</f>
        <v>0.2</v>
      </c>
      <c r="V191" s="351" t="str">
        <f t="shared" ref="V191" ca="1" si="542">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Moderado</v>
      </c>
      <c r="W191" s="233">
        <v>1</v>
      </c>
      <c r="X191" s="210" t="s">
        <v>1083</v>
      </c>
      <c r="Y191" s="230" t="str">
        <f t="shared" si="500"/>
        <v>Probabilidad</v>
      </c>
      <c r="Z191" s="185" t="s">
        <v>208</v>
      </c>
      <c r="AA191" s="185" t="s">
        <v>216</v>
      </c>
      <c r="AB191" s="186" t="str">
        <f t="shared" si="537"/>
        <v>40%</v>
      </c>
      <c r="AC191" s="185" t="s">
        <v>219</v>
      </c>
      <c r="AD191" s="185" t="s">
        <v>224</v>
      </c>
      <c r="AE191" s="185" t="s">
        <v>228</v>
      </c>
      <c r="AF191" s="187">
        <f t="shared" ref="AF191" si="543">IFERROR(IF(Y191="Probabilidad",(Q191-(+Q191*AB191)),IF(Y191="Impacto",Q191,"")),"")</f>
        <v>0.48</v>
      </c>
      <c r="AG191" s="188" t="str">
        <f t="shared" si="502"/>
        <v>Media</v>
      </c>
      <c r="AH191" s="186">
        <f t="shared" si="503"/>
        <v>0.48</v>
      </c>
      <c r="AI191" s="188" t="str">
        <f t="shared" ca="1" si="504"/>
        <v>Leve</v>
      </c>
      <c r="AJ191" s="186">
        <f t="shared" ref="AJ191" ca="1" si="544">IFERROR(IF(Y191="Impacto",(U191-(+U191*AB191)),IF(Y191="Probabilidad",U191,"")),"")</f>
        <v>0.2</v>
      </c>
      <c r="AK191" s="189" t="str">
        <f t="shared" ca="1" si="506"/>
        <v>Moderado</v>
      </c>
      <c r="AL191" s="185" t="s">
        <v>255</v>
      </c>
      <c r="AM191" s="227"/>
      <c r="AN191" s="230"/>
      <c r="AO191" s="228"/>
      <c r="AP191" s="228"/>
      <c r="AQ191" s="227"/>
      <c r="AR191" s="229"/>
    </row>
    <row r="192" spans="1:44" s="191" customFormat="1" ht="184.5" customHeight="1" thickTop="1" thickBot="1" x14ac:dyDescent="0.3">
      <c r="A192" s="352"/>
      <c r="B192" s="353"/>
      <c r="C192" s="357"/>
      <c r="D192" s="359"/>
      <c r="E192" s="357"/>
      <c r="F192" s="375"/>
      <c r="G192" s="375"/>
      <c r="H192" s="374"/>
      <c r="I192" s="362"/>
      <c r="J192" s="362"/>
      <c r="K192" s="362"/>
      <c r="L192" s="362"/>
      <c r="M192" s="357"/>
      <c r="N192" s="357"/>
      <c r="O192" s="363"/>
      <c r="P192" s="364"/>
      <c r="Q192" s="365"/>
      <c r="R192" s="365"/>
      <c r="S192" s="365">
        <f ca="1">IF(NOT(ISERROR(MATCH(R192,_xlfn.ANCHORARRAY(H202),0))),Q204&amp;"Por favor no seleccionar los criterios de impacto",R192)</f>
        <v>0</v>
      </c>
      <c r="T192" s="364"/>
      <c r="U192" s="365"/>
      <c r="V192" s="351"/>
      <c r="W192" s="233">
        <v>2</v>
      </c>
      <c r="X192" s="207" t="s">
        <v>1084</v>
      </c>
      <c r="Y192" s="230" t="str">
        <f t="shared" si="500"/>
        <v>Probabilidad</v>
      </c>
      <c r="Z192" s="185" t="s">
        <v>208</v>
      </c>
      <c r="AA192" s="185" t="s">
        <v>216</v>
      </c>
      <c r="AB192" s="186" t="str">
        <f t="shared" si="537"/>
        <v>40%</v>
      </c>
      <c r="AC192" s="185" t="s">
        <v>219</v>
      </c>
      <c r="AD192" s="185" t="s">
        <v>224</v>
      </c>
      <c r="AE192" s="185" t="s">
        <v>228</v>
      </c>
      <c r="AF192" s="187">
        <f t="shared" ref="AF192" si="545">IFERROR(IF(AND(Y191="Probabilidad",Y192="Probabilidad"),(AH191-(+AH191*AB192)),IF(Y192="Probabilidad",(Q191-(+Q191*AB192)),IF(Y192="Impacto",AH191,""))),"")</f>
        <v>0.28799999999999998</v>
      </c>
      <c r="AG192" s="188" t="str">
        <f t="shared" si="502"/>
        <v>Baja</v>
      </c>
      <c r="AH192" s="186">
        <f t="shared" si="503"/>
        <v>0.28799999999999998</v>
      </c>
      <c r="AI192" s="188" t="str">
        <f t="shared" ca="1" si="504"/>
        <v>Leve</v>
      </c>
      <c r="AJ192" s="186">
        <f t="shared" ref="AJ192" ca="1" si="546">IFERROR(IF(AND(Y191="Impacto",Y192="Impacto"),(AJ191-(+AJ191*AB192)),IF(Y192="Impacto",(U191-(+U191*AB192)),IF(Y192="Probabilidad",AJ191,""))),"")</f>
        <v>0.2</v>
      </c>
      <c r="AK192" s="189" t="str">
        <f t="shared" ca="1" si="506"/>
        <v>Bajo</v>
      </c>
      <c r="AL192" s="185" t="s">
        <v>255</v>
      </c>
      <c r="AM192" s="227"/>
      <c r="AN192" s="230"/>
      <c r="AO192" s="228"/>
      <c r="AP192" s="228"/>
      <c r="AQ192" s="227"/>
      <c r="AR192" s="229"/>
    </row>
    <row r="193" spans="1:44" s="191" customFormat="1" ht="197.25" customHeight="1" thickTop="1" thickBot="1" x14ac:dyDescent="0.3">
      <c r="A193" s="352">
        <v>78</v>
      </c>
      <c r="B193" s="353" t="s">
        <v>948</v>
      </c>
      <c r="C193" s="357" t="s">
        <v>277</v>
      </c>
      <c r="D193" s="357" t="s">
        <v>976</v>
      </c>
      <c r="E193" s="357" t="s">
        <v>240</v>
      </c>
      <c r="F193" s="375" t="s">
        <v>952</v>
      </c>
      <c r="G193" s="375" t="s">
        <v>950</v>
      </c>
      <c r="H193" s="374" t="s">
        <v>1213</v>
      </c>
      <c r="I193" s="362" t="s">
        <v>474</v>
      </c>
      <c r="J193" s="362" t="s">
        <v>474</v>
      </c>
      <c r="K193" s="362" t="s">
        <v>474</v>
      </c>
      <c r="L193" s="362" t="s">
        <v>474</v>
      </c>
      <c r="M193" s="357" t="s">
        <v>466</v>
      </c>
      <c r="N193" s="357"/>
      <c r="O193" s="363">
        <v>52</v>
      </c>
      <c r="P193" s="364" t="str">
        <f t="shared" ref="P193" si="547">IF(O193&lt;=0,"",IF(O193&lt;=2,"Muy Baja",IF(O193&lt;=24,"Baja",IF(O193&lt;=500,"Media",IF(O193&lt;=5000,"Alta","Muy Alta")))))</f>
        <v>Media</v>
      </c>
      <c r="Q193" s="365">
        <f t="shared" ref="Q193" si="548">IF(P193="","",IF(P193="Muy Baja",0.2,IF(P193="Baja",0.4,IF(P193="Media",0.6,IF(P193="Alta",0.8,IF(P193="Muy Alta",1,))))))</f>
        <v>0.6</v>
      </c>
      <c r="R193" s="365" t="s">
        <v>189</v>
      </c>
      <c r="S193" s="365" t="str">
        <f ca="1">IF(NOT(ISERROR(MATCH(R193,'Tabla Impacto'!$B$221:$B$223,0))),'Tabla Impacto'!$F$223&amp;"Por favor no seleccionar los criterios de impacto(Afectación Económica o presupuestal y Pérdida Reputacional)",R193)</f>
        <v xml:space="preserve">Entre 50 y 100 SMLMV </v>
      </c>
      <c r="T193" s="364" t="str">
        <f ca="1">+IF(OR(S193='[1]Tabla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365">
        <f t="shared" ref="U193" ca="1" si="549">IF(T193="","",IF(T193="Leve",0.2,IF(T193="Menor",0.4,IF(T193="Moderado",0.6,IF(T193="Mayor",0.8,IF(T193="Catastrófico",1,))))))</f>
        <v>0.6</v>
      </c>
      <c r="V193" s="351" t="str">
        <f t="shared" ref="V193" ca="1" si="550">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Moderado</v>
      </c>
      <c r="W193" s="233">
        <v>1</v>
      </c>
      <c r="X193" s="207" t="s">
        <v>1049</v>
      </c>
      <c r="Y193" s="230" t="str">
        <f t="shared" si="500"/>
        <v>Probabilidad</v>
      </c>
      <c r="Z193" s="185" t="s">
        <v>208</v>
      </c>
      <c r="AA193" s="185" t="s">
        <v>216</v>
      </c>
      <c r="AB193" s="186" t="str">
        <f t="shared" si="537"/>
        <v>40%</v>
      </c>
      <c r="AC193" s="185" t="s">
        <v>219</v>
      </c>
      <c r="AD193" s="185" t="s">
        <v>224</v>
      </c>
      <c r="AE193" s="185" t="s">
        <v>228</v>
      </c>
      <c r="AF193" s="187">
        <f>IFERROR(IF(Y193="Probabilidad",(Q193-(+Q193*AB193)),IF(Y193="Impacto",Q193,"")),"")</f>
        <v>0.36</v>
      </c>
      <c r="AG193" s="188" t="str">
        <f t="shared" ref="AG193:AG195" si="551">IFERROR(IF(AF193="","",IF(AF193&lt;=0.2,"Muy Baja",IF(AF193&lt;=0.4,"Baja",IF(AF193&lt;=0.6,"Media",IF(AF193&lt;=0.8,"Alta","Muy Alta"))))),"")</f>
        <v>Baja</v>
      </c>
      <c r="AH193" s="186">
        <f t="shared" ref="AH193:AH195" si="552">+AF193</f>
        <v>0.36</v>
      </c>
      <c r="AI193" s="188" t="str">
        <f t="shared" ref="AI193:AI195" ca="1" si="553">IFERROR(IF(AJ193="","",IF(AJ193&lt;=0.2,"Leve",IF(AJ193&lt;=0.4,"Menor",IF(AJ193&lt;=0.6,"Moderado",IF(AJ193&lt;=0.8,"Mayor","Catastrófico"))))),"")</f>
        <v>Moderado</v>
      </c>
      <c r="AJ193" s="186">
        <f t="shared" ref="AJ193" ca="1" si="554">IFERROR(IF(Y193="Impacto",(U193-(+U193*AB193)),IF(Y193="Probabilidad",U193,"")),"")</f>
        <v>0.6</v>
      </c>
      <c r="AK193" s="189" t="str">
        <f t="shared" ref="AK193:AK195" ca="1" si="555">IFERROR(IF(OR(AND(AG193="Muy Baja",AI193="Leve"),AND(AG193="Muy Baja",AI193="Menor"),AND(AG193="Baja",AI193="Leve")),"Bajo",IF(OR(AND(AG193="Muy baja",AI193="Moderado"),AND(AG193="Baja",AI193="Menor"),AND(AG193="Baja",AI193="Moderado"),AND(AG193="Media",AI193="Leve"),AND(AG193="Media",AI193="Menor"),AND(AG193="Media",AI193="Moderado"),AND(AG193="Alta",AI193="Leve"),AND(AG193="Alta",AI193="Menor")),"Moderado",IF(OR(AND(AG193="Muy Baja",AI193="Mayor"),AND(AG193="Baja",AI193="Mayor"),AND(AG193="Media",AI193="Mayor"),AND(AG193="Alta",AI193="Moderado"),AND(AG193="Alta",AI193="Mayor"),AND(AG193="Muy Alta",AI193="Leve"),AND(AG193="Muy Alta",AI193="Menor"),AND(AG193="Muy Alta",AI193="Moderado"),AND(AG193="Muy Alta",AI193="Mayor")),"Alto",IF(OR(AND(AG193="Muy Baja",AI193="Catastrófico"),AND(AG193="Baja",AI193="Catastrófico"),AND(AG193="Media",AI193="Catastrófico"),AND(AG193="Alta",AI193="Catastrófico"),AND(AG193="Muy Alta",AI193="Catastrófico")),"Extremo","")))),"")</f>
        <v>Moderado</v>
      </c>
      <c r="AL193" s="185" t="s">
        <v>255</v>
      </c>
      <c r="AM193" s="227"/>
      <c r="AN193" s="230"/>
      <c r="AO193" s="228"/>
      <c r="AP193" s="228"/>
      <c r="AQ193" s="227"/>
      <c r="AR193" s="229"/>
    </row>
    <row r="194" spans="1:44" s="191" customFormat="1" ht="197.25" customHeight="1" thickTop="1" thickBot="1" x14ac:dyDescent="0.3">
      <c r="A194" s="352"/>
      <c r="B194" s="353"/>
      <c r="C194" s="357"/>
      <c r="D194" s="357"/>
      <c r="E194" s="357"/>
      <c r="F194" s="375"/>
      <c r="G194" s="375"/>
      <c r="H194" s="374"/>
      <c r="I194" s="362"/>
      <c r="J194" s="362"/>
      <c r="K194" s="362"/>
      <c r="L194" s="362"/>
      <c r="M194" s="357"/>
      <c r="N194" s="357"/>
      <c r="O194" s="363"/>
      <c r="P194" s="364"/>
      <c r="Q194" s="365"/>
      <c r="R194" s="365"/>
      <c r="S194" s="365">
        <f ca="1">IF(NOT(ISERROR(MATCH(R194,_xlfn.ANCHORARRAY(H206),0))),Q208&amp;"Por favor no seleccionar los criterios de impacto",R194)</f>
        <v>0</v>
      </c>
      <c r="T194" s="364"/>
      <c r="U194" s="365"/>
      <c r="V194" s="351"/>
      <c r="W194" s="233">
        <v>2</v>
      </c>
      <c r="X194" s="207" t="s">
        <v>1050</v>
      </c>
      <c r="Y194" s="230" t="str">
        <f t="shared" si="500"/>
        <v>Probabilidad</v>
      </c>
      <c r="Z194" s="185" t="s">
        <v>208</v>
      </c>
      <c r="AA194" s="185" t="s">
        <v>216</v>
      </c>
      <c r="AB194" s="186" t="str">
        <f t="shared" si="537"/>
        <v>40%</v>
      </c>
      <c r="AC194" s="185" t="s">
        <v>219</v>
      </c>
      <c r="AD194" s="185" t="s">
        <v>224</v>
      </c>
      <c r="AE194" s="185" t="s">
        <v>228</v>
      </c>
      <c r="AF194" s="187">
        <f t="shared" ref="AF194" si="556">IFERROR(IF(AND(Y193="Probabilidad",Y194="Probabilidad"),(AH193-(+AH193*AB194)),IF(Y194="Probabilidad",(Q193-(+Q193*AB194)),IF(Y194="Impacto",AH193,""))),"")</f>
        <v>0.216</v>
      </c>
      <c r="AG194" s="188" t="str">
        <f t="shared" si="551"/>
        <v>Baja</v>
      </c>
      <c r="AH194" s="186">
        <f t="shared" si="552"/>
        <v>0.216</v>
      </c>
      <c r="AI194" s="188" t="str">
        <f t="shared" ca="1" si="553"/>
        <v>Moderado</v>
      </c>
      <c r="AJ194" s="186">
        <f t="shared" ref="AJ194" ca="1" si="557">IFERROR(IF(AND(Y193="Impacto",Y194="Impacto"),(AJ193-(+AJ193*AB194)),IF(Y194="Impacto",(U193-(+U193*AB194)),IF(Y194="Probabilidad",AJ193,""))),"")</f>
        <v>0.6</v>
      </c>
      <c r="AK194" s="189" t="str">
        <f t="shared" ca="1" si="555"/>
        <v>Moderado</v>
      </c>
      <c r="AL194" s="185" t="s">
        <v>255</v>
      </c>
      <c r="AM194" s="227"/>
      <c r="AN194" s="230"/>
      <c r="AO194" s="228"/>
      <c r="AP194" s="228"/>
      <c r="AQ194" s="227"/>
      <c r="AR194" s="229"/>
    </row>
    <row r="195" spans="1:44" s="191" customFormat="1" ht="197.25" customHeight="1" thickTop="1" thickBot="1" x14ac:dyDescent="0.3">
      <c r="A195" s="352"/>
      <c r="B195" s="353"/>
      <c r="C195" s="357"/>
      <c r="D195" s="357"/>
      <c r="E195" s="357"/>
      <c r="F195" s="375"/>
      <c r="G195" s="375"/>
      <c r="H195" s="374"/>
      <c r="I195" s="362"/>
      <c r="J195" s="362"/>
      <c r="K195" s="362"/>
      <c r="L195" s="362"/>
      <c r="M195" s="357"/>
      <c r="N195" s="357"/>
      <c r="O195" s="363"/>
      <c r="P195" s="364"/>
      <c r="Q195" s="365"/>
      <c r="R195" s="365"/>
      <c r="S195" s="365">
        <f ca="1">IF(NOT(ISERROR(MATCH(R195,_xlfn.ANCHORARRAY(H207),0))),Q209&amp;"Por favor no seleccionar los criterios de impacto",R195)</f>
        <v>0</v>
      </c>
      <c r="T195" s="364"/>
      <c r="U195" s="365"/>
      <c r="V195" s="351"/>
      <c r="W195" s="233">
        <v>3</v>
      </c>
      <c r="X195" s="207" t="s">
        <v>1051</v>
      </c>
      <c r="Y195" s="230" t="str">
        <f t="shared" si="500"/>
        <v>Probabilidad</v>
      </c>
      <c r="Z195" s="185" t="s">
        <v>208</v>
      </c>
      <c r="AA195" s="185" t="s">
        <v>216</v>
      </c>
      <c r="AB195" s="186" t="str">
        <f t="shared" si="537"/>
        <v>40%</v>
      </c>
      <c r="AC195" s="185" t="s">
        <v>219</v>
      </c>
      <c r="AD195" s="185" t="s">
        <v>224</v>
      </c>
      <c r="AE195" s="185" t="s">
        <v>228</v>
      </c>
      <c r="AF195" s="187">
        <f>IFERROR(IF(AND(Y194="Probabilidad",Y195="Probabilidad"),(AH194-(+AH194*AB195)),IF(Y195="Probabilidad",(Q193-(+Q193*AB195)),IF(Y195="Impacto",AH194,""))),"")</f>
        <v>0.12959999999999999</v>
      </c>
      <c r="AG195" s="188" t="str">
        <f t="shared" si="551"/>
        <v>Muy Baja</v>
      </c>
      <c r="AH195" s="186">
        <f t="shared" si="552"/>
        <v>0.12959999999999999</v>
      </c>
      <c r="AI195" s="188" t="str">
        <f t="shared" ca="1" si="553"/>
        <v>Moderado</v>
      </c>
      <c r="AJ195" s="186">
        <f t="shared" ref="AJ195" ca="1" si="558">IFERROR(IF(AND(Y194="Impacto",Y195="Impacto"),(AJ194-(+AJ194*AB195)),IF(AND(Y194="Probabilidad",Y195="Impacto"),(AJ193-(+AJ193*AB195)),IF(Y195="Probabilidad",AJ194,""))),"")</f>
        <v>0.6</v>
      </c>
      <c r="AK195" s="189" t="str">
        <f t="shared" ca="1" si="555"/>
        <v>Moderado</v>
      </c>
      <c r="AL195" s="185" t="s">
        <v>255</v>
      </c>
      <c r="AM195" s="227"/>
      <c r="AN195" s="230"/>
      <c r="AO195" s="228"/>
      <c r="AP195" s="228"/>
      <c r="AQ195" s="227"/>
      <c r="AR195" s="229"/>
    </row>
    <row r="196" spans="1:44" s="191" customFormat="1" ht="178.5" customHeight="1" thickTop="1" thickBot="1" x14ac:dyDescent="0.3">
      <c r="A196" s="352">
        <v>79</v>
      </c>
      <c r="B196" s="353" t="s">
        <v>949</v>
      </c>
      <c r="C196" s="357" t="s">
        <v>277</v>
      </c>
      <c r="D196" s="357" t="s">
        <v>951</v>
      </c>
      <c r="E196" s="357" t="s">
        <v>240</v>
      </c>
      <c r="F196" s="375" t="s">
        <v>952</v>
      </c>
      <c r="G196" s="375" t="s">
        <v>1093</v>
      </c>
      <c r="H196" s="374" t="s">
        <v>983</v>
      </c>
      <c r="I196" s="362" t="s">
        <v>474</v>
      </c>
      <c r="J196" s="362" t="s">
        <v>474</v>
      </c>
      <c r="K196" s="362" t="s">
        <v>474</v>
      </c>
      <c r="L196" s="362" t="s">
        <v>474</v>
      </c>
      <c r="M196" s="357" t="s">
        <v>466</v>
      </c>
      <c r="N196" s="357"/>
      <c r="O196" s="363">
        <v>365</v>
      </c>
      <c r="P196" s="364" t="str">
        <f t="shared" ref="P196" si="559">IF(O196&lt;=0,"",IF(O196&lt;=2,"Muy Baja",IF(O196&lt;=24,"Baja",IF(O196&lt;=500,"Media",IF(O196&lt;=5000,"Alta","Muy Alta")))))</f>
        <v>Media</v>
      </c>
      <c r="Q196" s="365">
        <f t="shared" ref="Q196" si="560">IF(P196="","",IF(P196="Muy Baja",0.2,IF(P196="Baja",0.4,IF(P196="Media",0.6,IF(P196="Alta",0.8,IF(P196="Muy Alta",1,))))))</f>
        <v>0.6</v>
      </c>
      <c r="R196" s="365" t="s">
        <v>189</v>
      </c>
      <c r="S196" s="365" t="str">
        <f ca="1">IF(NOT(ISERROR(MATCH(R196,'Tabla Impacto'!$B$221:$B$223,0))),'Tabla Impacto'!$F$223&amp;"Por favor no seleccionar los criterios de impacto(Afectación Económica o presupuestal y Pérdida Reputacional)",R196)</f>
        <v xml:space="preserve">Entre 50 y 100 SMLMV </v>
      </c>
      <c r="T196" s="364" t="str">
        <f ca="1">+IF(OR(S196='[1]Tabla Impacto'!$C$11,S196='[1]Tabla Impacto'!$D$11),"Leve",IF(OR(S196='[1]Tabla Impacto'!$C$12,S196='[1]Tabla Impacto'!$D$12),"Menor",IF(OR(S196='[1]Tabla Impacto'!$C$13,S196='[1]Tabla Impacto'!$D$13),"Moderado",IF(OR(S196='[1]Tabla Impacto'!$C$14,S196='[1]Tabla Impacto'!$D$14),"Mayor",IF(OR(S196='[1]Tabla Impacto'!$C$15,S196='[1]Tabla Impacto'!$D$15),"Catastrófico","")))))</f>
        <v>Moderado</v>
      </c>
      <c r="U196" s="365">
        <f t="shared" ref="U196" ca="1" si="561">IF(T196="","",IF(T196="Leve",0.2,IF(T196="Menor",0.4,IF(T196="Moderado",0.6,IF(T196="Mayor",0.8,IF(T196="Catastrófico",1,))))))</f>
        <v>0.6</v>
      </c>
      <c r="V196" s="351" t="str">
        <f t="shared" ref="V196" ca="1" si="562">IF(OR(AND(P196="Muy Baja",T196="Leve"),AND(P196="Muy Baja",T196="Menor"),AND(P196="Baja",T196="Leve")),"Bajo",IF(OR(AND(P196="Muy baja",T196="Moderado"),AND(P196="Baja",T196="Menor"),AND(P196="Baja",T196="Moderado"),AND(P196="Media",T196="Leve"),AND(P196="Media",T196="Menor"),AND(P196="Media",T196="Moderado"),AND(P196="Alta",T196="Leve"),AND(P196="Alta",T196="Menor")),"Moderado",IF(OR(AND(P196="Muy Baja",T196="Mayor"),AND(P196="Baja",T196="Mayor"),AND(P196="Media",T196="Mayor"),AND(P196="Alta",T196="Moderado"),AND(P196="Alta",T196="Mayor"),AND(P196="Muy Alta",T196="Leve"),AND(P196="Muy Alta",T196="Menor"),AND(P196="Muy Alta",T196="Moderado"),AND(P196="Muy Alta",T196="Mayor")),"Alto",IF(OR(AND(P196="Muy Baja",T196="Catastrófico"),AND(P196="Baja",T196="Catastrófico"),AND(P196="Media",T196="Catastrófico"),AND(P196="Alta",T196="Catastrófico"),AND(P196="Muy Alta",T196="Catastrófico")),"Extremo",""))))</f>
        <v>Moderado</v>
      </c>
      <c r="W196" s="233">
        <v>1</v>
      </c>
      <c r="X196" s="207" t="s">
        <v>1052</v>
      </c>
      <c r="Y196" s="230" t="str">
        <f t="shared" si="500"/>
        <v>Probabilidad</v>
      </c>
      <c r="Z196" s="185" t="s">
        <v>208</v>
      </c>
      <c r="AA196" s="185" t="s">
        <v>216</v>
      </c>
      <c r="AB196" s="186" t="str">
        <f t="shared" si="537"/>
        <v>40%</v>
      </c>
      <c r="AC196" s="185" t="s">
        <v>219</v>
      </c>
      <c r="AD196" s="185" t="s">
        <v>224</v>
      </c>
      <c r="AE196" s="185" t="s">
        <v>228</v>
      </c>
      <c r="AF196" s="187">
        <f>IFERROR(IF(Y196="Probabilidad",(Q196-(+Q196*AB196)),IF(Y196="Impacto",Q196,"")),"")</f>
        <v>0.36</v>
      </c>
      <c r="AG196" s="188" t="str">
        <f t="shared" ref="AG196:AG198" si="563">IFERROR(IF(AF196="","",IF(AF196&lt;=0.2,"Muy Baja",IF(AF196&lt;=0.4,"Baja",IF(AF196&lt;=0.6,"Media",IF(AF196&lt;=0.8,"Alta","Muy Alta"))))),"")</f>
        <v>Baja</v>
      </c>
      <c r="AH196" s="186">
        <f t="shared" ref="AH196:AH198" si="564">+AF196</f>
        <v>0.36</v>
      </c>
      <c r="AI196" s="188" t="str">
        <f t="shared" ref="AI196:AI198" ca="1" si="565">IFERROR(IF(AJ196="","",IF(AJ196&lt;=0.2,"Leve",IF(AJ196&lt;=0.4,"Menor",IF(AJ196&lt;=0.6,"Moderado",IF(AJ196&lt;=0.8,"Mayor","Catastrófico"))))),"")</f>
        <v>Moderado</v>
      </c>
      <c r="AJ196" s="186">
        <f t="shared" ref="AJ196" ca="1" si="566">IFERROR(IF(Y196="Impacto",(U196-(+U196*AB196)),IF(Y196="Probabilidad",U196,"")),"")</f>
        <v>0.6</v>
      </c>
      <c r="AK196" s="189" t="str">
        <f t="shared" ref="AK196:AK198" ca="1" si="567">IFERROR(IF(OR(AND(AG196="Muy Baja",AI196="Leve"),AND(AG196="Muy Baja",AI196="Menor"),AND(AG196="Baja",AI196="Leve")),"Bajo",IF(OR(AND(AG196="Muy baja",AI196="Moderado"),AND(AG196="Baja",AI196="Menor"),AND(AG196="Baja",AI196="Moderado"),AND(AG196="Media",AI196="Leve"),AND(AG196="Media",AI196="Menor"),AND(AG196="Media",AI196="Moderado"),AND(AG196="Alta",AI196="Leve"),AND(AG196="Alta",AI196="Menor")),"Moderado",IF(OR(AND(AG196="Muy Baja",AI196="Mayor"),AND(AG196="Baja",AI196="Mayor"),AND(AG196="Media",AI196="Mayor"),AND(AG196="Alta",AI196="Moderado"),AND(AG196="Alta",AI196="Mayor"),AND(AG196="Muy Alta",AI196="Leve"),AND(AG196="Muy Alta",AI196="Menor"),AND(AG196="Muy Alta",AI196="Moderado"),AND(AG196="Muy Alta",AI196="Mayor")),"Alto",IF(OR(AND(AG196="Muy Baja",AI196="Catastrófico"),AND(AG196="Baja",AI196="Catastrófico"),AND(AG196="Media",AI196="Catastrófico"),AND(AG196="Alta",AI196="Catastrófico"),AND(AG196="Muy Alta",AI196="Catastrófico")),"Extremo","")))),"")</f>
        <v>Moderado</v>
      </c>
      <c r="AL196" s="185" t="s">
        <v>255</v>
      </c>
      <c r="AM196" s="227"/>
      <c r="AN196" s="230"/>
      <c r="AO196" s="228"/>
      <c r="AP196" s="228"/>
      <c r="AQ196" s="227"/>
      <c r="AR196" s="229"/>
    </row>
    <row r="197" spans="1:44" s="191" customFormat="1" ht="220.5" customHeight="1" thickTop="1" thickBot="1" x14ac:dyDescent="0.3">
      <c r="A197" s="352"/>
      <c r="B197" s="353"/>
      <c r="C197" s="357"/>
      <c r="D197" s="357"/>
      <c r="E197" s="357"/>
      <c r="F197" s="375"/>
      <c r="G197" s="375"/>
      <c r="H197" s="374"/>
      <c r="I197" s="362"/>
      <c r="J197" s="362"/>
      <c r="K197" s="362"/>
      <c r="L197" s="362"/>
      <c r="M197" s="357"/>
      <c r="N197" s="357"/>
      <c r="O197" s="363"/>
      <c r="P197" s="364"/>
      <c r="Q197" s="365"/>
      <c r="R197" s="365"/>
      <c r="S197" s="365">
        <f ca="1">IF(NOT(ISERROR(MATCH(R197,_xlfn.ANCHORARRAY(H210),0))),Q212&amp;"Por favor no seleccionar los criterios de impacto",R197)</f>
        <v>0</v>
      </c>
      <c r="T197" s="364"/>
      <c r="U197" s="365"/>
      <c r="V197" s="351"/>
      <c r="W197" s="233">
        <v>2</v>
      </c>
      <c r="X197" s="207" t="s">
        <v>1053</v>
      </c>
      <c r="Y197" s="230" t="str">
        <f t="shared" si="500"/>
        <v>Probabilidad</v>
      </c>
      <c r="Z197" s="185" t="s">
        <v>208</v>
      </c>
      <c r="AA197" s="185" t="s">
        <v>216</v>
      </c>
      <c r="AB197" s="186" t="str">
        <f t="shared" si="537"/>
        <v>40%</v>
      </c>
      <c r="AC197" s="185" t="s">
        <v>219</v>
      </c>
      <c r="AD197" s="185" t="s">
        <v>224</v>
      </c>
      <c r="AE197" s="185" t="s">
        <v>228</v>
      </c>
      <c r="AF197" s="187">
        <f>IFERROR(IF(AND(Y196="Probabilidad",Y197="Probabilidad"),(AH196-(+AH196*AB197)),IF(Y197="Probabilidad",(Q196-(+Q196*AB197)),IF(Y197="Impacto",AH196,""))),"")</f>
        <v>0.216</v>
      </c>
      <c r="AG197" s="188" t="str">
        <f t="shared" si="563"/>
        <v>Baja</v>
      </c>
      <c r="AH197" s="186">
        <f t="shared" si="564"/>
        <v>0.216</v>
      </c>
      <c r="AI197" s="188" t="str">
        <f t="shared" ca="1" si="565"/>
        <v>Moderado</v>
      </c>
      <c r="AJ197" s="186">
        <f t="shared" ref="AJ197" ca="1" si="568">IFERROR(IF(AND(Y196="Impacto",Y197="Impacto"),(AJ196-(+AJ196*AB197)),IF(Y197="Impacto",(U196-(+U196*AB197)),IF(Y197="Probabilidad",AJ196,""))),"")</f>
        <v>0.6</v>
      </c>
      <c r="AK197" s="189" t="str">
        <f t="shared" ca="1" si="567"/>
        <v>Moderado</v>
      </c>
      <c r="AL197" s="185" t="s">
        <v>255</v>
      </c>
      <c r="AM197" s="227"/>
      <c r="AN197" s="230"/>
      <c r="AO197" s="228"/>
      <c r="AP197" s="228"/>
      <c r="AQ197" s="227"/>
      <c r="AR197" s="229"/>
    </row>
    <row r="198" spans="1:44" s="191" customFormat="1" ht="148.5" customHeight="1" thickTop="1" thickBot="1" x14ac:dyDescent="0.3">
      <c r="A198" s="352"/>
      <c r="B198" s="353"/>
      <c r="C198" s="357"/>
      <c r="D198" s="357"/>
      <c r="E198" s="357"/>
      <c r="F198" s="375"/>
      <c r="G198" s="375"/>
      <c r="H198" s="374"/>
      <c r="I198" s="362"/>
      <c r="J198" s="362"/>
      <c r="K198" s="362"/>
      <c r="L198" s="362"/>
      <c r="M198" s="357"/>
      <c r="N198" s="357"/>
      <c r="O198" s="363"/>
      <c r="P198" s="364"/>
      <c r="Q198" s="365"/>
      <c r="R198" s="365"/>
      <c r="S198" s="365">
        <f ca="1">IF(NOT(ISERROR(MATCH(R198,_xlfn.ANCHORARRAY(H211),0))),Q213&amp;"Por favor no seleccionar los criterios de impacto",R198)</f>
        <v>0</v>
      </c>
      <c r="T198" s="364"/>
      <c r="U198" s="365"/>
      <c r="V198" s="351"/>
      <c r="W198" s="233">
        <v>3</v>
      </c>
      <c r="X198" s="207" t="s">
        <v>1054</v>
      </c>
      <c r="Y198" s="230" t="str">
        <f t="shared" si="500"/>
        <v>Probabilidad</v>
      </c>
      <c r="Z198" s="185" t="s">
        <v>208</v>
      </c>
      <c r="AA198" s="185" t="s">
        <v>216</v>
      </c>
      <c r="AB198" s="186" t="str">
        <f t="shared" si="537"/>
        <v>40%</v>
      </c>
      <c r="AC198" s="185" t="s">
        <v>219</v>
      </c>
      <c r="AD198" s="185" t="s">
        <v>224</v>
      </c>
      <c r="AE198" s="185" t="s">
        <v>228</v>
      </c>
      <c r="AF198" s="187">
        <f>IFERROR(IF(AND(Y197="Probabilidad",Y198="Probabilidad"),(AH197-(+AH197*AB198)),IF(Y198="Probabilidad",(Q196-(+Q196*AB198)),IF(Y198="Impacto",AH197,""))),"")</f>
        <v>0.12959999999999999</v>
      </c>
      <c r="AG198" s="188" t="str">
        <f t="shared" si="563"/>
        <v>Muy Baja</v>
      </c>
      <c r="AH198" s="186">
        <f t="shared" si="564"/>
        <v>0.12959999999999999</v>
      </c>
      <c r="AI198" s="188" t="str">
        <f t="shared" ca="1" si="565"/>
        <v>Moderado</v>
      </c>
      <c r="AJ198" s="186">
        <f t="shared" ref="AJ198" ca="1" si="569">IFERROR(IF(AND(Y197="Impacto",Y198="Impacto"),(AJ197-(+AJ197*AB198)),IF(AND(Y197="Probabilidad",Y198="Impacto"),(AJ196-(+AJ196*AB198)),IF(Y198="Probabilidad",AJ197,""))),"")</f>
        <v>0.6</v>
      </c>
      <c r="AK198" s="189" t="str">
        <f t="shared" ca="1" si="567"/>
        <v>Moderado</v>
      </c>
      <c r="AL198" s="185" t="s">
        <v>255</v>
      </c>
      <c r="AM198" s="227"/>
      <c r="AN198" s="230"/>
      <c r="AO198" s="228"/>
      <c r="AP198" s="228"/>
      <c r="AQ198" s="227"/>
      <c r="AR198" s="229"/>
    </row>
    <row r="199" spans="1:44" s="191" customFormat="1" ht="204" customHeight="1" thickTop="1" thickBot="1" x14ac:dyDescent="0.3">
      <c r="A199" s="352">
        <v>80</v>
      </c>
      <c r="B199" s="353" t="s">
        <v>835</v>
      </c>
      <c r="C199" s="357" t="s">
        <v>278</v>
      </c>
      <c r="D199" s="359" t="s">
        <v>836</v>
      </c>
      <c r="E199" s="357" t="s">
        <v>240</v>
      </c>
      <c r="F199" s="375" t="s">
        <v>837</v>
      </c>
      <c r="G199" s="375" t="s">
        <v>838</v>
      </c>
      <c r="H199" s="374" t="s">
        <v>1164</v>
      </c>
      <c r="I199" s="362" t="s">
        <v>474</v>
      </c>
      <c r="J199" s="362" t="s">
        <v>474</v>
      </c>
      <c r="K199" s="362" t="s">
        <v>474</v>
      </c>
      <c r="L199" s="362" t="s">
        <v>474</v>
      </c>
      <c r="M199" s="357" t="s">
        <v>469</v>
      </c>
      <c r="N199" s="357"/>
      <c r="O199" s="363">
        <v>1</v>
      </c>
      <c r="P199" s="364" t="str">
        <f t="shared" ref="P199:P230" si="570">IF(O199&lt;=0,"",IF(O199&lt;=2,"Muy Baja",IF(O199&lt;=24,"Baja",IF(O199&lt;=500,"Media",IF(O199&lt;=5000,"Alta","Muy Alta")))))</f>
        <v>Muy Baja</v>
      </c>
      <c r="Q199" s="365">
        <f t="shared" ref="Q199:Q230" si="571">IF(P199="","",IF(P199="Muy Baja",0.2,IF(P199="Baja",0.4,IF(P199="Media",0.6,IF(P199="Alta",0.8,IF(P199="Muy Alta",1,))))))</f>
        <v>0.2</v>
      </c>
      <c r="R199" s="365" t="s">
        <v>192</v>
      </c>
      <c r="S199" s="365" t="str">
        <f ca="1">IF(NOT(ISERROR(MATCH(R199,'Tabla Impacto'!$B$221:$B$223,0))),'Tabla Impacto'!$F$223&amp;"Por favor no seleccionar los criterios de impacto(Afectación Económica o presupuestal y Pérdida Reputacional)",R199)</f>
        <v xml:space="preserve">Entre 100 y 500 SMLMV </v>
      </c>
      <c r="T199" s="364"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Mayor</v>
      </c>
      <c r="U199" s="365">
        <f t="shared" ref="U199" ca="1" si="572">IF(T199="","",IF(T199="Leve",0.2,IF(T199="Menor",0.4,IF(T199="Moderado",0.6,IF(T199="Mayor",0.8,IF(T199="Catastrófico",1,))))))</f>
        <v>0.8</v>
      </c>
      <c r="V199" s="351" t="str">
        <f t="shared" ref="V199" ca="1" si="573">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Alto</v>
      </c>
      <c r="W199" s="233">
        <v>1</v>
      </c>
      <c r="X199" s="207" t="s">
        <v>1055</v>
      </c>
      <c r="Y199" s="230" t="str">
        <f t="shared" si="500"/>
        <v>Probabilidad</v>
      </c>
      <c r="Z199" s="185" t="s">
        <v>208</v>
      </c>
      <c r="AA199" s="185" t="s">
        <v>216</v>
      </c>
      <c r="AB199" s="186" t="str">
        <f t="shared" si="537"/>
        <v>40%</v>
      </c>
      <c r="AC199" s="185" t="s">
        <v>219</v>
      </c>
      <c r="AD199" s="185" t="s">
        <v>224</v>
      </c>
      <c r="AE199" s="185" t="s">
        <v>228</v>
      </c>
      <c r="AF199" s="187">
        <f t="shared" ref="AF199" si="574">IFERROR(IF(Y199="Probabilidad",(Q199-(+Q199*AB199)),IF(Y199="Impacto",Q199,"")),"")</f>
        <v>0.12</v>
      </c>
      <c r="AG199" s="188" t="str">
        <f t="shared" si="502"/>
        <v>Muy Baja</v>
      </c>
      <c r="AH199" s="186">
        <f t="shared" si="503"/>
        <v>0.12</v>
      </c>
      <c r="AI199" s="188" t="str">
        <f t="shared" ca="1" si="504"/>
        <v>Mayor</v>
      </c>
      <c r="AJ199" s="186">
        <f t="shared" ref="AJ199" ca="1" si="575">IFERROR(IF(Y199="Impacto",(U199-(+U199*AB199)),IF(Y199="Probabilidad",U199,"")),"")</f>
        <v>0.8</v>
      </c>
      <c r="AK199" s="189" t="str">
        <f t="shared" ca="1" si="506"/>
        <v>Alto</v>
      </c>
      <c r="AL199" s="185" t="s">
        <v>262</v>
      </c>
      <c r="AM199" s="357" t="s">
        <v>840</v>
      </c>
      <c r="AN199" s="363" t="s">
        <v>841</v>
      </c>
      <c r="AO199" s="377">
        <v>45777</v>
      </c>
      <c r="AP199" s="377" t="s">
        <v>535</v>
      </c>
      <c r="AQ199" s="357" t="s">
        <v>842</v>
      </c>
      <c r="AR199" s="378" t="s">
        <v>259</v>
      </c>
    </row>
    <row r="200" spans="1:44" s="191" customFormat="1" ht="165" customHeight="1" thickTop="1" thickBot="1" x14ac:dyDescent="0.3">
      <c r="A200" s="352"/>
      <c r="B200" s="353"/>
      <c r="C200" s="357"/>
      <c r="D200" s="359"/>
      <c r="E200" s="357"/>
      <c r="F200" s="375"/>
      <c r="G200" s="375"/>
      <c r="H200" s="374"/>
      <c r="I200" s="362"/>
      <c r="J200" s="362"/>
      <c r="K200" s="362"/>
      <c r="L200" s="362"/>
      <c r="M200" s="357"/>
      <c r="N200" s="357"/>
      <c r="O200" s="363"/>
      <c r="P200" s="364"/>
      <c r="Q200" s="365"/>
      <c r="R200" s="365"/>
      <c r="S200" s="365">
        <f ca="1">IF(NOT(ISERROR(MATCH(R200,_xlfn.ANCHORARRAY(H206),0))),Q208&amp;"Por favor no seleccionar los criterios de impacto",R200)</f>
        <v>0</v>
      </c>
      <c r="T200" s="364"/>
      <c r="U200" s="365"/>
      <c r="V200" s="351"/>
      <c r="W200" s="233">
        <v>2</v>
      </c>
      <c r="X200" s="207" t="s">
        <v>1056</v>
      </c>
      <c r="Y200" s="230" t="str">
        <f t="shared" si="500"/>
        <v>Probabilidad</v>
      </c>
      <c r="Z200" s="185" t="s">
        <v>208</v>
      </c>
      <c r="AA200" s="185" t="s">
        <v>216</v>
      </c>
      <c r="AB200" s="186" t="str">
        <f t="shared" si="537"/>
        <v>40%</v>
      </c>
      <c r="AC200" s="185" t="s">
        <v>219</v>
      </c>
      <c r="AD200" s="185" t="s">
        <v>224</v>
      </c>
      <c r="AE200" s="185" t="s">
        <v>228</v>
      </c>
      <c r="AF200" s="187">
        <f t="shared" ref="AF200:AF201" si="576">IFERROR(IF(AND(Y199="Probabilidad",Y200="Probabilidad"),(AH199-(+AH199*AB200)),IF(Y200="Probabilidad",(Q199-(+Q199*AB200)),IF(Y200="Impacto",AH199,""))),"")</f>
        <v>7.1999999999999995E-2</v>
      </c>
      <c r="AG200" s="188" t="str">
        <f t="shared" si="502"/>
        <v>Muy Baja</v>
      </c>
      <c r="AH200" s="186">
        <f t="shared" si="503"/>
        <v>7.1999999999999995E-2</v>
      </c>
      <c r="AI200" s="188" t="str">
        <f t="shared" ca="1" si="504"/>
        <v>Mayor</v>
      </c>
      <c r="AJ200" s="186">
        <f t="shared" ref="AJ200" ca="1" si="577">IFERROR(IF(AND(Y199="Impacto",Y200="Impacto"),(AJ199-(+AJ199*AB200)),IF(Y200="Impacto",(U199-(+U199*AB200)),IF(Y200="Probabilidad",AJ199,""))),"")</f>
        <v>0.8</v>
      </c>
      <c r="AK200" s="189" t="str">
        <f t="shared" ca="1" si="506"/>
        <v>Alto</v>
      </c>
      <c r="AL200" s="185" t="s">
        <v>262</v>
      </c>
      <c r="AM200" s="357"/>
      <c r="AN200" s="363"/>
      <c r="AO200" s="377"/>
      <c r="AP200" s="377"/>
      <c r="AQ200" s="357"/>
      <c r="AR200" s="378"/>
    </row>
    <row r="201" spans="1:44" s="191" customFormat="1" ht="159" customHeight="1" thickTop="1" thickBot="1" x14ac:dyDescent="0.3">
      <c r="A201" s="352"/>
      <c r="B201" s="353"/>
      <c r="C201" s="357"/>
      <c r="D201" s="359"/>
      <c r="E201" s="357"/>
      <c r="F201" s="375"/>
      <c r="G201" s="375"/>
      <c r="H201" s="374"/>
      <c r="I201" s="362"/>
      <c r="J201" s="362"/>
      <c r="K201" s="362"/>
      <c r="L201" s="362"/>
      <c r="M201" s="357"/>
      <c r="N201" s="357"/>
      <c r="O201" s="363"/>
      <c r="P201" s="364"/>
      <c r="Q201" s="365"/>
      <c r="R201" s="365"/>
      <c r="S201" s="365">
        <f ca="1">IF(NOT(ISERROR(MATCH(R201,_xlfn.ANCHORARRAY(H207),0))),Q209&amp;"Por favor no seleccionar los criterios de impacto",R201)</f>
        <v>0</v>
      </c>
      <c r="T201" s="364"/>
      <c r="U201" s="365"/>
      <c r="V201" s="351"/>
      <c r="W201" s="233">
        <v>3</v>
      </c>
      <c r="X201" s="207" t="s">
        <v>839</v>
      </c>
      <c r="Y201" s="230" t="str">
        <f t="shared" si="500"/>
        <v>Probabilidad</v>
      </c>
      <c r="Z201" s="185" t="s">
        <v>208</v>
      </c>
      <c r="AA201" s="185" t="s">
        <v>216</v>
      </c>
      <c r="AB201" s="186" t="str">
        <f t="shared" si="537"/>
        <v>40%</v>
      </c>
      <c r="AC201" s="185" t="s">
        <v>219</v>
      </c>
      <c r="AD201" s="185" t="s">
        <v>224</v>
      </c>
      <c r="AE201" s="185" t="s">
        <v>228</v>
      </c>
      <c r="AF201" s="187">
        <f t="shared" si="576"/>
        <v>4.3199999999999995E-2</v>
      </c>
      <c r="AG201" s="188" t="str">
        <f t="shared" si="502"/>
        <v>Muy Baja</v>
      </c>
      <c r="AH201" s="186">
        <f t="shared" si="503"/>
        <v>4.3199999999999995E-2</v>
      </c>
      <c r="AI201" s="188" t="str">
        <f t="shared" ca="1" si="504"/>
        <v>Mayor</v>
      </c>
      <c r="AJ201" s="186">
        <f t="shared" ref="AJ201" ca="1" si="578">IFERROR(IF(AND(Y200="Impacto",Y201="Impacto"),(AJ200-(+AJ200*AB201)),IF(AND(Y200="Probabilidad",Y201="Impacto"),(AJ199-(+AJ199*AB201)),IF(Y201="Probabilidad",AJ200,""))),"")</f>
        <v>0.8</v>
      </c>
      <c r="AK201" s="189" t="str">
        <f t="shared" ca="1" si="506"/>
        <v>Alto</v>
      </c>
      <c r="AL201" s="185" t="s">
        <v>262</v>
      </c>
      <c r="AM201" s="357"/>
      <c r="AN201" s="363"/>
      <c r="AO201" s="377"/>
      <c r="AP201" s="377"/>
      <c r="AQ201" s="357"/>
      <c r="AR201" s="378"/>
    </row>
    <row r="202" spans="1:44" s="191" customFormat="1" ht="111.75" customHeight="1" thickTop="1" thickBot="1" x14ac:dyDescent="0.3">
      <c r="A202" s="352">
        <v>81</v>
      </c>
      <c r="B202" s="353" t="s">
        <v>843</v>
      </c>
      <c r="C202" s="357" t="s">
        <v>278</v>
      </c>
      <c r="D202" s="359" t="s">
        <v>844</v>
      </c>
      <c r="E202" s="357" t="s">
        <v>240</v>
      </c>
      <c r="F202" s="375" t="s">
        <v>845</v>
      </c>
      <c r="G202" s="375" t="s">
        <v>846</v>
      </c>
      <c r="H202" s="374" t="s">
        <v>1165</v>
      </c>
      <c r="I202" s="362" t="s">
        <v>474</v>
      </c>
      <c r="J202" s="362" t="s">
        <v>474</v>
      </c>
      <c r="K202" s="362" t="s">
        <v>474</v>
      </c>
      <c r="L202" s="362" t="s">
        <v>474</v>
      </c>
      <c r="M202" s="357" t="s">
        <v>239</v>
      </c>
      <c r="N202" s="357"/>
      <c r="O202" s="363">
        <v>365</v>
      </c>
      <c r="P202" s="364" t="str">
        <f t="shared" si="570"/>
        <v>Media</v>
      </c>
      <c r="Q202" s="365">
        <f t="shared" si="571"/>
        <v>0.6</v>
      </c>
      <c r="R202" s="365" t="s">
        <v>189</v>
      </c>
      <c r="S202" s="365" t="str">
        <f ca="1">IF(NOT(ISERROR(MATCH(R202,'Tabla Impacto'!$B$221:$B$223,0))),'Tabla Impacto'!$F$223&amp;"Por favor no seleccionar los criterios de impacto(Afectación Económica o presupuestal y Pérdida Reputacional)",R202)</f>
        <v xml:space="preserve">Entre 50 y 100 SMLMV </v>
      </c>
      <c r="T202" s="364" t="str">
        <f ca="1">+IF(OR(S202='[1]Tabla Impacto'!$C$11,S202='[1]Tabla Impacto'!$D$11),"Leve",IF(OR(S202='[1]Tabla Impacto'!$C$12,S202='[1]Tabla Impacto'!$D$12),"Menor",IF(OR(S202='[1]Tabla Impacto'!$C$13,S202='[1]Tabla Impacto'!$D$13),"Moderado",IF(OR(S202='[1]Tabla Impacto'!$C$14,S202='[1]Tabla Impacto'!$D$14),"Mayor",IF(OR(S202='[1]Tabla Impacto'!$C$15,S202='[1]Tabla Impacto'!$D$15),"Catastrófico","")))))</f>
        <v>Moderado</v>
      </c>
      <c r="U202" s="365">
        <f t="shared" ref="U202" ca="1" si="579">IF(T202="","",IF(T202="Leve",0.2,IF(T202="Menor",0.4,IF(T202="Moderado",0.6,IF(T202="Mayor",0.8,IF(T202="Catastrófico",1,))))))</f>
        <v>0.6</v>
      </c>
      <c r="V202" s="351" t="str">
        <f t="shared" ref="V202" ca="1" si="580">IF(OR(AND(P202="Muy Baja",T202="Leve"),AND(P202="Muy Baja",T202="Menor"),AND(P202="Baja",T202="Leve")),"Bajo",IF(OR(AND(P202="Muy baja",T202="Moderado"),AND(P202="Baja",T202="Menor"),AND(P202="Baja",T202="Moderado"),AND(P202="Media",T202="Leve"),AND(P202="Media",T202="Menor"),AND(P202="Media",T202="Moderado"),AND(P202="Alta",T202="Leve"),AND(P202="Alta",T202="Menor")),"Moderado",IF(OR(AND(P202="Muy Baja",T202="Mayor"),AND(P202="Baja",T202="Mayor"),AND(P202="Media",T202="Mayor"),AND(P202="Alta",T202="Moderado"),AND(P202="Alta",T202="Mayor"),AND(P202="Muy Alta",T202="Leve"),AND(P202="Muy Alta",T202="Menor"),AND(P202="Muy Alta",T202="Moderado"),AND(P202="Muy Alta",T202="Mayor")),"Alto",IF(OR(AND(P202="Muy Baja",T202="Catastrófico"),AND(P202="Baja",T202="Catastrófico"),AND(P202="Media",T202="Catastrófico"),AND(P202="Alta",T202="Catastrófico"),AND(P202="Muy Alta",T202="Catastrófico")),"Extremo",""))))</f>
        <v>Moderado</v>
      </c>
      <c r="W202" s="233">
        <v>1</v>
      </c>
      <c r="X202" s="207" t="s">
        <v>847</v>
      </c>
      <c r="Y202" s="230" t="str">
        <f t="shared" si="500"/>
        <v>Probabilidad</v>
      </c>
      <c r="Z202" s="185" t="s">
        <v>208</v>
      </c>
      <c r="AA202" s="185" t="s">
        <v>216</v>
      </c>
      <c r="AB202" s="186" t="str">
        <f t="shared" si="537"/>
        <v>40%</v>
      </c>
      <c r="AC202" s="185" t="s">
        <v>219</v>
      </c>
      <c r="AD202" s="185" t="s">
        <v>224</v>
      </c>
      <c r="AE202" s="185" t="s">
        <v>228</v>
      </c>
      <c r="AF202" s="187">
        <f t="shared" ref="AF202" si="581">IFERROR(IF(Y202="Probabilidad",(Q202-(+Q202*AB202)),IF(Y202="Impacto",Q202,"")),"")</f>
        <v>0.36</v>
      </c>
      <c r="AG202" s="188" t="str">
        <f t="shared" si="502"/>
        <v>Baja</v>
      </c>
      <c r="AH202" s="186">
        <f t="shared" si="503"/>
        <v>0.36</v>
      </c>
      <c r="AI202" s="188" t="str">
        <f t="shared" ca="1" si="504"/>
        <v>Moderado</v>
      </c>
      <c r="AJ202" s="186">
        <f t="shared" ref="AJ202" ca="1" si="582">IFERROR(IF(Y202="Impacto",(U202-(+U202*AB202)),IF(Y202="Probabilidad",U202,"")),"")</f>
        <v>0.6</v>
      </c>
      <c r="AK202" s="189" t="str">
        <f t="shared" ca="1" si="506"/>
        <v>Moderado</v>
      </c>
      <c r="AL202" s="185" t="s">
        <v>255</v>
      </c>
      <c r="AM202" s="227"/>
      <c r="AN202" s="230"/>
      <c r="AO202" s="228"/>
      <c r="AP202" s="228"/>
      <c r="AQ202" s="227"/>
      <c r="AR202" s="229"/>
    </row>
    <row r="203" spans="1:44" s="191" customFormat="1" ht="104.25" customHeight="1" thickTop="1" thickBot="1" x14ac:dyDescent="0.3">
      <c r="A203" s="352"/>
      <c r="B203" s="353"/>
      <c r="C203" s="357"/>
      <c r="D203" s="359"/>
      <c r="E203" s="357"/>
      <c r="F203" s="375"/>
      <c r="G203" s="375"/>
      <c r="H203" s="374"/>
      <c r="I203" s="362"/>
      <c r="J203" s="362"/>
      <c r="K203" s="362"/>
      <c r="L203" s="362"/>
      <c r="M203" s="357"/>
      <c r="N203" s="357"/>
      <c r="O203" s="363"/>
      <c r="P203" s="364"/>
      <c r="Q203" s="365"/>
      <c r="R203" s="365"/>
      <c r="S203" s="365">
        <f ca="1">IF(NOT(ISERROR(MATCH(R203,_xlfn.ANCHORARRAY(H210),0))),Q212&amp;"Por favor no seleccionar los criterios de impacto",R203)</f>
        <v>0</v>
      </c>
      <c r="T203" s="364"/>
      <c r="U203" s="365"/>
      <c r="V203" s="351"/>
      <c r="W203" s="233">
        <v>2</v>
      </c>
      <c r="X203" s="207" t="s">
        <v>848</v>
      </c>
      <c r="Y203" s="230" t="str">
        <f t="shared" si="500"/>
        <v>Probabilidad</v>
      </c>
      <c r="Z203" s="185" t="s">
        <v>208</v>
      </c>
      <c r="AA203" s="185" t="s">
        <v>216</v>
      </c>
      <c r="AB203" s="186" t="str">
        <f t="shared" si="537"/>
        <v>40%</v>
      </c>
      <c r="AC203" s="185" t="s">
        <v>219</v>
      </c>
      <c r="AD203" s="185" t="s">
        <v>224</v>
      </c>
      <c r="AE203" s="185" t="s">
        <v>228</v>
      </c>
      <c r="AF203" s="187">
        <f t="shared" ref="AF203:AF205" si="583">IFERROR(IF(AND(Y202="Probabilidad",Y203="Probabilidad"),(AH202-(+AH202*AB203)),IF(Y203="Probabilidad",(Q202-(+Q202*AB203)),IF(Y203="Impacto",AH202,""))),"")</f>
        <v>0.216</v>
      </c>
      <c r="AG203" s="188" t="str">
        <f t="shared" si="502"/>
        <v>Baja</v>
      </c>
      <c r="AH203" s="186">
        <f t="shared" si="503"/>
        <v>0.216</v>
      </c>
      <c r="AI203" s="188" t="str">
        <f t="shared" ca="1" si="504"/>
        <v>Moderado</v>
      </c>
      <c r="AJ203" s="186">
        <f t="shared" ref="AJ203" ca="1" si="584">IFERROR(IF(AND(Y202="Impacto",Y203="Impacto"),(AJ202-(+AJ202*AB203)),IF(Y203="Impacto",(U202-(+U202*AB203)),IF(Y203="Probabilidad",AJ202,""))),"")</f>
        <v>0.6</v>
      </c>
      <c r="AK203" s="189" t="str">
        <f t="shared" ca="1" si="506"/>
        <v>Moderado</v>
      </c>
      <c r="AL203" s="185" t="s">
        <v>255</v>
      </c>
      <c r="AM203" s="227"/>
      <c r="AN203" s="230"/>
      <c r="AO203" s="228"/>
      <c r="AP203" s="228"/>
      <c r="AQ203" s="227"/>
      <c r="AR203" s="229"/>
    </row>
    <row r="204" spans="1:44" s="191" customFormat="1" ht="110.25" thickTop="1" thickBot="1" x14ac:dyDescent="0.3">
      <c r="A204" s="352"/>
      <c r="B204" s="353"/>
      <c r="C204" s="357"/>
      <c r="D204" s="359"/>
      <c r="E204" s="357"/>
      <c r="F204" s="375"/>
      <c r="G204" s="375"/>
      <c r="H204" s="374"/>
      <c r="I204" s="362"/>
      <c r="J204" s="362"/>
      <c r="K204" s="362"/>
      <c r="L204" s="362"/>
      <c r="M204" s="357"/>
      <c r="N204" s="357"/>
      <c r="O204" s="363"/>
      <c r="P204" s="364"/>
      <c r="Q204" s="365"/>
      <c r="R204" s="365"/>
      <c r="S204" s="365">
        <f ca="1">IF(NOT(ISERROR(MATCH(R204,_xlfn.ANCHORARRAY(H211),0))),Q213&amp;"Por favor no seleccionar los criterios de impacto",R204)</f>
        <v>0</v>
      </c>
      <c r="T204" s="364"/>
      <c r="U204" s="365"/>
      <c r="V204" s="351"/>
      <c r="W204" s="233">
        <v>3</v>
      </c>
      <c r="X204" s="207" t="s">
        <v>849</v>
      </c>
      <c r="Y204" s="230" t="str">
        <f t="shared" si="500"/>
        <v>Probabilidad</v>
      </c>
      <c r="Z204" s="185" t="s">
        <v>208</v>
      </c>
      <c r="AA204" s="185" t="s">
        <v>216</v>
      </c>
      <c r="AB204" s="186" t="str">
        <f t="shared" si="537"/>
        <v>40%</v>
      </c>
      <c r="AC204" s="185" t="s">
        <v>219</v>
      </c>
      <c r="AD204" s="185" t="s">
        <v>224</v>
      </c>
      <c r="AE204" s="185" t="s">
        <v>228</v>
      </c>
      <c r="AF204" s="187">
        <f t="shared" si="583"/>
        <v>0.12959999999999999</v>
      </c>
      <c r="AG204" s="188" t="str">
        <f t="shared" si="502"/>
        <v>Muy Baja</v>
      </c>
      <c r="AH204" s="186">
        <f t="shared" si="503"/>
        <v>0.12959999999999999</v>
      </c>
      <c r="AI204" s="188" t="str">
        <f t="shared" ca="1" si="504"/>
        <v>Moderado</v>
      </c>
      <c r="AJ204" s="186">
        <f t="shared" ref="AJ204:AJ205" ca="1" si="585">IFERROR(IF(AND(Y203="Impacto",Y204="Impacto"),(AJ203-(+AJ203*AB204)),IF(AND(Y203="Probabilidad",Y204="Impacto"),(AJ202-(+AJ202*AB204)),IF(Y204="Probabilidad",AJ203,""))),"")</f>
        <v>0.6</v>
      </c>
      <c r="AK204" s="189" t="str">
        <f t="shared" ca="1" si="506"/>
        <v>Moderado</v>
      </c>
      <c r="AL204" s="185" t="s">
        <v>255</v>
      </c>
      <c r="AM204" s="227"/>
      <c r="AN204" s="230"/>
      <c r="AO204" s="228"/>
      <c r="AP204" s="228"/>
      <c r="AQ204" s="227"/>
      <c r="AR204" s="229"/>
    </row>
    <row r="205" spans="1:44" s="191" customFormat="1" ht="110.25" thickTop="1" thickBot="1" x14ac:dyDescent="0.3">
      <c r="A205" s="352"/>
      <c r="B205" s="353"/>
      <c r="C205" s="357"/>
      <c r="D205" s="359"/>
      <c r="E205" s="357"/>
      <c r="F205" s="375"/>
      <c r="G205" s="375"/>
      <c r="H205" s="374"/>
      <c r="I205" s="362"/>
      <c r="J205" s="362"/>
      <c r="K205" s="362"/>
      <c r="L205" s="362"/>
      <c r="M205" s="357"/>
      <c r="N205" s="357"/>
      <c r="O205" s="363"/>
      <c r="P205" s="364"/>
      <c r="Q205" s="365"/>
      <c r="R205" s="365"/>
      <c r="S205" s="365">
        <f ca="1">IF(NOT(ISERROR(MATCH(R205,_xlfn.ANCHORARRAY(H212),0))),Q214&amp;"Por favor no seleccionar los criterios de impacto",R205)</f>
        <v>0</v>
      </c>
      <c r="T205" s="364"/>
      <c r="U205" s="365"/>
      <c r="V205" s="351"/>
      <c r="W205" s="233">
        <v>4</v>
      </c>
      <c r="X205" s="207" t="s">
        <v>850</v>
      </c>
      <c r="Y205" s="230" t="str">
        <f t="shared" si="500"/>
        <v>Probabilidad</v>
      </c>
      <c r="Z205" s="185" t="s">
        <v>208</v>
      </c>
      <c r="AA205" s="185" t="s">
        <v>216</v>
      </c>
      <c r="AB205" s="186" t="str">
        <f t="shared" si="537"/>
        <v>40%</v>
      </c>
      <c r="AC205" s="185" t="s">
        <v>219</v>
      </c>
      <c r="AD205" s="185" t="s">
        <v>224</v>
      </c>
      <c r="AE205" s="185" t="s">
        <v>228</v>
      </c>
      <c r="AF205" s="187">
        <f t="shared" si="583"/>
        <v>7.7759999999999996E-2</v>
      </c>
      <c r="AG205" s="188" t="str">
        <f t="shared" si="502"/>
        <v>Muy Baja</v>
      </c>
      <c r="AH205" s="186">
        <f t="shared" si="503"/>
        <v>7.7759999999999996E-2</v>
      </c>
      <c r="AI205" s="188" t="str">
        <f t="shared" ca="1" si="504"/>
        <v>Moderado</v>
      </c>
      <c r="AJ205" s="186">
        <f t="shared" ca="1" si="585"/>
        <v>0.6</v>
      </c>
      <c r="AK205" s="189" t="str">
        <f t="shared" ca="1" si="506"/>
        <v>Moderado</v>
      </c>
      <c r="AL205" s="185" t="s">
        <v>255</v>
      </c>
      <c r="AM205" s="227"/>
      <c r="AN205" s="230"/>
      <c r="AO205" s="228"/>
      <c r="AP205" s="228"/>
      <c r="AQ205" s="227"/>
      <c r="AR205" s="229"/>
    </row>
    <row r="206" spans="1:44" s="191" customFormat="1" ht="129.75" thickTop="1" thickBot="1" x14ac:dyDescent="0.3">
      <c r="A206" s="352">
        <v>82</v>
      </c>
      <c r="B206" s="353" t="s">
        <v>851</v>
      </c>
      <c r="C206" s="357" t="s">
        <v>278</v>
      </c>
      <c r="D206" s="359" t="s">
        <v>852</v>
      </c>
      <c r="E206" s="357" t="s">
        <v>240</v>
      </c>
      <c r="F206" s="375" t="s">
        <v>845</v>
      </c>
      <c r="G206" s="375" t="s">
        <v>853</v>
      </c>
      <c r="H206" s="374" t="s">
        <v>1166</v>
      </c>
      <c r="I206" s="362" t="s">
        <v>474</v>
      </c>
      <c r="J206" s="362" t="s">
        <v>474</v>
      </c>
      <c r="K206" s="362" t="s">
        <v>474</v>
      </c>
      <c r="L206" s="362" t="s">
        <v>474</v>
      </c>
      <c r="M206" s="357" t="s">
        <v>239</v>
      </c>
      <c r="N206" s="357"/>
      <c r="O206" s="363">
        <v>365</v>
      </c>
      <c r="P206" s="364" t="str">
        <f t="shared" si="570"/>
        <v>Media</v>
      </c>
      <c r="Q206" s="365">
        <f t="shared" si="571"/>
        <v>0.6</v>
      </c>
      <c r="R206" s="365" t="s">
        <v>192</v>
      </c>
      <c r="S206" s="365" t="str">
        <f ca="1">IF(NOT(ISERROR(MATCH(R206,'Tabla Impacto'!$B$221:$B$223,0))),'Tabla Impacto'!$F$223&amp;"Por favor no seleccionar los criterios de impacto(Afectación Económica o presupuestal y Pérdida Reputacional)",R206)</f>
        <v xml:space="preserve">Entre 100 y 500 SMLMV </v>
      </c>
      <c r="T206" s="364" t="str">
        <f ca="1">+IF(OR(S206='[1]Tabla Impacto'!$C$11,S206='[1]Tabla Impacto'!$D$11),"Leve",IF(OR(S206='[1]Tabla Impacto'!$C$12,S206='[1]Tabla Impacto'!$D$12),"Menor",IF(OR(S206='[1]Tabla Impacto'!$C$13,S206='[1]Tabla Impacto'!$D$13),"Moderado",IF(OR(S206='[1]Tabla Impacto'!$C$14,S206='[1]Tabla Impacto'!$D$14),"Mayor",IF(OR(S206='[1]Tabla Impacto'!$C$15,S206='[1]Tabla Impacto'!$D$15),"Catastrófico","")))))</f>
        <v>Mayor</v>
      </c>
      <c r="U206" s="365">
        <f t="shared" ref="U206" ca="1" si="586">IF(T206="","",IF(T206="Leve",0.2,IF(T206="Menor",0.4,IF(T206="Moderado",0.6,IF(T206="Mayor",0.8,IF(T206="Catastrófico",1,))))))</f>
        <v>0.8</v>
      </c>
      <c r="V206" s="351" t="str">
        <f t="shared" ref="V206" ca="1" si="587">IF(OR(AND(P206="Muy Baja",T206="Leve"),AND(P206="Muy Baja",T206="Menor"),AND(P206="Baja",T206="Leve")),"Bajo",IF(OR(AND(P206="Muy baja",T206="Moderado"),AND(P206="Baja",T206="Menor"),AND(P206="Baja",T206="Moderado"),AND(P206="Media",T206="Leve"),AND(P206="Media",T206="Menor"),AND(P206="Media",T206="Moderado"),AND(P206="Alta",T206="Leve"),AND(P206="Alta",T206="Menor")),"Moderado",IF(OR(AND(P206="Muy Baja",T206="Mayor"),AND(P206="Baja",T206="Mayor"),AND(P206="Media",T206="Mayor"),AND(P206="Alta",T206="Moderado"),AND(P206="Alta",T206="Mayor"),AND(P206="Muy Alta",T206="Leve"),AND(P206="Muy Alta",T206="Menor"),AND(P206="Muy Alta",T206="Moderado"),AND(P206="Muy Alta",T206="Mayor")),"Alto",IF(OR(AND(P206="Muy Baja",T206="Catastrófico"),AND(P206="Baja",T206="Catastrófico"),AND(P206="Media",T206="Catastrófico"),AND(P206="Alta",T206="Catastrófico"),AND(P206="Muy Alta",T206="Catastrófico")),"Extremo",""))))</f>
        <v>Alto</v>
      </c>
      <c r="W206" s="233">
        <v>1</v>
      </c>
      <c r="X206" s="207" t="s">
        <v>854</v>
      </c>
      <c r="Y206" s="230" t="str">
        <f t="shared" si="500"/>
        <v>Probabilidad</v>
      </c>
      <c r="Z206" s="185" t="s">
        <v>210</v>
      </c>
      <c r="AA206" s="185" t="s">
        <v>216</v>
      </c>
      <c r="AB206" s="186" t="str">
        <f t="shared" si="537"/>
        <v>30%</v>
      </c>
      <c r="AC206" s="185" t="s">
        <v>219</v>
      </c>
      <c r="AD206" s="185" t="s">
        <v>224</v>
      </c>
      <c r="AE206" s="185" t="s">
        <v>228</v>
      </c>
      <c r="AF206" s="187">
        <f t="shared" ref="AF206" si="588">IFERROR(IF(Y206="Probabilidad",(Q206-(+Q206*AB206)),IF(Y206="Impacto",Q206,"")),"")</f>
        <v>0.42</v>
      </c>
      <c r="AG206" s="188" t="str">
        <f t="shared" si="502"/>
        <v>Media</v>
      </c>
      <c r="AH206" s="186">
        <f t="shared" si="503"/>
        <v>0.42</v>
      </c>
      <c r="AI206" s="188" t="str">
        <f t="shared" ca="1" si="504"/>
        <v>Mayor</v>
      </c>
      <c r="AJ206" s="186">
        <f t="shared" ref="AJ206" ca="1" si="589">IFERROR(IF(Y206="Impacto",(U206-(+U206*AB206)),IF(Y206="Probabilidad",U206,"")),"")</f>
        <v>0.8</v>
      </c>
      <c r="AK206" s="189" t="str">
        <f t="shared" ca="1" si="506"/>
        <v>Alto</v>
      </c>
      <c r="AL206" s="185" t="s">
        <v>262</v>
      </c>
      <c r="AM206" s="227"/>
      <c r="AN206" s="230"/>
      <c r="AO206" s="228"/>
      <c r="AP206" s="228"/>
      <c r="AQ206" s="227"/>
      <c r="AR206" s="229"/>
    </row>
    <row r="207" spans="1:44" s="191" customFormat="1" ht="129.75" thickTop="1" thickBot="1" x14ac:dyDescent="0.3">
      <c r="A207" s="352"/>
      <c r="B207" s="353"/>
      <c r="C207" s="357"/>
      <c r="D207" s="359"/>
      <c r="E207" s="357"/>
      <c r="F207" s="375"/>
      <c r="G207" s="375"/>
      <c r="H207" s="374"/>
      <c r="I207" s="362"/>
      <c r="J207" s="362"/>
      <c r="K207" s="362"/>
      <c r="L207" s="362"/>
      <c r="M207" s="357"/>
      <c r="N207" s="357"/>
      <c r="O207" s="363"/>
      <c r="P207" s="364"/>
      <c r="Q207" s="365"/>
      <c r="R207" s="365"/>
      <c r="S207" s="365">
        <f ca="1">IF(NOT(ISERROR(MATCH(R207,_xlfn.ANCHORARRAY(H215),0))),#REF!&amp;"Por favor no seleccionar los criterios de impacto",R207)</f>
        <v>0</v>
      </c>
      <c r="T207" s="364"/>
      <c r="U207" s="365"/>
      <c r="V207" s="351"/>
      <c r="W207" s="233">
        <v>2</v>
      </c>
      <c r="X207" s="207" t="s">
        <v>855</v>
      </c>
      <c r="Y207" s="230" t="str">
        <f t="shared" si="500"/>
        <v>Probabilidad</v>
      </c>
      <c r="Z207" s="185" t="s">
        <v>210</v>
      </c>
      <c r="AA207" s="185" t="s">
        <v>216</v>
      </c>
      <c r="AB207" s="186" t="str">
        <f t="shared" si="537"/>
        <v>30%</v>
      </c>
      <c r="AC207" s="185" t="s">
        <v>219</v>
      </c>
      <c r="AD207" s="185" t="s">
        <v>224</v>
      </c>
      <c r="AE207" s="185" t="s">
        <v>228</v>
      </c>
      <c r="AF207" s="187">
        <f t="shared" ref="AF207:AF209" si="590">IFERROR(IF(AND(Y206="Probabilidad",Y207="Probabilidad"),(AH206-(+AH206*AB207)),IF(Y207="Probabilidad",(Q206-(+Q206*AB207)),IF(Y207="Impacto",AH206,""))),"")</f>
        <v>0.29399999999999998</v>
      </c>
      <c r="AG207" s="188" t="str">
        <f t="shared" si="502"/>
        <v>Baja</v>
      </c>
      <c r="AH207" s="186">
        <f t="shared" si="503"/>
        <v>0.29399999999999998</v>
      </c>
      <c r="AI207" s="188" t="str">
        <f t="shared" ca="1" si="504"/>
        <v>Mayor</v>
      </c>
      <c r="AJ207" s="186">
        <f t="shared" ref="AJ207" ca="1" si="591">IFERROR(IF(AND(Y206="Impacto",Y207="Impacto"),(AJ206-(+AJ206*AB207)),IF(Y207="Impacto",(U206-(+U206*AB207)),IF(Y207="Probabilidad",AJ206,""))),"")</f>
        <v>0.8</v>
      </c>
      <c r="AK207" s="189" t="str">
        <f t="shared" ca="1" si="506"/>
        <v>Alto</v>
      </c>
      <c r="AL207" s="185" t="s">
        <v>262</v>
      </c>
      <c r="AM207" s="227"/>
      <c r="AN207" s="230"/>
      <c r="AO207" s="228"/>
      <c r="AP207" s="228"/>
      <c r="AQ207" s="227"/>
      <c r="AR207" s="229"/>
    </row>
    <row r="208" spans="1:44" s="191" customFormat="1" ht="129.75" thickTop="1" thickBot="1" x14ac:dyDescent="0.3">
      <c r="A208" s="352"/>
      <c r="B208" s="353"/>
      <c r="C208" s="357"/>
      <c r="D208" s="359"/>
      <c r="E208" s="357"/>
      <c r="F208" s="375"/>
      <c r="G208" s="375"/>
      <c r="H208" s="374"/>
      <c r="I208" s="362"/>
      <c r="J208" s="362"/>
      <c r="K208" s="362"/>
      <c r="L208" s="362"/>
      <c r="M208" s="357"/>
      <c r="N208" s="357"/>
      <c r="O208" s="363"/>
      <c r="P208" s="364"/>
      <c r="Q208" s="365"/>
      <c r="R208" s="365"/>
      <c r="S208" s="365">
        <f ca="1">IF(NOT(ISERROR(MATCH(R208,_xlfn.ANCHORARRAY(H216),0))),#REF!&amp;"Por favor no seleccionar los criterios de impacto",R208)</f>
        <v>0</v>
      </c>
      <c r="T208" s="364"/>
      <c r="U208" s="365"/>
      <c r="V208" s="351"/>
      <c r="W208" s="233">
        <v>3</v>
      </c>
      <c r="X208" s="207" t="s">
        <v>856</v>
      </c>
      <c r="Y208" s="230" t="str">
        <f t="shared" si="500"/>
        <v>Probabilidad</v>
      </c>
      <c r="Z208" s="185" t="s">
        <v>208</v>
      </c>
      <c r="AA208" s="185" t="s">
        <v>216</v>
      </c>
      <c r="AB208" s="186" t="str">
        <f t="shared" si="537"/>
        <v>40%</v>
      </c>
      <c r="AC208" s="185" t="s">
        <v>219</v>
      </c>
      <c r="AD208" s="185" t="s">
        <v>224</v>
      </c>
      <c r="AE208" s="185" t="s">
        <v>228</v>
      </c>
      <c r="AF208" s="187">
        <f t="shared" si="590"/>
        <v>0.1764</v>
      </c>
      <c r="AG208" s="188" t="str">
        <f t="shared" si="502"/>
        <v>Muy Baja</v>
      </c>
      <c r="AH208" s="186">
        <f t="shared" si="503"/>
        <v>0.1764</v>
      </c>
      <c r="AI208" s="188" t="str">
        <f t="shared" ca="1" si="504"/>
        <v>Mayor</v>
      </c>
      <c r="AJ208" s="186">
        <f t="shared" ref="AJ208:AJ209" ca="1" si="592">IFERROR(IF(AND(Y207="Impacto",Y208="Impacto"),(AJ207-(+AJ207*AB208)),IF(AND(Y207="Probabilidad",Y208="Impacto"),(AJ206-(+AJ206*AB208)),IF(Y208="Probabilidad",AJ207,""))),"")</f>
        <v>0.8</v>
      </c>
      <c r="AK208" s="189" t="str">
        <f t="shared" ca="1" si="506"/>
        <v>Alto</v>
      </c>
      <c r="AL208" s="185" t="s">
        <v>262</v>
      </c>
      <c r="AM208" s="227"/>
      <c r="AN208" s="230"/>
      <c r="AO208" s="228"/>
      <c r="AP208" s="228"/>
      <c r="AQ208" s="227"/>
      <c r="AR208" s="229"/>
    </row>
    <row r="209" spans="1:44" s="191" customFormat="1" ht="117" customHeight="1" thickTop="1" thickBot="1" x14ac:dyDescent="0.3">
      <c r="A209" s="352"/>
      <c r="B209" s="353"/>
      <c r="C209" s="357"/>
      <c r="D209" s="359"/>
      <c r="E209" s="357"/>
      <c r="F209" s="375"/>
      <c r="G209" s="375"/>
      <c r="H209" s="374"/>
      <c r="I209" s="362"/>
      <c r="J209" s="362"/>
      <c r="K209" s="362"/>
      <c r="L209" s="362"/>
      <c r="M209" s="357"/>
      <c r="N209" s="357"/>
      <c r="O209" s="363"/>
      <c r="P209" s="364"/>
      <c r="Q209" s="365"/>
      <c r="R209" s="365"/>
      <c r="S209" s="365">
        <f ca="1">IF(NOT(ISERROR(MATCH(R209,_xlfn.ANCHORARRAY(#REF!),0))),#REF!&amp;"Por favor no seleccionar los criterios de impacto",R209)</f>
        <v>0</v>
      </c>
      <c r="T209" s="364"/>
      <c r="U209" s="365"/>
      <c r="V209" s="351"/>
      <c r="W209" s="233">
        <v>4</v>
      </c>
      <c r="X209" s="207" t="s">
        <v>857</v>
      </c>
      <c r="Y209" s="230" t="str">
        <f t="shared" si="500"/>
        <v>Impacto</v>
      </c>
      <c r="Z209" s="185" t="s">
        <v>212</v>
      </c>
      <c r="AA209" s="185" t="s">
        <v>216</v>
      </c>
      <c r="AB209" s="186" t="str">
        <f t="shared" si="537"/>
        <v>25%</v>
      </c>
      <c r="AC209" s="185" t="s">
        <v>219</v>
      </c>
      <c r="AD209" s="185" t="s">
        <v>224</v>
      </c>
      <c r="AE209" s="185" t="s">
        <v>228</v>
      </c>
      <c r="AF209" s="187">
        <f t="shared" si="590"/>
        <v>0.1764</v>
      </c>
      <c r="AG209" s="188" t="str">
        <f t="shared" si="502"/>
        <v>Muy Baja</v>
      </c>
      <c r="AH209" s="186">
        <f t="shared" si="503"/>
        <v>0.1764</v>
      </c>
      <c r="AI209" s="188" t="str">
        <f t="shared" ca="1" si="504"/>
        <v>Moderado</v>
      </c>
      <c r="AJ209" s="186">
        <f t="shared" ca="1" si="592"/>
        <v>0.60000000000000009</v>
      </c>
      <c r="AK209" s="189" t="str">
        <f t="shared" ca="1" si="506"/>
        <v>Moderado</v>
      </c>
      <c r="AL209" s="185" t="s">
        <v>255</v>
      </c>
      <c r="AM209" s="227"/>
      <c r="AN209" s="230"/>
      <c r="AO209" s="228"/>
      <c r="AP209" s="228"/>
      <c r="AQ209" s="227"/>
      <c r="AR209" s="229"/>
    </row>
    <row r="210" spans="1:44" s="191" customFormat="1" ht="95.25" customHeight="1" thickTop="1" thickBot="1" x14ac:dyDescent="0.3">
      <c r="A210" s="352">
        <v>83</v>
      </c>
      <c r="B210" s="353" t="s">
        <v>858</v>
      </c>
      <c r="C210" s="357" t="s">
        <v>278</v>
      </c>
      <c r="D210" s="359" t="s">
        <v>859</v>
      </c>
      <c r="E210" s="357" t="s">
        <v>236</v>
      </c>
      <c r="F210" s="375" t="s">
        <v>860</v>
      </c>
      <c r="G210" s="375" t="s">
        <v>861</v>
      </c>
      <c r="H210" s="374" t="s">
        <v>1167</v>
      </c>
      <c r="I210" s="362" t="s">
        <v>474</v>
      </c>
      <c r="J210" s="362" t="s">
        <v>474</v>
      </c>
      <c r="K210" s="362" t="s">
        <v>474</v>
      </c>
      <c r="L210" s="362" t="s">
        <v>474</v>
      </c>
      <c r="M210" s="357" t="s">
        <v>469</v>
      </c>
      <c r="N210" s="357"/>
      <c r="O210" s="363">
        <v>365</v>
      </c>
      <c r="P210" s="364" t="str">
        <f t="shared" si="570"/>
        <v>Media</v>
      </c>
      <c r="Q210" s="365">
        <f t="shared" si="571"/>
        <v>0.6</v>
      </c>
      <c r="R210" s="365" t="s">
        <v>189</v>
      </c>
      <c r="S210" s="365" t="str">
        <f ca="1">IF(NOT(ISERROR(MATCH(R210,'Tabla Impacto'!$B$221:$B$223,0))),'Tabla Impacto'!$F$223&amp;"Por favor no seleccionar los criterios de impacto(Afectación Económica o presupuestal y Pérdida Reputacional)",R210)</f>
        <v xml:space="preserve">Entre 50 y 100 SMLMV </v>
      </c>
      <c r="T210" s="364" t="str">
        <f ca="1">+IF(OR(S210='[1]Tabla Impacto'!$C$11,S210='[1]Tabla Impacto'!$D$11),"Leve",IF(OR(S210='[1]Tabla Impacto'!$C$12,S210='[1]Tabla Impacto'!$D$12),"Menor",IF(OR(S210='[1]Tabla Impacto'!$C$13,S210='[1]Tabla Impacto'!$D$13),"Moderado",IF(OR(S210='[1]Tabla Impacto'!$C$14,S210='[1]Tabla Impacto'!$D$14),"Mayor",IF(OR(S210='[1]Tabla Impacto'!$C$15,S210='[1]Tabla Impacto'!$D$15),"Catastrófico","")))))</f>
        <v>Moderado</v>
      </c>
      <c r="U210" s="365">
        <f t="shared" ref="U210" ca="1" si="593">IF(T210="","",IF(T210="Leve",0.2,IF(T210="Menor",0.4,IF(T210="Moderado",0.6,IF(T210="Mayor",0.8,IF(T210="Catastrófico",1,))))))</f>
        <v>0.6</v>
      </c>
      <c r="V210" s="351" t="str">
        <f t="shared" ref="V210" ca="1" si="594">IF(OR(AND(P210="Muy Baja",T210="Leve"),AND(P210="Muy Baja",T210="Menor"),AND(P210="Baja",T210="Leve")),"Bajo",IF(OR(AND(P210="Muy baja",T210="Moderado"),AND(P210="Baja",T210="Menor"),AND(P210="Baja",T210="Moderado"),AND(P210="Media",T210="Leve"),AND(P210="Media",T210="Menor"),AND(P210="Media",T210="Moderado"),AND(P210="Alta",T210="Leve"),AND(P210="Alta",T210="Menor")),"Moderado",IF(OR(AND(P210="Muy Baja",T210="Mayor"),AND(P210="Baja",T210="Mayor"),AND(P210="Media",T210="Mayor"),AND(P210="Alta",T210="Moderado"),AND(P210="Alta",T210="Mayor"),AND(P210="Muy Alta",T210="Leve"),AND(P210="Muy Alta",T210="Menor"),AND(P210="Muy Alta",T210="Moderado"),AND(P210="Muy Alta",T210="Mayor")),"Alto",IF(OR(AND(P210="Muy Baja",T210="Catastrófico"),AND(P210="Baja",T210="Catastrófico"),AND(P210="Media",T210="Catastrófico"),AND(P210="Alta",T210="Catastrófico"),AND(P210="Muy Alta",T210="Catastrófico")),"Extremo",""))))</f>
        <v>Moderado</v>
      </c>
      <c r="W210" s="233">
        <v>1</v>
      </c>
      <c r="X210" s="207" t="s">
        <v>862</v>
      </c>
      <c r="Y210" s="230" t="str">
        <f t="shared" si="500"/>
        <v>Probabilidad</v>
      </c>
      <c r="Z210" s="185" t="s">
        <v>208</v>
      </c>
      <c r="AA210" s="185" t="s">
        <v>216</v>
      </c>
      <c r="AB210" s="186" t="str">
        <f t="shared" si="537"/>
        <v>40%</v>
      </c>
      <c r="AC210" s="185" t="s">
        <v>219</v>
      </c>
      <c r="AD210" s="185" t="s">
        <v>224</v>
      </c>
      <c r="AE210" s="185" t="s">
        <v>228</v>
      </c>
      <c r="AF210" s="187">
        <f t="shared" ref="AF210" si="595">IFERROR(IF(Y210="Probabilidad",(Q210-(+Q210*AB210)),IF(Y210="Impacto",Q210,"")),"")</f>
        <v>0.36</v>
      </c>
      <c r="AG210" s="188" t="str">
        <f t="shared" si="502"/>
        <v>Baja</v>
      </c>
      <c r="AH210" s="186">
        <f t="shared" si="503"/>
        <v>0.36</v>
      </c>
      <c r="AI210" s="188" t="str">
        <f t="shared" ca="1" si="504"/>
        <v>Moderado</v>
      </c>
      <c r="AJ210" s="186">
        <f t="shared" ref="AJ210" ca="1" si="596">IFERROR(IF(Y210="Impacto",(U210-(+U210*AB210)),IF(Y210="Probabilidad",U210,"")),"")</f>
        <v>0.6</v>
      </c>
      <c r="AK210" s="189" t="str">
        <f t="shared" ca="1" si="506"/>
        <v>Moderado</v>
      </c>
      <c r="AL210" s="185" t="s">
        <v>255</v>
      </c>
      <c r="AM210" s="227"/>
      <c r="AN210" s="230"/>
      <c r="AO210" s="228"/>
      <c r="AP210" s="228"/>
      <c r="AQ210" s="227"/>
      <c r="AR210" s="229"/>
    </row>
    <row r="211" spans="1:44" s="191" customFormat="1" ht="126.75" thickTop="1" thickBot="1" x14ac:dyDescent="0.3">
      <c r="A211" s="352"/>
      <c r="B211" s="353"/>
      <c r="C211" s="357"/>
      <c r="D211" s="359"/>
      <c r="E211" s="357"/>
      <c r="F211" s="375"/>
      <c r="G211" s="375"/>
      <c r="H211" s="374"/>
      <c r="I211" s="362"/>
      <c r="J211" s="362"/>
      <c r="K211" s="362"/>
      <c r="L211" s="362"/>
      <c r="M211" s="357"/>
      <c r="N211" s="357"/>
      <c r="O211" s="363"/>
      <c r="P211" s="364"/>
      <c r="Q211" s="365"/>
      <c r="R211" s="365"/>
      <c r="S211" s="365">
        <f ca="1">IF(NOT(ISERROR(MATCH(R211,_xlfn.ANCHORARRAY(H217),0))),Q219&amp;"Por favor no seleccionar los criterios de impacto",R211)</f>
        <v>0</v>
      </c>
      <c r="T211" s="364"/>
      <c r="U211" s="365"/>
      <c r="V211" s="351"/>
      <c r="W211" s="233">
        <v>2</v>
      </c>
      <c r="X211" s="207" t="s">
        <v>863</v>
      </c>
      <c r="Y211" s="230" t="str">
        <f t="shared" si="500"/>
        <v>Probabilidad</v>
      </c>
      <c r="Z211" s="185" t="s">
        <v>210</v>
      </c>
      <c r="AA211" s="185" t="s">
        <v>216</v>
      </c>
      <c r="AB211" s="186" t="str">
        <f t="shared" si="537"/>
        <v>30%</v>
      </c>
      <c r="AC211" s="185" t="s">
        <v>222</v>
      </c>
      <c r="AD211" s="185" t="s">
        <v>224</v>
      </c>
      <c r="AE211" s="185" t="s">
        <v>228</v>
      </c>
      <c r="AF211" s="187">
        <f t="shared" ref="AF211:AF214" si="597">IFERROR(IF(AND(Y210="Probabilidad",Y211="Probabilidad"),(AH210-(+AH210*AB211)),IF(Y211="Probabilidad",(Q210-(+Q210*AB211)),IF(Y211="Impacto",AH210,""))),"")</f>
        <v>0.252</v>
      </c>
      <c r="AG211" s="188" t="str">
        <f t="shared" si="502"/>
        <v>Baja</v>
      </c>
      <c r="AH211" s="186">
        <f t="shared" si="503"/>
        <v>0.252</v>
      </c>
      <c r="AI211" s="188" t="str">
        <f t="shared" ca="1" si="504"/>
        <v>Moderado</v>
      </c>
      <c r="AJ211" s="186">
        <f t="shared" ref="AJ211" ca="1" si="598">IFERROR(IF(AND(Y210="Impacto",Y211="Impacto"),(AJ210-(+AJ210*AB211)),IF(Y211="Impacto",(U210-(+U210*AB211)),IF(Y211="Probabilidad",AJ210,""))),"")</f>
        <v>0.6</v>
      </c>
      <c r="AK211" s="189" t="str">
        <f t="shared" ca="1" si="506"/>
        <v>Moderado</v>
      </c>
      <c r="AL211" s="185" t="s">
        <v>255</v>
      </c>
      <c r="AM211" s="227"/>
      <c r="AN211" s="230"/>
      <c r="AO211" s="228"/>
      <c r="AP211" s="228"/>
      <c r="AQ211" s="227"/>
      <c r="AR211" s="229"/>
    </row>
    <row r="212" spans="1:44" s="191" customFormat="1" ht="110.25" thickTop="1" thickBot="1" x14ac:dyDescent="0.3">
      <c r="A212" s="352"/>
      <c r="B212" s="353"/>
      <c r="C212" s="357"/>
      <c r="D212" s="359"/>
      <c r="E212" s="357"/>
      <c r="F212" s="375"/>
      <c r="G212" s="375"/>
      <c r="H212" s="374"/>
      <c r="I212" s="362"/>
      <c r="J212" s="362"/>
      <c r="K212" s="362"/>
      <c r="L212" s="362"/>
      <c r="M212" s="357"/>
      <c r="N212" s="357"/>
      <c r="O212" s="363"/>
      <c r="P212" s="364"/>
      <c r="Q212" s="365"/>
      <c r="R212" s="365"/>
      <c r="S212" s="365">
        <f ca="1">IF(NOT(ISERROR(MATCH(R212,_xlfn.ANCHORARRAY(H218),0))),#REF!&amp;"Por favor no seleccionar los criterios de impacto",R212)</f>
        <v>0</v>
      </c>
      <c r="T212" s="364"/>
      <c r="U212" s="365"/>
      <c r="V212" s="351"/>
      <c r="W212" s="233">
        <v>3</v>
      </c>
      <c r="X212" s="207" t="s">
        <v>864</v>
      </c>
      <c r="Y212" s="230" t="str">
        <f t="shared" si="500"/>
        <v>Probabilidad</v>
      </c>
      <c r="Z212" s="185" t="s">
        <v>208</v>
      </c>
      <c r="AA212" s="185" t="s">
        <v>216</v>
      </c>
      <c r="AB212" s="186" t="str">
        <f t="shared" si="537"/>
        <v>40%</v>
      </c>
      <c r="AC212" s="185" t="s">
        <v>219</v>
      </c>
      <c r="AD212" s="185" t="s">
        <v>224</v>
      </c>
      <c r="AE212" s="185" t="s">
        <v>228</v>
      </c>
      <c r="AF212" s="187">
        <f t="shared" si="597"/>
        <v>0.1512</v>
      </c>
      <c r="AG212" s="188" t="str">
        <f t="shared" si="502"/>
        <v>Muy Baja</v>
      </c>
      <c r="AH212" s="186">
        <f t="shared" si="503"/>
        <v>0.1512</v>
      </c>
      <c r="AI212" s="188" t="str">
        <f t="shared" ca="1" si="504"/>
        <v>Moderado</v>
      </c>
      <c r="AJ212" s="186">
        <f t="shared" ref="AJ212:AJ214" ca="1" si="599">IFERROR(IF(AND(Y211="Impacto",Y212="Impacto"),(AJ211-(+AJ211*AB212)),IF(AND(Y211="Probabilidad",Y212="Impacto"),(AJ210-(+AJ210*AB212)),IF(Y212="Probabilidad",AJ211,""))),"")</f>
        <v>0.6</v>
      </c>
      <c r="AK212" s="189" t="str">
        <f t="shared" ca="1" si="506"/>
        <v>Moderado</v>
      </c>
      <c r="AL212" s="185" t="s">
        <v>255</v>
      </c>
      <c r="AM212" s="227"/>
      <c r="AN212" s="230"/>
      <c r="AO212" s="228"/>
      <c r="AP212" s="228"/>
      <c r="AQ212" s="227"/>
      <c r="AR212" s="229"/>
    </row>
    <row r="213" spans="1:44" s="191" customFormat="1" ht="110.25" thickTop="1" thickBot="1" x14ac:dyDescent="0.3">
      <c r="A213" s="352"/>
      <c r="B213" s="353"/>
      <c r="C213" s="357"/>
      <c r="D213" s="359"/>
      <c r="E213" s="357"/>
      <c r="F213" s="375"/>
      <c r="G213" s="375"/>
      <c r="H213" s="374"/>
      <c r="I213" s="362"/>
      <c r="J213" s="362"/>
      <c r="K213" s="362"/>
      <c r="L213" s="362"/>
      <c r="M213" s="357"/>
      <c r="N213" s="357"/>
      <c r="O213" s="363"/>
      <c r="P213" s="364"/>
      <c r="Q213" s="365"/>
      <c r="R213" s="365"/>
      <c r="S213" s="365">
        <f ca="1">IF(NOT(ISERROR(MATCH(R213,_xlfn.ANCHORARRAY(H219),0))),#REF!&amp;"Por favor no seleccionar los criterios de impacto",R213)</f>
        <v>0</v>
      </c>
      <c r="T213" s="364"/>
      <c r="U213" s="365"/>
      <c r="V213" s="351"/>
      <c r="W213" s="233">
        <v>4</v>
      </c>
      <c r="X213" s="207" t="s">
        <v>865</v>
      </c>
      <c r="Y213" s="230" t="str">
        <f t="shared" si="500"/>
        <v>Probabilidad</v>
      </c>
      <c r="Z213" s="185" t="s">
        <v>208</v>
      </c>
      <c r="AA213" s="185" t="s">
        <v>216</v>
      </c>
      <c r="AB213" s="186" t="str">
        <f t="shared" si="537"/>
        <v>40%</v>
      </c>
      <c r="AC213" s="185" t="s">
        <v>219</v>
      </c>
      <c r="AD213" s="185" t="s">
        <v>224</v>
      </c>
      <c r="AE213" s="185" t="s">
        <v>228</v>
      </c>
      <c r="AF213" s="187">
        <f t="shared" si="597"/>
        <v>9.0719999999999995E-2</v>
      </c>
      <c r="AG213" s="188" t="str">
        <f t="shared" si="502"/>
        <v>Muy Baja</v>
      </c>
      <c r="AH213" s="186">
        <f t="shared" si="503"/>
        <v>9.0719999999999995E-2</v>
      </c>
      <c r="AI213" s="188" t="str">
        <f t="shared" ca="1" si="504"/>
        <v>Moderado</v>
      </c>
      <c r="AJ213" s="186">
        <f t="shared" ca="1" si="599"/>
        <v>0.6</v>
      </c>
      <c r="AK213" s="189" t="str">
        <f t="shared" ca="1" si="506"/>
        <v>Moderado</v>
      </c>
      <c r="AL213" s="185" t="s">
        <v>255</v>
      </c>
      <c r="AM213" s="227"/>
      <c r="AN213" s="230"/>
      <c r="AO213" s="228"/>
      <c r="AP213" s="228"/>
      <c r="AQ213" s="227"/>
      <c r="AR213" s="229"/>
    </row>
    <row r="214" spans="1:44" s="191" customFormat="1" ht="110.25" thickTop="1" thickBot="1" x14ac:dyDescent="0.3">
      <c r="A214" s="352"/>
      <c r="B214" s="353"/>
      <c r="C214" s="357"/>
      <c r="D214" s="359"/>
      <c r="E214" s="357"/>
      <c r="F214" s="375"/>
      <c r="G214" s="375"/>
      <c r="H214" s="374"/>
      <c r="I214" s="362"/>
      <c r="J214" s="362"/>
      <c r="K214" s="362"/>
      <c r="L214" s="362"/>
      <c r="M214" s="357"/>
      <c r="N214" s="357"/>
      <c r="O214" s="363"/>
      <c r="P214" s="364"/>
      <c r="Q214" s="365"/>
      <c r="R214" s="365"/>
      <c r="S214" s="365">
        <f ca="1">IF(NOT(ISERROR(MATCH(R214,_xlfn.ANCHORARRAY(#REF!),0))),#REF!&amp;"Por favor no seleccionar los criterios de impacto",R214)</f>
        <v>0</v>
      </c>
      <c r="T214" s="364"/>
      <c r="U214" s="365"/>
      <c r="V214" s="351"/>
      <c r="W214" s="233">
        <v>5</v>
      </c>
      <c r="X214" s="207" t="s">
        <v>866</v>
      </c>
      <c r="Y214" s="230" t="str">
        <f t="shared" si="500"/>
        <v>Probabilidad</v>
      </c>
      <c r="Z214" s="185" t="s">
        <v>208</v>
      </c>
      <c r="AA214" s="185" t="s">
        <v>216</v>
      </c>
      <c r="AB214" s="186" t="str">
        <f t="shared" si="537"/>
        <v>40%</v>
      </c>
      <c r="AC214" s="185" t="s">
        <v>219</v>
      </c>
      <c r="AD214" s="185" t="s">
        <v>224</v>
      </c>
      <c r="AE214" s="185" t="s">
        <v>228</v>
      </c>
      <c r="AF214" s="187">
        <f t="shared" si="597"/>
        <v>5.4431999999999994E-2</v>
      </c>
      <c r="AG214" s="188" t="str">
        <f t="shared" si="502"/>
        <v>Muy Baja</v>
      </c>
      <c r="AH214" s="186">
        <f t="shared" si="503"/>
        <v>5.4431999999999994E-2</v>
      </c>
      <c r="AI214" s="188" t="str">
        <f t="shared" ca="1" si="504"/>
        <v>Moderado</v>
      </c>
      <c r="AJ214" s="186">
        <f t="shared" ca="1" si="599"/>
        <v>0.6</v>
      </c>
      <c r="AK214" s="189" t="str">
        <f t="shared" ca="1" si="506"/>
        <v>Moderado</v>
      </c>
      <c r="AL214" s="185" t="s">
        <v>255</v>
      </c>
      <c r="AM214" s="227"/>
      <c r="AN214" s="230"/>
      <c r="AO214" s="228"/>
      <c r="AP214" s="228"/>
      <c r="AQ214" s="227"/>
      <c r="AR214" s="229"/>
    </row>
    <row r="215" spans="1:44" s="191" customFormat="1" ht="133.5" customHeight="1" thickTop="1" thickBot="1" x14ac:dyDescent="0.3">
      <c r="A215" s="352">
        <v>84</v>
      </c>
      <c r="B215" s="353" t="s">
        <v>867</v>
      </c>
      <c r="C215" s="357" t="s">
        <v>278</v>
      </c>
      <c r="D215" s="359" t="s">
        <v>868</v>
      </c>
      <c r="E215" s="357" t="s">
        <v>236</v>
      </c>
      <c r="F215" s="375" t="s">
        <v>869</v>
      </c>
      <c r="G215" s="375" t="s">
        <v>853</v>
      </c>
      <c r="H215" s="374" t="s">
        <v>1168</v>
      </c>
      <c r="I215" s="362" t="s">
        <v>474</v>
      </c>
      <c r="J215" s="362" t="s">
        <v>474</v>
      </c>
      <c r="K215" s="362" t="s">
        <v>474</v>
      </c>
      <c r="L215" s="362" t="s">
        <v>474</v>
      </c>
      <c r="M215" s="357" t="s">
        <v>239</v>
      </c>
      <c r="N215" s="357"/>
      <c r="O215" s="363">
        <v>365</v>
      </c>
      <c r="P215" s="364" t="str">
        <f t="shared" si="570"/>
        <v>Media</v>
      </c>
      <c r="Q215" s="365">
        <f t="shared" si="571"/>
        <v>0.6</v>
      </c>
      <c r="R215" s="365" t="s">
        <v>189</v>
      </c>
      <c r="S215" s="365" t="str">
        <f ca="1">IF(NOT(ISERROR(MATCH(R215,'Tabla Impacto'!$B$221:$B$223,0))),'Tabla Impacto'!$F$223&amp;"Por favor no seleccionar los criterios de impacto(Afectación Económica o presupuestal y Pérdida Reputacional)",R215)</f>
        <v xml:space="preserve">Entre 50 y 100 SMLMV </v>
      </c>
      <c r="T215" s="364" t="str">
        <f ca="1">+IF(OR(S215='[1]Tabla Impacto'!$C$11,S215='[1]Tabla Impacto'!$D$11),"Leve",IF(OR(S215='[1]Tabla Impacto'!$C$12,S215='[1]Tabla Impacto'!$D$12),"Menor",IF(OR(S215='[1]Tabla Impacto'!$C$13,S215='[1]Tabla Impacto'!$D$13),"Moderado",IF(OR(S215='[1]Tabla Impacto'!$C$14,S215='[1]Tabla Impacto'!$D$14),"Mayor",IF(OR(S215='[1]Tabla Impacto'!$C$15,S215='[1]Tabla Impacto'!$D$15),"Catastrófico","")))))</f>
        <v>Moderado</v>
      </c>
      <c r="U215" s="365">
        <f t="shared" ref="U215" ca="1" si="600">IF(T215="","",IF(T215="Leve",0.2,IF(T215="Menor",0.4,IF(T215="Moderado",0.6,IF(T215="Mayor",0.8,IF(T215="Catastrófico",1,))))))</f>
        <v>0.6</v>
      </c>
      <c r="V215" s="351" t="str">
        <f t="shared" ref="V215" ca="1" si="601">IF(OR(AND(P215="Muy Baja",T215="Leve"),AND(P215="Muy Baja",T215="Menor"),AND(P215="Baja",T215="Leve")),"Bajo",IF(OR(AND(P215="Muy baja",T215="Moderado"),AND(P215="Baja",T215="Menor"),AND(P215="Baja",T215="Moderado"),AND(P215="Media",T215="Leve"),AND(P215="Media",T215="Menor"),AND(P215="Media",T215="Moderado"),AND(P215="Alta",T215="Leve"),AND(P215="Alta",T215="Menor")),"Moderado",IF(OR(AND(P215="Muy Baja",T215="Mayor"),AND(P215="Baja",T215="Mayor"),AND(P215="Media",T215="Mayor"),AND(P215="Alta",T215="Moderado"),AND(P215="Alta",T215="Mayor"),AND(P215="Muy Alta",T215="Leve"),AND(P215="Muy Alta",T215="Menor"),AND(P215="Muy Alta",T215="Moderado"),AND(P215="Muy Alta",T215="Mayor")),"Alto",IF(OR(AND(P215="Muy Baja",T215="Catastrófico"),AND(P215="Baja",T215="Catastrófico"),AND(P215="Media",T215="Catastrófico"),AND(P215="Alta",T215="Catastrófico"),AND(P215="Muy Alta",T215="Catastrófico")),"Extremo",""))))</f>
        <v>Moderado</v>
      </c>
      <c r="W215" s="233">
        <v>1</v>
      </c>
      <c r="X215" s="207" t="s">
        <v>870</v>
      </c>
      <c r="Y215" s="230" t="str">
        <f t="shared" si="500"/>
        <v>Probabilidad</v>
      </c>
      <c r="Z215" s="185" t="s">
        <v>208</v>
      </c>
      <c r="AA215" s="185" t="s">
        <v>216</v>
      </c>
      <c r="AB215" s="186" t="str">
        <f t="shared" si="537"/>
        <v>40%</v>
      </c>
      <c r="AC215" s="185" t="s">
        <v>219</v>
      </c>
      <c r="AD215" s="185" t="s">
        <v>224</v>
      </c>
      <c r="AE215" s="185" t="s">
        <v>228</v>
      </c>
      <c r="AF215" s="187">
        <f t="shared" ref="AF215" si="602">IFERROR(IF(Y215="Probabilidad",(Q215-(+Q215*AB215)),IF(Y215="Impacto",Q215,"")),"")</f>
        <v>0.36</v>
      </c>
      <c r="AG215" s="188" t="str">
        <f t="shared" si="502"/>
        <v>Baja</v>
      </c>
      <c r="AH215" s="186">
        <f t="shared" si="503"/>
        <v>0.36</v>
      </c>
      <c r="AI215" s="188" t="str">
        <f t="shared" ca="1" si="504"/>
        <v>Moderado</v>
      </c>
      <c r="AJ215" s="186">
        <f t="shared" ref="AJ215" ca="1" si="603">IFERROR(IF(Y215="Impacto",(U215-(+U215*AB215)),IF(Y215="Probabilidad",U215,"")),"")</f>
        <v>0.6</v>
      </c>
      <c r="AK215" s="189" t="str">
        <f t="shared" ca="1" si="506"/>
        <v>Moderado</v>
      </c>
      <c r="AL215" s="185" t="s">
        <v>255</v>
      </c>
      <c r="AM215" s="227"/>
      <c r="AN215" s="230"/>
      <c r="AO215" s="228"/>
      <c r="AP215" s="228"/>
      <c r="AQ215" s="227"/>
      <c r="AR215" s="229"/>
    </row>
    <row r="216" spans="1:44" s="191" customFormat="1" ht="133.5" customHeight="1" thickTop="1" thickBot="1" x14ac:dyDescent="0.3">
      <c r="A216" s="352"/>
      <c r="B216" s="353"/>
      <c r="C216" s="357"/>
      <c r="D216" s="359"/>
      <c r="E216" s="357"/>
      <c r="F216" s="375"/>
      <c r="G216" s="375"/>
      <c r="H216" s="374"/>
      <c r="I216" s="362"/>
      <c r="J216" s="362"/>
      <c r="K216" s="362"/>
      <c r="L216" s="362"/>
      <c r="M216" s="357"/>
      <c r="N216" s="357"/>
      <c r="O216" s="363"/>
      <c r="P216" s="364"/>
      <c r="Q216" s="365"/>
      <c r="R216" s="365"/>
      <c r="S216" s="365">
        <f ca="1">IF(NOT(ISERROR(MATCH(R216,_xlfn.ANCHORARRAY(H220),0))),Q222&amp;"Por favor no seleccionar los criterios de impacto",R216)</f>
        <v>0</v>
      </c>
      <c r="T216" s="364"/>
      <c r="U216" s="365"/>
      <c r="V216" s="351"/>
      <c r="W216" s="233">
        <v>2</v>
      </c>
      <c r="X216" s="207" t="s">
        <v>871</v>
      </c>
      <c r="Y216" s="230" t="str">
        <f t="shared" ref="Y216:Y245" si="604">IF(OR(Z216="Preventivo",Z216="Detectivo"),"Probabilidad",IF(Z216="Correctivo","Impacto",""))</f>
        <v>Probabilidad</v>
      </c>
      <c r="Z216" s="185" t="s">
        <v>208</v>
      </c>
      <c r="AA216" s="185" t="s">
        <v>216</v>
      </c>
      <c r="AB216" s="186" t="str">
        <f t="shared" si="537"/>
        <v>40%</v>
      </c>
      <c r="AC216" s="185" t="s">
        <v>219</v>
      </c>
      <c r="AD216" s="185" t="s">
        <v>224</v>
      </c>
      <c r="AE216" s="185" t="s">
        <v>228</v>
      </c>
      <c r="AF216" s="187">
        <f t="shared" ref="AF216" si="605">IFERROR(IF(AND(Y215="Probabilidad",Y216="Probabilidad"),(AH215-(+AH215*AB216)),IF(Y216="Probabilidad",(Q215-(+Q215*AB216)),IF(Y216="Impacto",AH215,""))),"")</f>
        <v>0.216</v>
      </c>
      <c r="AG216" s="188" t="str">
        <f t="shared" ref="AG216:AG245" si="606">IFERROR(IF(AF216="","",IF(AF216&lt;=0.2,"Muy Baja",IF(AF216&lt;=0.4,"Baja",IF(AF216&lt;=0.6,"Media",IF(AF216&lt;=0.8,"Alta","Muy Alta"))))),"")</f>
        <v>Baja</v>
      </c>
      <c r="AH216" s="186">
        <f t="shared" ref="AH216:AH245" si="607">+AF216</f>
        <v>0.216</v>
      </c>
      <c r="AI216" s="188" t="str">
        <f t="shared" ref="AI216:AI245" ca="1" si="608">IFERROR(IF(AJ216="","",IF(AJ216&lt;=0.2,"Leve",IF(AJ216&lt;=0.4,"Menor",IF(AJ216&lt;=0.6,"Moderado",IF(AJ216&lt;=0.8,"Mayor","Catastrófico"))))),"")</f>
        <v>Moderado</v>
      </c>
      <c r="AJ216" s="186">
        <f t="shared" ref="AJ216" ca="1" si="609">IFERROR(IF(AND(Y215="Impacto",Y216="Impacto"),(AJ215-(+AJ215*AB216)),IF(Y216="Impacto",(U215-(+U215*AB216)),IF(Y216="Probabilidad",AJ215,""))),"")</f>
        <v>0.6</v>
      </c>
      <c r="AK216" s="189" t="str">
        <f t="shared" ref="AK216:AK245" ca="1" si="610">IFERROR(IF(OR(AND(AG216="Muy Baja",AI216="Leve"),AND(AG216="Muy Baja",AI216="Menor"),AND(AG216="Baja",AI216="Leve")),"Bajo",IF(OR(AND(AG216="Muy baja",AI216="Moderado"),AND(AG216="Baja",AI216="Menor"),AND(AG216="Baja",AI216="Moderado"),AND(AG216="Media",AI216="Leve"),AND(AG216="Media",AI216="Menor"),AND(AG216="Media",AI216="Moderado"),AND(AG216="Alta",AI216="Leve"),AND(AG216="Alta",AI216="Menor")),"Moderado",IF(OR(AND(AG216="Muy Baja",AI216="Mayor"),AND(AG216="Baja",AI216="Mayor"),AND(AG216="Media",AI216="Mayor"),AND(AG216="Alta",AI216="Moderado"),AND(AG216="Alta",AI216="Mayor"),AND(AG216="Muy Alta",AI216="Leve"),AND(AG216="Muy Alta",AI216="Menor"),AND(AG216="Muy Alta",AI216="Moderado"),AND(AG216="Muy Alta",AI216="Mayor")),"Alto",IF(OR(AND(AG216="Muy Baja",AI216="Catastrófico"),AND(AG216="Baja",AI216="Catastrófico"),AND(AG216="Media",AI216="Catastrófico"),AND(AG216="Alta",AI216="Catastrófico"),AND(AG216="Muy Alta",AI216="Catastrófico")),"Extremo","")))),"")</f>
        <v>Moderado</v>
      </c>
      <c r="AL216" s="185" t="s">
        <v>255</v>
      </c>
      <c r="AM216" s="227"/>
      <c r="AN216" s="230"/>
      <c r="AO216" s="228"/>
      <c r="AP216" s="228"/>
      <c r="AQ216" s="227"/>
      <c r="AR216" s="229"/>
    </row>
    <row r="217" spans="1:44" s="191" customFormat="1" ht="100.5" customHeight="1" thickTop="1" thickBot="1" x14ac:dyDescent="0.3">
      <c r="A217" s="352">
        <v>85</v>
      </c>
      <c r="B217" s="353" t="s">
        <v>872</v>
      </c>
      <c r="C217" s="357" t="s">
        <v>278</v>
      </c>
      <c r="D217" s="359" t="s">
        <v>873</v>
      </c>
      <c r="E217" s="357" t="s">
        <v>236</v>
      </c>
      <c r="F217" s="375" t="s">
        <v>874</v>
      </c>
      <c r="G217" s="375" t="s">
        <v>1094</v>
      </c>
      <c r="H217" s="374" t="s">
        <v>1169</v>
      </c>
      <c r="I217" s="362" t="s">
        <v>474</v>
      </c>
      <c r="J217" s="362" t="s">
        <v>474</v>
      </c>
      <c r="K217" s="362" t="s">
        <v>474</v>
      </c>
      <c r="L217" s="362" t="s">
        <v>474</v>
      </c>
      <c r="M217" s="357" t="s">
        <v>468</v>
      </c>
      <c r="N217" s="357"/>
      <c r="O217" s="363">
        <v>500</v>
      </c>
      <c r="P217" s="364" t="str">
        <f t="shared" si="570"/>
        <v>Media</v>
      </c>
      <c r="Q217" s="365">
        <f t="shared" si="571"/>
        <v>0.6</v>
      </c>
      <c r="R217" s="365" t="s">
        <v>189</v>
      </c>
      <c r="S217" s="365" t="str">
        <f ca="1">IF(NOT(ISERROR(MATCH(R217,'Tabla Impacto'!$B$221:$B$223,0))),'Tabla Impacto'!$F$223&amp;"Por favor no seleccionar los criterios de impacto(Afectación Económica o presupuestal y Pérdida Reputacional)",R217)</f>
        <v xml:space="preserve">Entre 50 y 100 SMLMV </v>
      </c>
      <c r="T217" s="364" t="str">
        <f ca="1">+IF(OR(S217='[1]Tabla Impacto'!$C$11,S217='[1]Tabla Impacto'!$D$11),"Leve",IF(OR(S217='[1]Tabla Impacto'!$C$12,S217='[1]Tabla Impacto'!$D$12),"Menor",IF(OR(S217='[1]Tabla Impacto'!$C$13,S217='[1]Tabla Impacto'!$D$13),"Moderado",IF(OR(S217='[1]Tabla Impacto'!$C$14,S217='[1]Tabla Impacto'!$D$14),"Mayor",IF(OR(S217='[1]Tabla Impacto'!$C$15,S217='[1]Tabla Impacto'!$D$15),"Catastrófico","")))))</f>
        <v>Moderado</v>
      </c>
      <c r="U217" s="365">
        <f t="shared" ref="U217" ca="1" si="611">IF(T217="","",IF(T217="Leve",0.2,IF(T217="Menor",0.4,IF(T217="Moderado",0.6,IF(T217="Mayor",0.8,IF(T217="Catastrófico",1,))))))</f>
        <v>0.6</v>
      </c>
      <c r="V217" s="351" t="str">
        <f t="shared" ref="V217" ca="1" si="612">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Moderado</v>
      </c>
      <c r="W217" s="233">
        <v>1</v>
      </c>
      <c r="X217" s="207" t="s">
        <v>875</v>
      </c>
      <c r="Y217" s="230" t="str">
        <f t="shared" si="604"/>
        <v>Probabilidad</v>
      </c>
      <c r="Z217" s="185" t="s">
        <v>208</v>
      </c>
      <c r="AA217" s="185" t="s">
        <v>216</v>
      </c>
      <c r="AB217" s="186" t="str">
        <f t="shared" si="537"/>
        <v>40%</v>
      </c>
      <c r="AC217" s="185" t="s">
        <v>219</v>
      </c>
      <c r="AD217" s="185" t="s">
        <v>224</v>
      </c>
      <c r="AE217" s="185" t="s">
        <v>228</v>
      </c>
      <c r="AF217" s="187">
        <f t="shared" ref="AF217" si="613">IFERROR(IF(Y217="Probabilidad",(Q217-(+Q217*AB217)),IF(Y217="Impacto",Q217,"")),"")</f>
        <v>0.36</v>
      </c>
      <c r="AG217" s="188" t="str">
        <f t="shared" si="606"/>
        <v>Baja</v>
      </c>
      <c r="AH217" s="186">
        <f t="shared" si="607"/>
        <v>0.36</v>
      </c>
      <c r="AI217" s="188" t="str">
        <f t="shared" ca="1" si="608"/>
        <v>Moderado</v>
      </c>
      <c r="AJ217" s="186">
        <f t="shared" ref="AJ217" ca="1" si="614">IFERROR(IF(Y217="Impacto",(U217-(+U217*AB217)),IF(Y217="Probabilidad",U217,"")),"")</f>
        <v>0.6</v>
      </c>
      <c r="AK217" s="189" t="str">
        <f t="shared" ca="1" si="610"/>
        <v>Moderado</v>
      </c>
      <c r="AL217" s="185" t="s">
        <v>255</v>
      </c>
      <c r="AM217" s="227"/>
      <c r="AN217" s="230"/>
      <c r="AO217" s="228"/>
      <c r="AP217" s="228"/>
      <c r="AQ217" s="227"/>
      <c r="AR217" s="229"/>
    </row>
    <row r="218" spans="1:44" s="191" customFormat="1" ht="98.25" customHeight="1" thickTop="1" thickBot="1" x14ac:dyDescent="0.3">
      <c r="A218" s="352"/>
      <c r="B218" s="353"/>
      <c r="C218" s="357"/>
      <c r="D218" s="359"/>
      <c r="E218" s="357"/>
      <c r="F218" s="375"/>
      <c r="G218" s="375"/>
      <c r="H218" s="374"/>
      <c r="I218" s="362"/>
      <c r="J218" s="362"/>
      <c r="K218" s="362"/>
      <c r="L218" s="362"/>
      <c r="M218" s="357"/>
      <c r="N218" s="357"/>
      <c r="O218" s="363"/>
      <c r="P218" s="364"/>
      <c r="Q218" s="365"/>
      <c r="R218" s="365"/>
      <c r="S218" s="365">
        <f ca="1">IF(NOT(ISERROR(MATCH(R218,_xlfn.ANCHORARRAY(H225),0))),Q227&amp;"Por favor no seleccionar los criterios de impacto",R218)</f>
        <v>0</v>
      </c>
      <c r="T218" s="364"/>
      <c r="U218" s="365"/>
      <c r="V218" s="351"/>
      <c r="W218" s="233">
        <v>2</v>
      </c>
      <c r="X218" s="207" t="s">
        <v>876</v>
      </c>
      <c r="Y218" s="230" t="str">
        <f t="shared" si="604"/>
        <v>Probabilidad</v>
      </c>
      <c r="Z218" s="185" t="s">
        <v>208</v>
      </c>
      <c r="AA218" s="185" t="s">
        <v>216</v>
      </c>
      <c r="AB218" s="186" t="str">
        <f t="shared" si="537"/>
        <v>40%</v>
      </c>
      <c r="AC218" s="185" t="s">
        <v>219</v>
      </c>
      <c r="AD218" s="185" t="s">
        <v>224</v>
      </c>
      <c r="AE218" s="185" t="s">
        <v>228</v>
      </c>
      <c r="AF218" s="187">
        <f t="shared" ref="AF218:AF219" si="615">IFERROR(IF(AND(Y217="Probabilidad",Y218="Probabilidad"),(AH217-(+AH217*AB218)),IF(Y218="Probabilidad",(Q217-(+Q217*AB218)),IF(Y218="Impacto",AH217,""))),"")</f>
        <v>0.216</v>
      </c>
      <c r="AG218" s="188" t="str">
        <f t="shared" si="606"/>
        <v>Baja</v>
      </c>
      <c r="AH218" s="186">
        <f t="shared" si="607"/>
        <v>0.216</v>
      </c>
      <c r="AI218" s="188" t="str">
        <f t="shared" ca="1" si="608"/>
        <v>Moderado</v>
      </c>
      <c r="AJ218" s="186">
        <f t="shared" ref="AJ218" ca="1" si="616">IFERROR(IF(AND(Y217="Impacto",Y218="Impacto"),(AJ217-(+AJ217*AB218)),IF(Y218="Impacto",(U217-(+U217*AB218)),IF(Y218="Probabilidad",AJ217,""))),"")</f>
        <v>0.6</v>
      </c>
      <c r="AK218" s="189" t="str">
        <f t="shared" ca="1" si="610"/>
        <v>Moderado</v>
      </c>
      <c r="AL218" s="185" t="s">
        <v>255</v>
      </c>
      <c r="AM218" s="227"/>
      <c r="AN218" s="230"/>
      <c r="AO218" s="228"/>
      <c r="AP218" s="228"/>
      <c r="AQ218" s="227"/>
      <c r="AR218" s="229"/>
    </row>
    <row r="219" spans="1:44" s="191" customFormat="1" ht="110.25" thickTop="1" thickBot="1" x14ac:dyDescent="0.3">
      <c r="A219" s="352"/>
      <c r="B219" s="353"/>
      <c r="C219" s="357"/>
      <c r="D219" s="359"/>
      <c r="E219" s="357"/>
      <c r="F219" s="375"/>
      <c r="G219" s="375"/>
      <c r="H219" s="374"/>
      <c r="I219" s="362"/>
      <c r="J219" s="362"/>
      <c r="K219" s="362"/>
      <c r="L219" s="362"/>
      <c r="M219" s="357"/>
      <c r="N219" s="357"/>
      <c r="O219" s="363"/>
      <c r="P219" s="364"/>
      <c r="Q219" s="365"/>
      <c r="R219" s="365"/>
      <c r="S219" s="365">
        <f ca="1">IF(NOT(ISERROR(MATCH(R219,_xlfn.ANCHORARRAY(H226),0))),Q228&amp;"Por favor no seleccionar los criterios de impacto",R219)</f>
        <v>0</v>
      </c>
      <c r="T219" s="364"/>
      <c r="U219" s="365"/>
      <c r="V219" s="351"/>
      <c r="W219" s="233">
        <v>3</v>
      </c>
      <c r="X219" s="207" t="s">
        <v>877</v>
      </c>
      <c r="Y219" s="230" t="str">
        <f t="shared" si="604"/>
        <v>Probabilidad</v>
      </c>
      <c r="Z219" s="185" t="s">
        <v>208</v>
      </c>
      <c r="AA219" s="185" t="s">
        <v>216</v>
      </c>
      <c r="AB219" s="186" t="str">
        <f t="shared" si="537"/>
        <v>40%</v>
      </c>
      <c r="AC219" s="185" t="s">
        <v>219</v>
      </c>
      <c r="AD219" s="185" t="s">
        <v>224</v>
      </c>
      <c r="AE219" s="185" t="s">
        <v>228</v>
      </c>
      <c r="AF219" s="187">
        <f t="shared" si="615"/>
        <v>0.12959999999999999</v>
      </c>
      <c r="AG219" s="188" t="str">
        <f t="shared" si="606"/>
        <v>Muy Baja</v>
      </c>
      <c r="AH219" s="186">
        <f t="shared" si="607"/>
        <v>0.12959999999999999</v>
      </c>
      <c r="AI219" s="188" t="str">
        <f t="shared" ca="1" si="608"/>
        <v>Moderado</v>
      </c>
      <c r="AJ219" s="186">
        <f t="shared" ref="AJ219" ca="1" si="617">IFERROR(IF(AND(Y218="Impacto",Y219="Impacto"),(AJ218-(+AJ218*AB219)),IF(AND(Y218="Probabilidad",Y219="Impacto"),(AJ217-(+AJ217*AB219)),IF(Y219="Probabilidad",AJ218,""))),"")</f>
        <v>0.6</v>
      </c>
      <c r="AK219" s="189" t="str">
        <f t="shared" ca="1" si="610"/>
        <v>Moderado</v>
      </c>
      <c r="AL219" s="185" t="s">
        <v>255</v>
      </c>
      <c r="AM219" s="227"/>
      <c r="AN219" s="230"/>
      <c r="AO219" s="228"/>
      <c r="AP219" s="228"/>
      <c r="AQ219" s="227"/>
      <c r="AR219" s="229"/>
    </row>
    <row r="220" spans="1:44" s="191" customFormat="1" ht="110.25" thickTop="1" thickBot="1" x14ac:dyDescent="0.3">
      <c r="A220" s="352">
        <v>86</v>
      </c>
      <c r="B220" s="353" t="s">
        <v>878</v>
      </c>
      <c r="C220" s="357" t="s">
        <v>278</v>
      </c>
      <c r="D220" s="359" t="s">
        <v>879</v>
      </c>
      <c r="E220" s="357" t="s">
        <v>236</v>
      </c>
      <c r="F220" s="375" t="s">
        <v>880</v>
      </c>
      <c r="G220" s="375" t="s">
        <v>881</v>
      </c>
      <c r="H220" s="374" t="s">
        <v>1170</v>
      </c>
      <c r="I220" s="362" t="s">
        <v>474</v>
      </c>
      <c r="J220" s="362" t="s">
        <v>474</v>
      </c>
      <c r="K220" s="362" t="s">
        <v>474</v>
      </c>
      <c r="L220" s="362" t="s">
        <v>474</v>
      </c>
      <c r="M220" s="357" t="s">
        <v>468</v>
      </c>
      <c r="N220" s="357"/>
      <c r="O220" s="363">
        <v>12</v>
      </c>
      <c r="P220" s="364" t="str">
        <f t="shared" si="570"/>
        <v>Baja</v>
      </c>
      <c r="Q220" s="365">
        <f t="shared" si="571"/>
        <v>0.4</v>
      </c>
      <c r="R220" s="365" t="s">
        <v>189</v>
      </c>
      <c r="S220" s="365" t="str">
        <f ca="1">IF(NOT(ISERROR(MATCH(R220,'Tabla Impacto'!$B$221:$B$223,0))),'Tabla Impacto'!$F$223&amp;"Por favor no seleccionar los criterios de impacto(Afectación Económica o presupuestal y Pérdida Reputacional)",R220)</f>
        <v xml:space="preserve">Entre 50 y 100 SMLMV </v>
      </c>
      <c r="T220" s="364" t="str">
        <f ca="1">+IF(OR(S220='[1]Tabla Impacto'!$C$11,S220='[1]Tabla Impacto'!$D$11),"Leve",IF(OR(S220='[1]Tabla Impacto'!$C$12,S220='[1]Tabla Impacto'!$D$12),"Menor",IF(OR(S220='[1]Tabla Impacto'!$C$13,S220='[1]Tabla Impacto'!$D$13),"Moderado",IF(OR(S220='[1]Tabla Impacto'!$C$14,S220='[1]Tabla Impacto'!$D$14),"Mayor",IF(OR(S220='[1]Tabla Impacto'!$C$15,S220='[1]Tabla Impacto'!$D$15),"Catastrófico","")))))</f>
        <v>Moderado</v>
      </c>
      <c r="U220" s="365">
        <f t="shared" ref="U220" ca="1" si="618">IF(T220="","",IF(T220="Leve",0.2,IF(T220="Menor",0.4,IF(T220="Moderado",0.6,IF(T220="Mayor",0.8,IF(T220="Catastrófico",1,))))))</f>
        <v>0.6</v>
      </c>
      <c r="V220" s="351" t="str">
        <f t="shared" ref="V220" ca="1" si="619">IF(OR(AND(P220="Muy Baja",T220="Leve"),AND(P220="Muy Baja",T220="Menor"),AND(P220="Baja",T220="Leve")),"Bajo",IF(OR(AND(P220="Muy baja",T220="Moderado"),AND(P220="Baja",T220="Menor"),AND(P220="Baja",T220="Moderado"),AND(P220="Media",T220="Leve"),AND(P220="Media",T220="Menor"),AND(P220="Media",T220="Moderado"),AND(P220="Alta",T220="Leve"),AND(P220="Alta",T220="Menor")),"Moderado",IF(OR(AND(P220="Muy Baja",T220="Mayor"),AND(P220="Baja",T220="Mayor"),AND(P220="Media",T220="Mayor"),AND(P220="Alta",T220="Moderado"),AND(P220="Alta",T220="Mayor"),AND(P220="Muy Alta",T220="Leve"),AND(P220="Muy Alta",T220="Menor"),AND(P220="Muy Alta",T220="Moderado"),AND(P220="Muy Alta",T220="Mayor")),"Alto",IF(OR(AND(P220="Muy Baja",T220="Catastrófico"),AND(P220="Baja",T220="Catastrófico"),AND(P220="Media",T220="Catastrófico"),AND(P220="Alta",T220="Catastrófico"),AND(P220="Muy Alta",T220="Catastrófico")),"Extremo",""))))</f>
        <v>Moderado</v>
      </c>
      <c r="W220" s="233">
        <v>1</v>
      </c>
      <c r="X220" s="207" t="s">
        <v>882</v>
      </c>
      <c r="Y220" s="230" t="str">
        <f t="shared" si="604"/>
        <v>Probabilidad</v>
      </c>
      <c r="Z220" s="185" t="s">
        <v>208</v>
      </c>
      <c r="AA220" s="185" t="s">
        <v>216</v>
      </c>
      <c r="AB220" s="186" t="str">
        <f t="shared" si="537"/>
        <v>40%</v>
      </c>
      <c r="AC220" s="185" t="s">
        <v>219</v>
      </c>
      <c r="AD220" s="185" t="s">
        <v>224</v>
      </c>
      <c r="AE220" s="185" t="s">
        <v>228</v>
      </c>
      <c r="AF220" s="187">
        <f t="shared" ref="AF220" si="620">IFERROR(IF(Y220="Probabilidad",(Q220-(+Q220*AB220)),IF(Y220="Impacto",Q220,"")),"")</f>
        <v>0.24</v>
      </c>
      <c r="AG220" s="188" t="str">
        <f t="shared" si="606"/>
        <v>Baja</v>
      </c>
      <c r="AH220" s="186">
        <f t="shared" si="607"/>
        <v>0.24</v>
      </c>
      <c r="AI220" s="188" t="str">
        <f t="shared" ca="1" si="608"/>
        <v>Moderado</v>
      </c>
      <c r="AJ220" s="186">
        <f t="shared" ref="AJ220" ca="1" si="621">IFERROR(IF(Y220="Impacto",(U220-(+U220*AB220)),IF(Y220="Probabilidad",U220,"")),"")</f>
        <v>0.6</v>
      </c>
      <c r="AK220" s="189" t="str">
        <f t="shared" ca="1" si="610"/>
        <v>Moderado</v>
      </c>
      <c r="AL220" s="185" t="s">
        <v>255</v>
      </c>
      <c r="AM220" s="227"/>
      <c r="AN220" s="230"/>
      <c r="AO220" s="228"/>
      <c r="AP220" s="228"/>
      <c r="AQ220" s="227"/>
      <c r="AR220" s="229"/>
    </row>
    <row r="221" spans="1:44" s="191" customFormat="1" ht="136.5" customHeight="1" thickTop="1" thickBot="1" x14ac:dyDescent="0.3">
      <c r="A221" s="352"/>
      <c r="B221" s="353"/>
      <c r="C221" s="357"/>
      <c r="D221" s="359"/>
      <c r="E221" s="357"/>
      <c r="F221" s="375"/>
      <c r="G221" s="375"/>
      <c r="H221" s="374"/>
      <c r="I221" s="362"/>
      <c r="J221" s="362"/>
      <c r="K221" s="362"/>
      <c r="L221" s="362"/>
      <c r="M221" s="357"/>
      <c r="N221" s="357"/>
      <c r="O221" s="363"/>
      <c r="P221" s="364"/>
      <c r="Q221" s="365"/>
      <c r="R221" s="365"/>
      <c r="S221" s="365">
        <f ca="1">IF(NOT(ISERROR(MATCH(R221,_xlfn.ANCHORARRAY(H229),0))),#REF!&amp;"Por favor no seleccionar los criterios de impacto",R221)</f>
        <v>0</v>
      </c>
      <c r="T221" s="364"/>
      <c r="U221" s="365"/>
      <c r="V221" s="351"/>
      <c r="W221" s="233">
        <v>2</v>
      </c>
      <c r="X221" s="207" t="s">
        <v>883</v>
      </c>
      <c r="Y221" s="230" t="str">
        <f t="shared" si="604"/>
        <v>Probabilidad</v>
      </c>
      <c r="Z221" s="185" t="s">
        <v>208</v>
      </c>
      <c r="AA221" s="185" t="s">
        <v>216</v>
      </c>
      <c r="AB221" s="186" t="str">
        <f t="shared" si="537"/>
        <v>40%</v>
      </c>
      <c r="AC221" s="185" t="s">
        <v>219</v>
      </c>
      <c r="AD221" s="185" t="s">
        <v>224</v>
      </c>
      <c r="AE221" s="185" t="s">
        <v>228</v>
      </c>
      <c r="AF221" s="187">
        <f t="shared" ref="AF221:AF224" si="622">IFERROR(IF(AND(Y220="Probabilidad",Y221="Probabilidad"),(AH220-(+AH220*AB221)),IF(Y221="Probabilidad",(Q220-(+Q220*AB221)),IF(Y221="Impacto",AH220,""))),"")</f>
        <v>0.14399999999999999</v>
      </c>
      <c r="AG221" s="188" t="str">
        <f t="shared" si="606"/>
        <v>Muy Baja</v>
      </c>
      <c r="AH221" s="186">
        <f t="shared" si="607"/>
        <v>0.14399999999999999</v>
      </c>
      <c r="AI221" s="188" t="str">
        <f t="shared" ca="1" si="608"/>
        <v>Moderado</v>
      </c>
      <c r="AJ221" s="186">
        <f t="shared" ref="AJ221" ca="1" si="623">IFERROR(IF(AND(Y220="Impacto",Y221="Impacto"),(AJ220-(+AJ220*AB221)),IF(Y221="Impacto",(U220-(+U220*AB221)),IF(Y221="Probabilidad",AJ220,""))),"")</f>
        <v>0.6</v>
      </c>
      <c r="AK221" s="189" t="str">
        <f t="shared" ca="1" si="610"/>
        <v>Moderado</v>
      </c>
      <c r="AL221" s="185" t="s">
        <v>255</v>
      </c>
      <c r="AM221" s="227"/>
      <c r="AN221" s="230"/>
      <c r="AO221" s="228"/>
      <c r="AP221" s="228"/>
      <c r="AQ221" s="227"/>
      <c r="AR221" s="229"/>
    </row>
    <row r="222" spans="1:44" s="191" customFormat="1" ht="123.75" customHeight="1" thickTop="1" thickBot="1" x14ac:dyDescent="0.3">
      <c r="A222" s="352"/>
      <c r="B222" s="353"/>
      <c r="C222" s="357"/>
      <c r="D222" s="359"/>
      <c r="E222" s="357"/>
      <c r="F222" s="375"/>
      <c r="G222" s="375"/>
      <c r="H222" s="374"/>
      <c r="I222" s="362"/>
      <c r="J222" s="362"/>
      <c r="K222" s="362"/>
      <c r="L222" s="362"/>
      <c r="M222" s="357"/>
      <c r="N222" s="357"/>
      <c r="O222" s="363"/>
      <c r="P222" s="364"/>
      <c r="Q222" s="365"/>
      <c r="R222" s="365"/>
      <c r="S222" s="365">
        <f ca="1">IF(NOT(ISERROR(MATCH(R222,_xlfn.ANCHORARRAY(#REF!),0))),#REF!&amp;"Por favor no seleccionar los criterios de impacto",R222)</f>
        <v>0</v>
      </c>
      <c r="T222" s="364"/>
      <c r="U222" s="365"/>
      <c r="V222" s="351"/>
      <c r="W222" s="233">
        <v>3</v>
      </c>
      <c r="X222" s="207" t="s">
        <v>884</v>
      </c>
      <c r="Y222" s="230" t="str">
        <f t="shared" si="604"/>
        <v>Probabilidad</v>
      </c>
      <c r="Z222" s="185" t="s">
        <v>208</v>
      </c>
      <c r="AA222" s="185" t="s">
        <v>216</v>
      </c>
      <c r="AB222" s="186" t="str">
        <f t="shared" si="537"/>
        <v>40%</v>
      </c>
      <c r="AC222" s="185" t="s">
        <v>219</v>
      </c>
      <c r="AD222" s="185" t="s">
        <v>224</v>
      </c>
      <c r="AE222" s="185" t="s">
        <v>228</v>
      </c>
      <c r="AF222" s="187">
        <f t="shared" si="622"/>
        <v>8.6399999999999991E-2</v>
      </c>
      <c r="AG222" s="188" t="str">
        <f t="shared" si="606"/>
        <v>Muy Baja</v>
      </c>
      <c r="AH222" s="186">
        <f t="shared" si="607"/>
        <v>8.6399999999999991E-2</v>
      </c>
      <c r="AI222" s="188" t="str">
        <f t="shared" ca="1" si="608"/>
        <v>Moderado</v>
      </c>
      <c r="AJ222" s="186">
        <f t="shared" ref="AJ222:AJ224" ca="1" si="624">IFERROR(IF(AND(Y221="Impacto",Y222="Impacto"),(AJ221-(+AJ221*AB222)),IF(AND(Y221="Probabilidad",Y222="Impacto"),(AJ220-(+AJ220*AB222)),IF(Y222="Probabilidad",AJ221,""))),"")</f>
        <v>0.6</v>
      </c>
      <c r="AK222" s="189" t="str">
        <f t="shared" ca="1" si="610"/>
        <v>Moderado</v>
      </c>
      <c r="AL222" s="185" t="s">
        <v>255</v>
      </c>
      <c r="AM222" s="227"/>
      <c r="AN222" s="230"/>
      <c r="AO222" s="228"/>
      <c r="AP222" s="228"/>
      <c r="AQ222" s="227"/>
      <c r="AR222" s="229"/>
    </row>
    <row r="223" spans="1:44" s="191" customFormat="1" ht="110.25" thickTop="1" thickBot="1" x14ac:dyDescent="0.3">
      <c r="A223" s="352"/>
      <c r="B223" s="353"/>
      <c r="C223" s="357"/>
      <c r="D223" s="359"/>
      <c r="E223" s="357"/>
      <c r="F223" s="375"/>
      <c r="G223" s="375"/>
      <c r="H223" s="374"/>
      <c r="I223" s="362"/>
      <c r="J223" s="362"/>
      <c r="K223" s="362"/>
      <c r="L223" s="362"/>
      <c r="M223" s="357"/>
      <c r="N223" s="357"/>
      <c r="O223" s="363"/>
      <c r="P223" s="364"/>
      <c r="Q223" s="365"/>
      <c r="R223" s="365"/>
      <c r="S223" s="365">
        <f ca="1">IF(NOT(ISERROR(MATCH(R223,_xlfn.ANCHORARRAY(#REF!),0))),#REF!&amp;"Por favor no seleccionar los criterios de impacto",R223)</f>
        <v>0</v>
      </c>
      <c r="T223" s="364"/>
      <c r="U223" s="365"/>
      <c r="V223" s="351"/>
      <c r="W223" s="233">
        <v>4</v>
      </c>
      <c r="X223" s="207" t="s">
        <v>885</v>
      </c>
      <c r="Y223" s="230" t="str">
        <f t="shared" si="604"/>
        <v>Probabilidad</v>
      </c>
      <c r="Z223" s="185" t="s">
        <v>208</v>
      </c>
      <c r="AA223" s="185" t="s">
        <v>216</v>
      </c>
      <c r="AB223" s="186" t="str">
        <f t="shared" si="537"/>
        <v>40%</v>
      </c>
      <c r="AC223" s="185" t="s">
        <v>219</v>
      </c>
      <c r="AD223" s="185" t="s">
        <v>224</v>
      </c>
      <c r="AE223" s="185" t="s">
        <v>228</v>
      </c>
      <c r="AF223" s="187">
        <f t="shared" si="622"/>
        <v>5.183999999999999E-2</v>
      </c>
      <c r="AG223" s="188" t="str">
        <f t="shared" si="606"/>
        <v>Muy Baja</v>
      </c>
      <c r="AH223" s="186">
        <f t="shared" si="607"/>
        <v>5.183999999999999E-2</v>
      </c>
      <c r="AI223" s="188" t="str">
        <f t="shared" ca="1" si="608"/>
        <v>Moderado</v>
      </c>
      <c r="AJ223" s="186">
        <f t="shared" ca="1" si="624"/>
        <v>0.6</v>
      </c>
      <c r="AK223" s="189" t="str">
        <f t="shared" ca="1" si="610"/>
        <v>Moderado</v>
      </c>
      <c r="AL223" s="185" t="s">
        <v>255</v>
      </c>
      <c r="AM223" s="227"/>
      <c r="AN223" s="230"/>
      <c r="AO223" s="228"/>
      <c r="AP223" s="228"/>
      <c r="AQ223" s="227"/>
      <c r="AR223" s="229"/>
    </row>
    <row r="224" spans="1:44" s="191" customFormat="1" ht="81.75" customHeight="1" thickTop="1" thickBot="1" x14ac:dyDescent="0.3">
      <c r="A224" s="352"/>
      <c r="B224" s="353"/>
      <c r="C224" s="357"/>
      <c r="D224" s="359"/>
      <c r="E224" s="357"/>
      <c r="F224" s="375"/>
      <c r="G224" s="375"/>
      <c r="H224" s="374"/>
      <c r="I224" s="362"/>
      <c r="J224" s="362"/>
      <c r="K224" s="362"/>
      <c r="L224" s="362"/>
      <c r="M224" s="357"/>
      <c r="N224" s="357"/>
      <c r="O224" s="363"/>
      <c r="P224" s="364"/>
      <c r="Q224" s="365"/>
      <c r="R224" s="365"/>
      <c r="S224" s="365">
        <f ca="1">IF(NOT(ISERROR(MATCH(R224,_xlfn.ANCHORARRAY(#REF!),0))),#REF!&amp;"Por favor no seleccionar los criterios de impacto",R224)</f>
        <v>0</v>
      </c>
      <c r="T224" s="364"/>
      <c r="U224" s="365"/>
      <c r="V224" s="351"/>
      <c r="W224" s="233">
        <v>5</v>
      </c>
      <c r="X224" s="207" t="s">
        <v>886</v>
      </c>
      <c r="Y224" s="230" t="str">
        <f t="shared" si="604"/>
        <v>Impacto</v>
      </c>
      <c r="Z224" s="185" t="s">
        <v>212</v>
      </c>
      <c r="AA224" s="185" t="s">
        <v>216</v>
      </c>
      <c r="AB224" s="186" t="str">
        <f t="shared" si="537"/>
        <v>25%</v>
      </c>
      <c r="AC224" s="185" t="s">
        <v>219</v>
      </c>
      <c r="AD224" s="185" t="s">
        <v>224</v>
      </c>
      <c r="AE224" s="185" t="s">
        <v>228</v>
      </c>
      <c r="AF224" s="187">
        <f t="shared" si="622"/>
        <v>5.183999999999999E-2</v>
      </c>
      <c r="AG224" s="188" t="str">
        <f t="shared" si="606"/>
        <v>Muy Baja</v>
      </c>
      <c r="AH224" s="186">
        <f t="shared" si="607"/>
        <v>5.183999999999999E-2</v>
      </c>
      <c r="AI224" s="188" t="str">
        <f t="shared" ca="1" si="608"/>
        <v>Moderado</v>
      </c>
      <c r="AJ224" s="186">
        <f t="shared" ca="1" si="624"/>
        <v>0.44999999999999996</v>
      </c>
      <c r="AK224" s="189" t="str">
        <f t="shared" ca="1" si="610"/>
        <v>Moderado</v>
      </c>
      <c r="AL224" s="185" t="s">
        <v>255</v>
      </c>
      <c r="AM224" s="227"/>
      <c r="AN224" s="230"/>
      <c r="AO224" s="228"/>
      <c r="AP224" s="228"/>
      <c r="AQ224" s="227"/>
      <c r="AR224" s="229"/>
    </row>
    <row r="225" spans="1:44" s="191" customFormat="1" ht="129.75" thickTop="1" thickBot="1" x14ac:dyDescent="0.3">
      <c r="A225" s="352">
        <v>87</v>
      </c>
      <c r="B225" s="353" t="s">
        <v>887</v>
      </c>
      <c r="C225" s="357" t="s">
        <v>278</v>
      </c>
      <c r="D225" s="359" t="s">
        <v>888</v>
      </c>
      <c r="E225" s="357" t="s">
        <v>236</v>
      </c>
      <c r="F225" s="375" t="s">
        <v>889</v>
      </c>
      <c r="G225" s="375" t="s">
        <v>890</v>
      </c>
      <c r="H225" s="374" t="s">
        <v>1186</v>
      </c>
      <c r="I225" s="362" t="s">
        <v>593</v>
      </c>
      <c r="J225" s="362" t="s">
        <v>593</v>
      </c>
      <c r="K225" s="362" t="s">
        <v>593</v>
      </c>
      <c r="L225" s="362" t="s">
        <v>593</v>
      </c>
      <c r="M225" s="373" t="s">
        <v>244</v>
      </c>
      <c r="N225" s="357"/>
      <c r="O225" s="363">
        <v>365</v>
      </c>
      <c r="P225" s="364" t="str">
        <f t="shared" si="570"/>
        <v>Media</v>
      </c>
      <c r="Q225" s="365">
        <f t="shared" si="571"/>
        <v>0.6</v>
      </c>
      <c r="R225" s="365" t="s">
        <v>192</v>
      </c>
      <c r="S225" s="365" t="str">
        <f ca="1">IF(NOT(ISERROR(MATCH(R225,'Tabla Impacto'!$B$221:$B$223,0))),'Tabla Impacto'!$F$223&amp;"Por favor no seleccionar los criterios de impacto(Afectación Económica o presupuestal y Pérdida Reputacional)",R225)</f>
        <v xml:space="preserve">Entre 100 y 500 SMLMV </v>
      </c>
      <c r="T225" s="364" t="str">
        <f ca="1">+IF(OR(S225='[1]Tabla Impacto'!$C$11,S225='[1]Tabla Impacto'!$D$11),"Leve",IF(OR(S225='[1]Tabla Impacto'!$C$12,S225='[1]Tabla Impacto'!$D$12),"Menor",IF(OR(S225='[1]Tabla Impacto'!$C$13,S225='[1]Tabla Impacto'!$D$13),"Moderado",IF(OR(S225='[1]Tabla Impacto'!$C$14,S225='[1]Tabla Impacto'!$D$14),"Mayor",IF(OR(S225='[1]Tabla Impacto'!$C$15,S225='[1]Tabla Impacto'!$D$15),"Catastrófico","")))))</f>
        <v>Mayor</v>
      </c>
      <c r="U225" s="365">
        <f t="shared" ref="U225" ca="1" si="625">IF(T225="","",IF(T225="Leve",0.2,IF(T225="Menor",0.4,IF(T225="Moderado",0.6,IF(T225="Mayor",0.8,IF(T225="Catastrófico",1,))))))</f>
        <v>0.8</v>
      </c>
      <c r="V225" s="351" t="str">
        <f t="shared" ref="V225" ca="1" si="626">IF(OR(AND(P225="Muy Baja",T225="Leve"),AND(P225="Muy Baja",T225="Menor"),AND(P225="Baja",T225="Leve")),"Bajo",IF(OR(AND(P225="Muy baja",T225="Moderado"),AND(P225="Baja",T225="Menor"),AND(P225="Baja",T225="Moderado"),AND(P225="Media",T225="Leve"),AND(P225="Media",T225="Menor"),AND(P225="Media",T225="Moderado"),AND(P225="Alta",T225="Leve"),AND(P225="Alta",T225="Menor")),"Moderado",IF(OR(AND(P225="Muy Baja",T225="Mayor"),AND(P225="Baja",T225="Mayor"),AND(P225="Media",T225="Mayor"),AND(P225="Alta",T225="Moderado"),AND(P225="Alta",T225="Mayor"),AND(P225="Muy Alta",T225="Leve"),AND(P225="Muy Alta",T225="Menor"),AND(P225="Muy Alta",T225="Moderado"),AND(P225="Muy Alta",T225="Mayor")),"Alto",IF(OR(AND(P225="Muy Baja",T225="Catastrófico"),AND(P225="Baja",T225="Catastrófico"),AND(P225="Media",T225="Catastrófico"),AND(P225="Alta",T225="Catastrófico"),AND(P225="Muy Alta",T225="Catastrófico")),"Extremo",""))))</f>
        <v>Alto</v>
      </c>
      <c r="W225" s="233">
        <v>1</v>
      </c>
      <c r="X225" s="207" t="s">
        <v>891</v>
      </c>
      <c r="Y225" s="230" t="str">
        <f t="shared" si="604"/>
        <v>Probabilidad</v>
      </c>
      <c r="Z225" s="185" t="s">
        <v>208</v>
      </c>
      <c r="AA225" s="185" t="s">
        <v>216</v>
      </c>
      <c r="AB225" s="186" t="str">
        <f t="shared" ref="AB225:AB250" si="627">IF(AND(Z225="Preventivo",AA225="Automático"),"50%",IF(AND(Z225="Preventivo",AA225="Manual"),"40%",IF(AND(Z225="Detectivo",AA225="Automático"),"40%",IF(AND(Z225="Detectivo",AA225="Manual"),"30%",IF(AND(Z225="Correctivo",AA225="Automático"),"35%",IF(AND(Z225="Correctivo",AA225="Manual"),"25%",""))))))</f>
        <v>40%</v>
      </c>
      <c r="AC225" s="185" t="s">
        <v>219</v>
      </c>
      <c r="AD225" s="185" t="s">
        <v>224</v>
      </c>
      <c r="AE225" s="185" t="s">
        <v>228</v>
      </c>
      <c r="AF225" s="187">
        <f t="shared" ref="AF225" si="628">IFERROR(IF(Y225="Probabilidad",(Q225-(+Q225*AB225)),IF(Y225="Impacto",Q225,"")),"")</f>
        <v>0.36</v>
      </c>
      <c r="AG225" s="188" t="str">
        <f t="shared" si="606"/>
        <v>Baja</v>
      </c>
      <c r="AH225" s="186">
        <f t="shared" si="607"/>
        <v>0.36</v>
      </c>
      <c r="AI225" s="188" t="str">
        <f t="shared" ca="1" si="608"/>
        <v>Mayor</v>
      </c>
      <c r="AJ225" s="186">
        <f t="shared" ref="AJ225" ca="1" si="629">IFERROR(IF(Y225="Impacto",(U225-(+U225*AB225)),IF(Y225="Probabilidad",U225,"")),"")</f>
        <v>0.8</v>
      </c>
      <c r="AK225" s="189" t="str">
        <f t="shared" ca="1" si="610"/>
        <v>Alto</v>
      </c>
      <c r="AL225" s="185" t="s">
        <v>262</v>
      </c>
      <c r="AM225" s="227"/>
      <c r="AN225" s="230"/>
      <c r="AO225" s="228"/>
      <c r="AP225" s="228"/>
      <c r="AQ225" s="227"/>
      <c r="AR225" s="229"/>
    </row>
    <row r="226" spans="1:44" s="191" customFormat="1" ht="129.75" thickTop="1" thickBot="1" x14ac:dyDescent="0.3">
      <c r="A226" s="352"/>
      <c r="B226" s="353"/>
      <c r="C226" s="357"/>
      <c r="D226" s="359"/>
      <c r="E226" s="357"/>
      <c r="F226" s="375"/>
      <c r="G226" s="375"/>
      <c r="H226" s="374"/>
      <c r="I226" s="362"/>
      <c r="J226" s="362"/>
      <c r="K226" s="362"/>
      <c r="L226" s="362"/>
      <c r="M226" s="373"/>
      <c r="N226" s="357"/>
      <c r="O226" s="363"/>
      <c r="P226" s="364"/>
      <c r="Q226" s="365"/>
      <c r="R226" s="365"/>
      <c r="S226" s="365">
        <f ca="1">IF(NOT(ISERROR(MATCH(R226,_xlfn.ANCHORARRAY(H230),0))),#REF!&amp;"Por favor no seleccionar los criterios de impacto",R226)</f>
        <v>0</v>
      </c>
      <c r="T226" s="364"/>
      <c r="U226" s="365"/>
      <c r="V226" s="351"/>
      <c r="W226" s="233">
        <v>2</v>
      </c>
      <c r="X226" s="207" t="s">
        <v>892</v>
      </c>
      <c r="Y226" s="230" t="str">
        <f t="shared" si="604"/>
        <v>Probabilidad</v>
      </c>
      <c r="Z226" s="185" t="s">
        <v>208</v>
      </c>
      <c r="AA226" s="185" t="s">
        <v>216</v>
      </c>
      <c r="AB226" s="186" t="str">
        <f t="shared" si="627"/>
        <v>40%</v>
      </c>
      <c r="AC226" s="185" t="s">
        <v>219</v>
      </c>
      <c r="AD226" s="185" t="s">
        <v>224</v>
      </c>
      <c r="AE226" s="185" t="s">
        <v>228</v>
      </c>
      <c r="AF226" s="187">
        <f t="shared" ref="AF226:AF228" si="630">IFERROR(IF(AND(Y225="Probabilidad",Y226="Probabilidad"),(AH225-(+AH225*AB226)),IF(Y226="Probabilidad",(Q225-(+Q225*AB226)),IF(Y226="Impacto",AH225,""))),"")</f>
        <v>0.216</v>
      </c>
      <c r="AG226" s="188" t="str">
        <f t="shared" si="606"/>
        <v>Baja</v>
      </c>
      <c r="AH226" s="186">
        <f t="shared" si="607"/>
        <v>0.216</v>
      </c>
      <c r="AI226" s="188" t="str">
        <f t="shared" ca="1" si="608"/>
        <v>Mayor</v>
      </c>
      <c r="AJ226" s="186">
        <f t="shared" ref="AJ226" ca="1" si="631">IFERROR(IF(AND(Y225="Impacto",Y226="Impacto"),(AJ225-(+AJ225*AB226)),IF(Y226="Impacto",(U225-(+U225*AB226)),IF(Y226="Probabilidad",AJ225,""))),"")</f>
        <v>0.8</v>
      </c>
      <c r="AK226" s="189" t="str">
        <f t="shared" ca="1" si="610"/>
        <v>Alto</v>
      </c>
      <c r="AL226" s="185" t="s">
        <v>262</v>
      </c>
      <c r="AM226" s="227"/>
      <c r="AN226" s="230"/>
      <c r="AO226" s="228"/>
      <c r="AP226" s="228"/>
      <c r="AQ226" s="227"/>
      <c r="AR226" s="229"/>
    </row>
    <row r="227" spans="1:44" s="191" customFormat="1" ht="129.75" thickTop="1" thickBot="1" x14ac:dyDescent="0.3">
      <c r="A227" s="352"/>
      <c r="B227" s="353"/>
      <c r="C227" s="357"/>
      <c r="D227" s="359"/>
      <c r="E227" s="357"/>
      <c r="F227" s="375"/>
      <c r="G227" s="375"/>
      <c r="H227" s="374"/>
      <c r="I227" s="362"/>
      <c r="J227" s="362"/>
      <c r="K227" s="362"/>
      <c r="L227" s="362"/>
      <c r="M227" s="373"/>
      <c r="N227" s="357"/>
      <c r="O227" s="363"/>
      <c r="P227" s="364"/>
      <c r="Q227" s="365"/>
      <c r="R227" s="365"/>
      <c r="S227" s="365">
        <f ca="1">IF(NOT(ISERROR(MATCH(R227,_xlfn.ANCHORARRAY(H231),0))),#REF!&amp;"Por favor no seleccionar los criterios de impacto",R227)</f>
        <v>0</v>
      </c>
      <c r="T227" s="364"/>
      <c r="U227" s="365"/>
      <c r="V227" s="351"/>
      <c r="W227" s="233">
        <v>3</v>
      </c>
      <c r="X227" s="207" t="s">
        <v>893</v>
      </c>
      <c r="Y227" s="230" t="str">
        <f t="shared" si="604"/>
        <v>Probabilidad</v>
      </c>
      <c r="Z227" s="185" t="s">
        <v>208</v>
      </c>
      <c r="AA227" s="185" t="s">
        <v>216</v>
      </c>
      <c r="AB227" s="186" t="str">
        <f t="shared" si="627"/>
        <v>40%</v>
      </c>
      <c r="AC227" s="185" t="s">
        <v>219</v>
      </c>
      <c r="AD227" s="185" t="s">
        <v>224</v>
      </c>
      <c r="AE227" s="185" t="s">
        <v>228</v>
      </c>
      <c r="AF227" s="187">
        <f t="shared" si="630"/>
        <v>0.12959999999999999</v>
      </c>
      <c r="AG227" s="188" t="str">
        <f t="shared" si="606"/>
        <v>Muy Baja</v>
      </c>
      <c r="AH227" s="186">
        <f t="shared" si="607"/>
        <v>0.12959999999999999</v>
      </c>
      <c r="AI227" s="188" t="str">
        <f t="shared" ca="1" si="608"/>
        <v>Mayor</v>
      </c>
      <c r="AJ227" s="186">
        <f t="shared" ref="AJ227:AJ228" ca="1" si="632">IFERROR(IF(AND(Y226="Impacto",Y227="Impacto"),(AJ226-(+AJ226*AB227)),IF(AND(Y226="Probabilidad",Y227="Impacto"),(AJ225-(+AJ225*AB227)),IF(Y227="Probabilidad",AJ226,""))),"")</f>
        <v>0.8</v>
      </c>
      <c r="AK227" s="189" t="str">
        <f t="shared" ca="1" si="610"/>
        <v>Alto</v>
      </c>
      <c r="AL227" s="185" t="s">
        <v>262</v>
      </c>
      <c r="AM227" s="227"/>
      <c r="AN227" s="230"/>
      <c r="AO227" s="228"/>
      <c r="AP227" s="228"/>
      <c r="AQ227" s="227"/>
      <c r="AR227" s="229"/>
    </row>
    <row r="228" spans="1:44" s="191" customFormat="1" ht="129.75" thickTop="1" thickBot="1" x14ac:dyDescent="0.3">
      <c r="A228" s="352"/>
      <c r="B228" s="353"/>
      <c r="C228" s="357"/>
      <c r="D228" s="359"/>
      <c r="E228" s="357"/>
      <c r="F228" s="375"/>
      <c r="G228" s="375"/>
      <c r="H228" s="374"/>
      <c r="I228" s="362"/>
      <c r="J228" s="362"/>
      <c r="K228" s="362"/>
      <c r="L228" s="362"/>
      <c r="M228" s="373"/>
      <c r="N228" s="357"/>
      <c r="O228" s="363"/>
      <c r="P228" s="364"/>
      <c r="Q228" s="365"/>
      <c r="R228" s="365"/>
      <c r="S228" s="365">
        <f ca="1">IF(NOT(ISERROR(MATCH(R228,_xlfn.ANCHORARRAY(#REF!),0))),#REF!&amp;"Por favor no seleccionar los criterios de impacto",R228)</f>
        <v>0</v>
      </c>
      <c r="T228" s="364"/>
      <c r="U228" s="365"/>
      <c r="V228" s="351"/>
      <c r="W228" s="233">
        <v>4</v>
      </c>
      <c r="X228" s="207" t="s">
        <v>894</v>
      </c>
      <c r="Y228" s="230" t="str">
        <f t="shared" si="604"/>
        <v>Probabilidad</v>
      </c>
      <c r="Z228" s="185" t="s">
        <v>208</v>
      </c>
      <c r="AA228" s="185" t="s">
        <v>216</v>
      </c>
      <c r="AB228" s="186" t="str">
        <f t="shared" si="627"/>
        <v>40%</v>
      </c>
      <c r="AC228" s="185" t="s">
        <v>219</v>
      </c>
      <c r="AD228" s="185" t="s">
        <v>224</v>
      </c>
      <c r="AE228" s="185" t="s">
        <v>228</v>
      </c>
      <c r="AF228" s="187">
        <f t="shared" si="630"/>
        <v>7.7759999999999996E-2</v>
      </c>
      <c r="AG228" s="188" t="str">
        <f t="shared" si="606"/>
        <v>Muy Baja</v>
      </c>
      <c r="AH228" s="186">
        <f t="shared" si="607"/>
        <v>7.7759999999999996E-2</v>
      </c>
      <c r="AI228" s="188" t="str">
        <f t="shared" ca="1" si="608"/>
        <v>Mayor</v>
      </c>
      <c r="AJ228" s="186">
        <f t="shared" ca="1" si="632"/>
        <v>0.8</v>
      </c>
      <c r="AK228" s="189" t="str">
        <f t="shared" ca="1" si="610"/>
        <v>Alto</v>
      </c>
      <c r="AL228" s="185" t="s">
        <v>262</v>
      </c>
      <c r="AM228" s="227"/>
      <c r="AN228" s="230"/>
      <c r="AO228" s="228"/>
      <c r="AP228" s="228"/>
      <c r="AQ228" s="227"/>
      <c r="AR228" s="229"/>
    </row>
    <row r="229" spans="1:44" s="191" customFormat="1" ht="354.75" customHeight="1" thickTop="1" thickBot="1" x14ac:dyDescent="0.3">
      <c r="A229" s="226">
        <v>88</v>
      </c>
      <c r="B229" s="249" t="s">
        <v>895</v>
      </c>
      <c r="C229" s="227" t="s">
        <v>278</v>
      </c>
      <c r="D229" s="243" t="s">
        <v>873</v>
      </c>
      <c r="E229" s="227" t="s">
        <v>236</v>
      </c>
      <c r="F229" s="234" t="s">
        <v>896</v>
      </c>
      <c r="G229" s="234" t="s">
        <v>897</v>
      </c>
      <c r="H229" s="251" t="s">
        <v>1187</v>
      </c>
      <c r="I229" s="231" t="s">
        <v>593</v>
      </c>
      <c r="J229" s="231" t="s">
        <v>593</v>
      </c>
      <c r="K229" s="231" t="s">
        <v>593</v>
      </c>
      <c r="L229" s="231" t="s">
        <v>593</v>
      </c>
      <c r="M229" s="239" t="s">
        <v>244</v>
      </c>
      <c r="N229" s="227"/>
      <c r="O229" s="230">
        <v>365</v>
      </c>
      <c r="P229" s="232" t="str">
        <f t="shared" si="570"/>
        <v>Media</v>
      </c>
      <c r="Q229" s="225">
        <f t="shared" si="571"/>
        <v>0.6</v>
      </c>
      <c r="R229" s="225" t="s">
        <v>195</v>
      </c>
      <c r="S229" s="225" t="str">
        <f ca="1">IF(NOT(ISERROR(MATCH(R229,'Tabla Impacto'!$B$221:$B$223,0))),'Tabla Impacto'!$F$223&amp;"Por favor no seleccionar los criterios de impacto(Afectación Económica o presupuestal y Pérdida Reputacional)",R229)</f>
        <v xml:space="preserve">Mayor a 500 SMLMV </v>
      </c>
      <c r="T229" s="232" t="str">
        <f ca="1">+IF(OR(S229='[1]Tabla Impacto'!$C$11,S229='[1]Tabla Impacto'!$D$11),"Leve",IF(OR(S229='[1]Tabla Impacto'!$C$12,S229='[1]Tabla Impacto'!$D$12),"Menor",IF(OR(S229='[1]Tabla Impacto'!$C$13,S229='[1]Tabla Impacto'!$D$13),"Moderado",IF(OR(S229='[1]Tabla Impacto'!$C$14,S229='[1]Tabla Impacto'!$D$14),"Mayor",IF(OR(S229='[1]Tabla Impacto'!$C$15,S229='[1]Tabla Impacto'!$D$15),"Catastrófico","")))))</f>
        <v>Catastrófico</v>
      </c>
      <c r="U229" s="225">
        <f t="shared" ref="U229" ca="1" si="633">IF(T229="","",IF(T229="Leve",0.2,IF(T229="Menor",0.4,IF(T229="Moderado",0.6,IF(T229="Mayor",0.8,IF(T229="Catastrófico",1,))))))</f>
        <v>1</v>
      </c>
      <c r="V229" s="233" t="str">
        <f t="shared" ref="V229" ca="1" si="634">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Extremo</v>
      </c>
      <c r="W229" s="233">
        <v>1</v>
      </c>
      <c r="X229" s="207" t="s">
        <v>1057</v>
      </c>
      <c r="Y229" s="230" t="str">
        <f t="shared" si="604"/>
        <v>Probabilidad</v>
      </c>
      <c r="Z229" s="185" t="s">
        <v>208</v>
      </c>
      <c r="AA229" s="185" t="s">
        <v>216</v>
      </c>
      <c r="AB229" s="186" t="str">
        <f t="shared" si="627"/>
        <v>40%</v>
      </c>
      <c r="AC229" s="185" t="s">
        <v>219</v>
      </c>
      <c r="AD229" s="185" t="s">
        <v>224</v>
      </c>
      <c r="AE229" s="185" t="s">
        <v>228</v>
      </c>
      <c r="AF229" s="187">
        <f t="shared" ref="AF229" si="635">IFERROR(IF(Y229="Probabilidad",(Q229-(+Q229*AB229)),IF(Y229="Impacto",Q229,"")),"")</f>
        <v>0.36</v>
      </c>
      <c r="AG229" s="188" t="str">
        <f t="shared" si="606"/>
        <v>Baja</v>
      </c>
      <c r="AH229" s="186">
        <f t="shared" si="607"/>
        <v>0.36</v>
      </c>
      <c r="AI229" s="188" t="str">
        <f t="shared" ca="1" si="608"/>
        <v>Catastrófico</v>
      </c>
      <c r="AJ229" s="186">
        <f t="shared" ref="AJ229" ca="1" si="636">IFERROR(IF(Y229="Impacto",(U229-(+U229*AB229)),IF(Y229="Probabilidad",U229,"")),"")</f>
        <v>1</v>
      </c>
      <c r="AK229" s="189" t="str">
        <f t="shared" ca="1" si="610"/>
        <v>Extremo</v>
      </c>
      <c r="AL229" s="185" t="s">
        <v>262</v>
      </c>
      <c r="AM229" s="227"/>
      <c r="AN229" s="230"/>
      <c r="AO229" s="228"/>
      <c r="AP229" s="228"/>
      <c r="AQ229" s="227"/>
      <c r="AR229" s="229"/>
    </row>
    <row r="230" spans="1:44" s="191" customFormat="1" ht="145.5" customHeight="1" thickTop="1" thickBot="1" x14ac:dyDescent="0.3">
      <c r="A230" s="352">
        <v>89</v>
      </c>
      <c r="B230" s="387" t="s">
        <v>898</v>
      </c>
      <c r="C230" s="357" t="s">
        <v>278</v>
      </c>
      <c r="D230" s="359" t="s">
        <v>868</v>
      </c>
      <c r="E230" s="357" t="s">
        <v>236</v>
      </c>
      <c r="F230" s="375" t="s">
        <v>899</v>
      </c>
      <c r="G230" s="375" t="s">
        <v>900</v>
      </c>
      <c r="H230" s="374" t="s">
        <v>901</v>
      </c>
      <c r="I230" s="362" t="s">
        <v>474</v>
      </c>
      <c r="J230" s="362" t="s">
        <v>474</v>
      </c>
      <c r="K230" s="362" t="s">
        <v>474</v>
      </c>
      <c r="L230" s="362" t="s">
        <v>474</v>
      </c>
      <c r="M230" s="357" t="s">
        <v>467</v>
      </c>
      <c r="N230" s="357"/>
      <c r="O230" s="363">
        <v>365</v>
      </c>
      <c r="P230" s="364" t="str">
        <f t="shared" si="570"/>
        <v>Media</v>
      </c>
      <c r="Q230" s="365">
        <f t="shared" si="571"/>
        <v>0.6</v>
      </c>
      <c r="R230" s="365" t="s">
        <v>195</v>
      </c>
      <c r="S230" s="365" t="str">
        <f ca="1">IF(NOT(ISERROR(MATCH(R230,'Tabla Impacto'!$B$221:$B$223,0))),'Tabla Impacto'!$F$223&amp;"Por favor no seleccionar los criterios de impacto(Afectación Económica o presupuestal y Pérdida Reputacional)",R230)</f>
        <v xml:space="preserve">Mayor a 500 SMLMV </v>
      </c>
      <c r="T230" s="364" t="str">
        <f ca="1">+IF(OR(S230='[1]Tabla Impacto'!$C$11,S230='[1]Tabla Impacto'!$D$11),"Leve",IF(OR(S230='[1]Tabla Impacto'!$C$12,S230='[1]Tabla Impacto'!$D$12),"Menor",IF(OR(S230='[1]Tabla Impacto'!$C$13,S230='[1]Tabla Impacto'!$D$13),"Moderado",IF(OR(S230='[1]Tabla Impacto'!$C$14,S230='[1]Tabla Impacto'!$D$14),"Mayor",IF(OR(S230='[1]Tabla Impacto'!$C$15,S230='[1]Tabla Impacto'!$D$15),"Catastrófico","")))))</f>
        <v>Catastrófico</v>
      </c>
      <c r="U230" s="365">
        <f t="shared" ref="U230" ca="1" si="637">IF(T230="","",IF(T230="Leve",0.2,IF(T230="Menor",0.4,IF(T230="Moderado",0.6,IF(T230="Mayor",0.8,IF(T230="Catastrófico",1,))))))</f>
        <v>1</v>
      </c>
      <c r="V230" s="351" t="str">
        <f t="shared" ref="V230" ca="1" si="638">IF(OR(AND(P230="Muy Baja",T230="Leve"),AND(P230="Muy Baja",T230="Menor"),AND(P230="Baja",T230="Leve")),"Bajo",IF(OR(AND(P230="Muy baja",T230="Moderado"),AND(P230="Baja",T230="Menor"),AND(P230="Baja",T230="Moderado"),AND(P230="Media",T230="Leve"),AND(P230="Media",T230="Menor"),AND(P230="Media",T230="Moderado"),AND(P230="Alta",T230="Leve"),AND(P230="Alta",T230="Menor")),"Moderado",IF(OR(AND(P230="Muy Baja",T230="Mayor"),AND(P230="Baja",T230="Mayor"),AND(P230="Media",T230="Mayor"),AND(P230="Alta",T230="Moderado"),AND(P230="Alta",T230="Mayor"),AND(P230="Muy Alta",T230="Leve"),AND(P230="Muy Alta",T230="Menor"),AND(P230="Muy Alta",T230="Moderado"),AND(P230="Muy Alta",T230="Mayor")),"Alto",IF(OR(AND(P230="Muy Baja",T230="Catastrófico"),AND(P230="Baja",T230="Catastrófico"),AND(P230="Media",T230="Catastrófico"),AND(P230="Alta",T230="Catastrófico"),AND(P230="Muy Alta",T230="Catastrófico")),"Extremo",""))))</f>
        <v>Extremo</v>
      </c>
      <c r="W230" s="233">
        <v>1</v>
      </c>
      <c r="X230" s="207" t="s">
        <v>902</v>
      </c>
      <c r="Y230" s="230" t="str">
        <f t="shared" si="604"/>
        <v>Probabilidad</v>
      </c>
      <c r="Z230" s="185" t="s">
        <v>208</v>
      </c>
      <c r="AA230" s="185" t="s">
        <v>216</v>
      </c>
      <c r="AB230" s="186" t="str">
        <f t="shared" si="627"/>
        <v>40%</v>
      </c>
      <c r="AC230" s="185" t="s">
        <v>219</v>
      </c>
      <c r="AD230" s="185" t="s">
        <v>224</v>
      </c>
      <c r="AE230" s="185" t="s">
        <v>228</v>
      </c>
      <c r="AF230" s="187">
        <f t="shared" ref="AF230" si="639">IFERROR(IF(Y230="Probabilidad",(Q230-(+Q230*AB230)),IF(Y230="Impacto",Q230,"")),"")</f>
        <v>0.36</v>
      </c>
      <c r="AG230" s="188" t="str">
        <f t="shared" si="606"/>
        <v>Baja</v>
      </c>
      <c r="AH230" s="186">
        <f t="shared" si="607"/>
        <v>0.36</v>
      </c>
      <c r="AI230" s="188" t="str">
        <f t="shared" ca="1" si="608"/>
        <v>Catastrófico</v>
      </c>
      <c r="AJ230" s="186">
        <f t="shared" ref="AJ230" ca="1" si="640">IFERROR(IF(Y230="Impacto",(U230-(+U230*AB230)),IF(Y230="Probabilidad",U230,"")),"")</f>
        <v>1</v>
      </c>
      <c r="AK230" s="189" t="str">
        <f t="shared" ca="1" si="610"/>
        <v>Extremo</v>
      </c>
      <c r="AL230" s="185" t="s">
        <v>262</v>
      </c>
      <c r="AM230" s="357" t="s">
        <v>904</v>
      </c>
      <c r="AN230" s="363" t="s">
        <v>905</v>
      </c>
      <c r="AO230" s="376">
        <v>45717</v>
      </c>
      <c r="AP230" s="377" t="s">
        <v>535</v>
      </c>
      <c r="AQ230" s="357" t="s">
        <v>906</v>
      </c>
      <c r="AR230" s="378" t="s">
        <v>259</v>
      </c>
    </row>
    <row r="231" spans="1:44" s="191" customFormat="1" ht="139.5" customHeight="1" thickTop="1" thickBot="1" x14ac:dyDescent="0.3">
      <c r="A231" s="352"/>
      <c r="B231" s="388"/>
      <c r="C231" s="357"/>
      <c r="D231" s="359"/>
      <c r="E231" s="357"/>
      <c r="F231" s="375"/>
      <c r="G231" s="375"/>
      <c r="H231" s="374"/>
      <c r="I231" s="362"/>
      <c r="J231" s="362"/>
      <c r="K231" s="362"/>
      <c r="L231" s="362"/>
      <c r="M231" s="357"/>
      <c r="N231" s="357"/>
      <c r="O231" s="363"/>
      <c r="P231" s="364"/>
      <c r="Q231" s="365"/>
      <c r="R231" s="365"/>
      <c r="S231" s="365">
        <f ca="1">IF(NOT(ISERROR(MATCH(R231,_xlfn.ANCHORARRAY(H234),0))),#REF!&amp;"Por favor no seleccionar los criterios de impacto",R231)</f>
        <v>0</v>
      </c>
      <c r="T231" s="364"/>
      <c r="U231" s="365"/>
      <c r="V231" s="351"/>
      <c r="W231" s="233">
        <v>2</v>
      </c>
      <c r="X231" s="207" t="s">
        <v>903</v>
      </c>
      <c r="Y231" s="230" t="str">
        <f t="shared" si="604"/>
        <v>Probabilidad</v>
      </c>
      <c r="Z231" s="185" t="s">
        <v>208</v>
      </c>
      <c r="AA231" s="185" t="s">
        <v>216</v>
      </c>
      <c r="AB231" s="186" t="str">
        <f t="shared" si="627"/>
        <v>40%</v>
      </c>
      <c r="AC231" s="185" t="s">
        <v>219</v>
      </c>
      <c r="AD231" s="185" t="s">
        <v>224</v>
      </c>
      <c r="AE231" s="185" t="s">
        <v>228</v>
      </c>
      <c r="AF231" s="187">
        <f t="shared" ref="AF231" si="641">IFERROR(IF(AND(Y230="Probabilidad",Y231="Probabilidad"),(AH230-(+AH230*AB231)),IF(Y231="Probabilidad",(Q230-(+Q230*AB231)),IF(Y231="Impacto",AH230,""))),"")</f>
        <v>0.216</v>
      </c>
      <c r="AG231" s="188" t="str">
        <f t="shared" si="606"/>
        <v>Baja</v>
      </c>
      <c r="AH231" s="186">
        <f t="shared" si="607"/>
        <v>0.216</v>
      </c>
      <c r="AI231" s="188" t="str">
        <f t="shared" ca="1" si="608"/>
        <v>Catastrófico</v>
      </c>
      <c r="AJ231" s="186">
        <f t="shared" ref="AJ231" ca="1" si="642">IFERROR(IF(AND(Y230="Impacto",Y231="Impacto"),(AJ230-(+AJ230*AB231)),IF(Y231="Impacto",(U230-(+U230*AB231)),IF(Y231="Probabilidad",AJ230,""))),"")</f>
        <v>1</v>
      </c>
      <c r="AK231" s="189" t="str">
        <f t="shared" ca="1" si="610"/>
        <v>Extremo</v>
      </c>
      <c r="AL231" s="185" t="s">
        <v>262</v>
      </c>
      <c r="AM231" s="357"/>
      <c r="AN231" s="363"/>
      <c r="AO231" s="376"/>
      <c r="AP231" s="377"/>
      <c r="AQ231" s="357"/>
      <c r="AR231" s="378"/>
    </row>
    <row r="232" spans="1:44" s="191" customFormat="1" ht="143.25" customHeight="1" thickTop="1" thickBot="1" x14ac:dyDescent="0.3">
      <c r="A232" s="352">
        <v>90</v>
      </c>
      <c r="B232" s="353" t="s">
        <v>907</v>
      </c>
      <c r="C232" s="357" t="s">
        <v>279</v>
      </c>
      <c r="D232" s="357" t="s">
        <v>955</v>
      </c>
      <c r="E232" s="357" t="s">
        <v>238</v>
      </c>
      <c r="F232" s="375" t="s">
        <v>908</v>
      </c>
      <c r="G232" s="375" t="s">
        <v>909</v>
      </c>
      <c r="H232" s="374" t="s">
        <v>1171</v>
      </c>
      <c r="I232" s="362" t="s">
        <v>474</v>
      </c>
      <c r="J232" s="362" t="s">
        <v>474</v>
      </c>
      <c r="K232" s="362" t="s">
        <v>474</v>
      </c>
      <c r="L232" s="362" t="s">
        <v>474</v>
      </c>
      <c r="M232" s="357" t="s">
        <v>239</v>
      </c>
      <c r="N232" s="357"/>
      <c r="O232" s="363">
        <v>365</v>
      </c>
      <c r="P232" s="364" t="str">
        <f t="shared" ref="P232:P246" si="643">IF(O232&lt;=0,"",IF(O232&lt;=2,"Muy Baja",IF(O232&lt;=24,"Baja",IF(O232&lt;=500,"Media",IF(O232&lt;=5000,"Alta","Muy Alta")))))</f>
        <v>Media</v>
      </c>
      <c r="Q232" s="365">
        <f t="shared" ref="Q232:Q246" si="644">IF(P232="","",IF(P232="Muy Baja",0.2,IF(P232="Baja",0.4,IF(P232="Media",0.6,IF(P232="Alta",0.8,IF(P232="Muy Alta",1,))))))</f>
        <v>0.6</v>
      </c>
      <c r="R232" s="365" t="s">
        <v>190</v>
      </c>
      <c r="S232" s="365" t="str">
        <f ca="1">IF(NOT(ISERROR(MATCH(R232,'Tabla Impacto'!$B$221:$B$223,0))),'Tabla Impacto'!$F$223&amp;"Por favor no seleccionar los criterios de impacto(Afectación Económica o presupuestal y Pérdida Reputacional)",R232)</f>
        <v>El riesgo afecta la imagen de la entidad con algunos usuarios de relevancia frente al logro de los objetivos</v>
      </c>
      <c r="T232" s="364" t="str">
        <f ca="1">+IF(OR(S232='[1]Tabla Impacto'!$C$11,S232='[1]Tabla Impacto'!$D$11),"Leve",IF(OR(S232='[1]Tabla Impacto'!$C$12,S232='[1]Tabla Impacto'!$D$12),"Menor",IF(OR(S232='[1]Tabla Impacto'!$C$13,S232='[1]Tabla Impacto'!$D$13),"Moderado",IF(OR(S232='[1]Tabla Impacto'!$C$14,S232='[1]Tabla Impacto'!$D$14),"Mayor",IF(OR(S232='[1]Tabla Impacto'!$C$15,S232='[1]Tabla Impacto'!$D$15),"Catastrófico","")))))</f>
        <v>Moderado</v>
      </c>
      <c r="U232" s="365">
        <f t="shared" ref="U232" ca="1" si="645">IF(T232="","",IF(T232="Leve",0.2,IF(T232="Menor",0.4,IF(T232="Moderado",0.6,IF(T232="Mayor",0.8,IF(T232="Catastrófico",1,))))))</f>
        <v>0.6</v>
      </c>
      <c r="V232" s="351" t="str">
        <f t="shared" ref="V232" ca="1" si="646">IF(OR(AND(P232="Muy Baja",T232="Leve"),AND(P232="Muy Baja",T232="Menor"),AND(P232="Baja",T232="Leve")),"Bajo",IF(OR(AND(P232="Muy baja",T232="Moderado"),AND(P232="Baja",T232="Menor"),AND(P232="Baja",T232="Moderado"),AND(P232="Media",T232="Leve"),AND(P232="Media",T232="Menor"),AND(P232="Media",T232="Moderado"),AND(P232="Alta",T232="Leve"),AND(P232="Alta",T232="Menor")),"Moderado",IF(OR(AND(P232="Muy Baja",T232="Mayor"),AND(P232="Baja",T232="Mayor"),AND(P232="Media",T232="Mayor"),AND(P232="Alta",T232="Moderado"),AND(P232="Alta",T232="Mayor"),AND(P232="Muy Alta",T232="Leve"),AND(P232="Muy Alta",T232="Menor"),AND(P232="Muy Alta",T232="Moderado"),AND(P232="Muy Alta",T232="Mayor")),"Alto",IF(OR(AND(P232="Muy Baja",T232="Catastrófico"),AND(P232="Baja",T232="Catastrófico"),AND(P232="Media",T232="Catastrófico"),AND(P232="Alta",T232="Catastrófico"),AND(P232="Muy Alta",T232="Catastrófico")),"Extremo",""))))</f>
        <v>Moderado</v>
      </c>
      <c r="W232" s="233">
        <v>1</v>
      </c>
      <c r="X232" s="207" t="s">
        <v>1058</v>
      </c>
      <c r="Y232" s="230" t="str">
        <f t="shared" si="604"/>
        <v>Probabilidad</v>
      </c>
      <c r="Z232" s="185" t="s">
        <v>208</v>
      </c>
      <c r="AA232" s="185" t="s">
        <v>216</v>
      </c>
      <c r="AB232" s="186" t="str">
        <f t="shared" si="627"/>
        <v>40%</v>
      </c>
      <c r="AC232" s="185" t="s">
        <v>219</v>
      </c>
      <c r="AD232" s="185" t="s">
        <v>224</v>
      </c>
      <c r="AE232" s="185" t="s">
        <v>228</v>
      </c>
      <c r="AF232" s="187">
        <f t="shared" ref="AF232" si="647">IFERROR(IF(Y232="Probabilidad",(Q232-(+Q232*AB232)),IF(Y232="Impacto",Q232,"")),"")</f>
        <v>0.36</v>
      </c>
      <c r="AG232" s="188" t="str">
        <f t="shared" si="606"/>
        <v>Baja</v>
      </c>
      <c r="AH232" s="186">
        <f t="shared" si="607"/>
        <v>0.36</v>
      </c>
      <c r="AI232" s="188" t="str">
        <f t="shared" ca="1" si="608"/>
        <v>Moderado</v>
      </c>
      <c r="AJ232" s="186">
        <f t="shared" ref="AJ232" ca="1" si="648">IFERROR(IF(Y232="Impacto",(U232-(+U232*AB232)),IF(Y232="Probabilidad",U232,"")),"")</f>
        <v>0.6</v>
      </c>
      <c r="AK232" s="189" t="str">
        <f t="shared" ca="1" si="610"/>
        <v>Moderado</v>
      </c>
      <c r="AL232" s="185" t="s">
        <v>255</v>
      </c>
      <c r="AM232" s="227"/>
      <c r="AN232" s="230"/>
      <c r="AO232" s="228"/>
      <c r="AP232" s="228"/>
      <c r="AQ232" s="227"/>
      <c r="AR232" s="229"/>
    </row>
    <row r="233" spans="1:44" s="191" customFormat="1" ht="202.5" customHeight="1" thickTop="1" thickBot="1" x14ac:dyDescent="0.3">
      <c r="A233" s="352"/>
      <c r="B233" s="353"/>
      <c r="C233" s="357"/>
      <c r="D233" s="357"/>
      <c r="E233" s="357"/>
      <c r="F233" s="375"/>
      <c r="G233" s="375"/>
      <c r="H233" s="374"/>
      <c r="I233" s="362"/>
      <c r="J233" s="362"/>
      <c r="K233" s="362"/>
      <c r="L233" s="362"/>
      <c r="M233" s="357"/>
      <c r="N233" s="357"/>
      <c r="O233" s="363"/>
      <c r="P233" s="364"/>
      <c r="Q233" s="365"/>
      <c r="R233" s="365"/>
      <c r="S233" s="365">
        <f ca="1">IF(NOT(ISERROR(MATCH(R233,_xlfn.ANCHORARRAY(H236),0))),#REF!&amp;"Por favor no seleccionar los criterios de impacto",R233)</f>
        <v>0</v>
      </c>
      <c r="T233" s="364"/>
      <c r="U233" s="365"/>
      <c r="V233" s="351"/>
      <c r="W233" s="233">
        <v>2</v>
      </c>
      <c r="X233" s="207" t="s">
        <v>1059</v>
      </c>
      <c r="Y233" s="230" t="str">
        <f t="shared" si="604"/>
        <v>Probabilidad</v>
      </c>
      <c r="Z233" s="185" t="s">
        <v>208</v>
      </c>
      <c r="AA233" s="185" t="s">
        <v>216</v>
      </c>
      <c r="AB233" s="186" t="str">
        <f t="shared" si="627"/>
        <v>40%</v>
      </c>
      <c r="AC233" s="185" t="s">
        <v>219</v>
      </c>
      <c r="AD233" s="185" t="s">
        <v>224</v>
      </c>
      <c r="AE233" s="185" t="s">
        <v>228</v>
      </c>
      <c r="AF233" s="187">
        <f t="shared" ref="AF233" si="649">IFERROR(IF(AND(Y232="Probabilidad",Y233="Probabilidad"),(AH232-(+AH232*AB233)),IF(Y233="Probabilidad",(Q232-(+Q232*AB233)),IF(Y233="Impacto",AH232,""))),"")</f>
        <v>0.216</v>
      </c>
      <c r="AG233" s="188" t="str">
        <f t="shared" si="606"/>
        <v>Baja</v>
      </c>
      <c r="AH233" s="186">
        <f t="shared" si="607"/>
        <v>0.216</v>
      </c>
      <c r="AI233" s="188" t="str">
        <f t="shared" ca="1" si="608"/>
        <v>Moderado</v>
      </c>
      <c r="AJ233" s="186">
        <f t="shared" ref="AJ233" ca="1" si="650">IFERROR(IF(AND(Y232="Impacto",Y233="Impacto"),(AJ232-(+AJ232*AB233)),IF(Y233="Impacto",(U232-(+U232*AB233)),IF(Y233="Probabilidad",AJ232,""))),"")</f>
        <v>0.6</v>
      </c>
      <c r="AK233" s="189" t="str">
        <f t="shared" ca="1" si="610"/>
        <v>Moderado</v>
      </c>
      <c r="AL233" s="185" t="s">
        <v>255</v>
      </c>
      <c r="AM233" s="227"/>
      <c r="AN233" s="230"/>
      <c r="AO233" s="228"/>
      <c r="AP233" s="228"/>
      <c r="AQ233" s="227"/>
      <c r="AR233" s="229"/>
    </row>
    <row r="234" spans="1:44" s="191" customFormat="1" ht="222.75" customHeight="1" thickTop="1" thickBot="1" x14ac:dyDescent="0.3">
      <c r="A234" s="352">
        <v>91</v>
      </c>
      <c r="B234" s="353" t="s">
        <v>910</v>
      </c>
      <c r="C234" s="357" t="s">
        <v>279</v>
      </c>
      <c r="D234" s="357" t="s">
        <v>955</v>
      </c>
      <c r="E234" s="357" t="s">
        <v>238</v>
      </c>
      <c r="F234" s="375" t="s">
        <v>1095</v>
      </c>
      <c r="G234" s="375" t="s">
        <v>911</v>
      </c>
      <c r="H234" s="374" t="s">
        <v>1172</v>
      </c>
      <c r="I234" s="362" t="s">
        <v>474</v>
      </c>
      <c r="J234" s="362" t="s">
        <v>474</v>
      </c>
      <c r="K234" s="362" t="s">
        <v>474</v>
      </c>
      <c r="L234" s="362" t="s">
        <v>474</v>
      </c>
      <c r="M234" s="357" t="s">
        <v>239</v>
      </c>
      <c r="N234" s="357"/>
      <c r="O234" s="363">
        <v>2</v>
      </c>
      <c r="P234" s="364" t="str">
        <f t="shared" si="643"/>
        <v>Muy Baja</v>
      </c>
      <c r="Q234" s="365">
        <f t="shared" si="644"/>
        <v>0.2</v>
      </c>
      <c r="R234" s="365" t="s">
        <v>190</v>
      </c>
      <c r="S234" s="365" t="str">
        <f ca="1">IF(NOT(ISERROR(MATCH(R234,'Tabla Impacto'!$B$221:$B$223,0))),'Tabla Impacto'!$F$223&amp;"Por favor no seleccionar los criterios de impacto(Afectación Económica o presupuestal y Pérdida Reputacional)",R234)</f>
        <v>El riesgo afecta la imagen de la entidad con algunos usuarios de relevancia frente al logro de los objetivos</v>
      </c>
      <c r="T234" s="364" t="str">
        <f ca="1">+IF(OR(S234='[1]Tabla Impacto'!$C$11,S234='[1]Tabla Impacto'!$D$11),"Leve",IF(OR(S234='[1]Tabla Impacto'!$C$12,S234='[1]Tabla Impacto'!$D$12),"Menor",IF(OR(S234='[1]Tabla Impacto'!$C$13,S234='[1]Tabla Impacto'!$D$13),"Moderado",IF(OR(S234='[1]Tabla Impacto'!$C$14,S234='[1]Tabla Impacto'!$D$14),"Mayor",IF(OR(S234='[1]Tabla Impacto'!$C$15,S234='[1]Tabla Impacto'!$D$15),"Catastrófico","")))))</f>
        <v>Moderado</v>
      </c>
      <c r="U234" s="365">
        <f t="shared" ref="U234" ca="1" si="651">IF(T234="","",IF(T234="Leve",0.2,IF(T234="Menor",0.4,IF(T234="Moderado",0.6,IF(T234="Mayor",0.8,IF(T234="Catastrófico",1,))))))</f>
        <v>0.6</v>
      </c>
      <c r="V234" s="351" t="str">
        <f t="shared" ref="V234" ca="1" si="652">IF(OR(AND(P234="Muy Baja",T234="Leve"),AND(P234="Muy Baja",T234="Menor"),AND(P234="Baja",T234="Leve")),"Bajo",IF(OR(AND(P234="Muy baja",T234="Moderado"),AND(P234="Baja",T234="Menor"),AND(P234="Baja",T234="Moderado"),AND(P234="Media",T234="Leve"),AND(P234="Media",T234="Menor"),AND(P234="Media",T234="Moderado"),AND(P234="Alta",T234="Leve"),AND(P234="Alta",T234="Menor")),"Moderado",IF(OR(AND(P234="Muy Baja",T234="Mayor"),AND(P234="Baja",T234="Mayor"),AND(P234="Media",T234="Mayor"),AND(P234="Alta",T234="Moderado"),AND(P234="Alta",T234="Mayor"),AND(P234="Muy Alta",T234="Leve"),AND(P234="Muy Alta",T234="Menor"),AND(P234="Muy Alta",T234="Moderado"),AND(P234="Muy Alta",T234="Mayor")),"Alto",IF(OR(AND(P234="Muy Baja",T234="Catastrófico"),AND(P234="Baja",T234="Catastrófico"),AND(P234="Media",T234="Catastrófico"),AND(P234="Alta",T234="Catastrófico"),AND(P234="Muy Alta",T234="Catastrófico")),"Extremo",""))))</f>
        <v>Moderado</v>
      </c>
      <c r="W234" s="233">
        <v>1</v>
      </c>
      <c r="X234" s="207" t="s">
        <v>912</v>
      </c>
      <c r="Y234" s="230" t="str">
        <f t="shared" si="604"/>
        <v>Probabilidad</v>
      </c>
      <c r="Z234" s="185" t="s">
        <v>208</v>
      </c>
      <c r="AA234" s="185" t="s">
        <v>216</v>
      </c>
      <c r="AB234" s="186" t="str">
        <f t="shared" si="627"/>
        <v>40%</v>
      </c>
      <c r="AC234" s="185" t="s">
        <v>219</v>
      </c>
      <c r="AD234" s="185" t="s">
        <v>224</v>
      </c>
      <c r="AE234" s="185" t="s">
        <v>228</v>
      </c>
      <c r="AF234" s="187">
        <f t="shared" ref="AF234" si="653">IFERROR(IF(Y234="Probabilidad",(Q234-(+Q234*AB234)),IF(Y234="Impacto",Q234,"")),"")</f>
        <v>0.12</v>
      </c>
      <c r="AG234" s="188" t="str">
        <f t="shared" si="606"/>
        <v>Muy Baja</v>
      </c>
      <c r="AH234" s="186">
        <f t="shared" si="607"/>
        <v>0.12</v>
      </c>
      <c r="AI234" s="188" t="str">
        <f t="shared" ca="1" si="608"/>
        <v>Moderado</v>
      </c>
      <c r="AJ234" s="186">
        <f t="shared" ref="AJ234" ca="1" si="654">IFERROR(IF(Y234="Impacto",(U234-(+U234*AB234)),IF(Y234="Probabilidad",U234,"")),"")</f>
        <v>0.6</v>
      </c>
      <c r="AK234" s="189" t="str">
        <f t="shared" ca="1" si="610"/>
        <v>Moderado</v>
      </c>
      <c r="AL234" s="185" t="s">
        <v>255</v>
      </c>
      <c r="AM234" s="227"/>
      <c r="AN234" s="230"/>
      <c r="AO234" s="228"/>
      <c r="AP234" s="228"/>
      <c r="AQ234" s="227"/>
      <c r="AR234" s="229"/>
    </row>
    <row r="235" spans="1:44" s="191" customFormat="1" ht="240.75" customHeight="1" thickTop="1" thickBot="1" x14ac:dyDescent="0.3">
      <c r="A235" s="352"/>
      <c r="B235" s="353"/>
      <c r="C235" s="357"/>
      <c r="D235" s="357"/>
      <c r="E235" s="357"/>
      <c r="F235" s="375"/>
      <c r="G235" s="375"/>
      <c r="H235" s="374"/>
      <c r="I235" s="362"/>
      <c r="J235" s="362"/>
      <c r="K235" s="362"/>
      <c r="L235" s="362"/>
      <c r="M235" s="357"/>
      <c r="N235" s="357"/>
      <c r="O235" s="363"/>
      <c r="P235" s="364"/>
      <c r="Q235" s="365"/>
      <c r="R235" s="365"/>
      <c r="S235" s="365">
        <f ca="1">IF(NOT(ISERROR(MATCH(R235,_xlfn.ANCHORARRAY(H238),0))),#REF!&amp;"Por favor no seleccionar los criterios de impacto",R235)</f>
        <v>0</v>
      </c>
      <c r="T235" s="364"/>
      <c r="U235" s="365"/>
      <c r="V235" s="351"/>
      <c r="W235" s="233">
        <v>2</v>
      </c>
      <c r="X235" s="207" t="s">
        <v>913</v>
      </c>
      <c r="Y235" s="230" t="str">
        <f t="shared" si="604"/>
        <v>Probabilidad</v>
      </c>
      <c r="Z235" s="185" t="s">
        <v>208</v>
      </c>
      <c r="AA235" s="185" t="s">
        <v>216</v>
      </c>
      <c r="AB235" s="186" t="str">
        <f t="shared" si="627"/>
        <v>40%</v>
      </c>
      <c r="AC235" s="185" t="s">
        <v>219</v>
      </c>
      <c r="AD235" s="185" t="s">
        <v>224</v>
      </c>
      <c r="AE235" s="185" t="s">
        <v>228</v>
      </c>
      <c r="AF235" s="187">
        <f t="shared" ref="AF235" si="655">IFERROR(IF(AND(Y234="Probabilidad",Y235="Probabilidad"),(AH234-(+AH234*AB235)),IF(Y235="Probabilidad",(Q234-(+Q234*AB235)),IF(Y235="Impacto",AH234,""))),"")</f>
        <v>7.1999999999999995E-2</v>
      </c>
      <c r="AG235" s="188" t="str">
        <f t="shared" si="606"/>
        <v>Muy Baja</v>
      </c>
      <c r="AH235" s="186">
        <f t="shared" si="607"/>
        <v>7.1999999999999995E-2</v>
      </c>
      <c r="AI235" s="188" t="str">
        <f t="shared" ca="1" si="608"/>
        <v>Moderado</v>
      </c>
      <c r="AJ235" s="186">
        <f t="shared" ref="AJ235" ca="1" si="656">IFERROR(IF(AND(Y234="Impacto",Y235="Impacto"),(AJ234-(+AJ234*AB235)),IF(Y235="Impacto",(U234-(+U234*AB235)),IF(Y235="Probabilidad",AJ234,""))),"")</f>
        <v>0.6</v>
      </c>
      <c r="AK235" s="189" t="str">
        <f t="shared" ca="1" si="610"/>
        <v>Moderado</v>
      </c>
      <c r="AL235" s="185" t="s">
        <v>255</v>
      </c>
      <c r="AM235" s="227"/>
      <c r="AN235" s="230"/>
      <c r="AO235" s="228"/>
      <c r="AP235" s="228"/>
      <c r="AQ235" s="227"/>
      <c r="AR235" s="229"/>
    </row>
    <row r="236" spans="1:44" s="191" customFormat="1" ht="180" customHeight="1" thickTop="1" thickBot="1" x14ac:dyDescent="0.3">
      <c r="A236" s="352">
        <v>92</v>
      </c>
      <c r="B236" s="353" t="s">
        <v>914</v>
      </c>
      <c r="C236" s="357" t="s">
        <v>279</v>
      </c>
      <c r="D236" s="357" t="s">
        <v>955</v>
      </c>
      <c r="E236" s="357" t="s">
        <v>240</v>
      </c>
      <c r="F236" s="375" t="s">
        <v>915</v>
      </c>
      <c r="G236" s="375" t="s">
        <v>916</v>
      </c>
      <c r="H236" s="374" t="s">
        <v>1173</v>
      </c>
      <c r="I236" s="362" t="s">
        <v>474</v>
      </c>
      <c r="J236" s="362" t="s">
        <v>474</v>
      </c>
      <c r="K236" s="362" t="s">
        <v>474</v>
      </c>
      <c r="L236" s="362" t="s">
        <v>474</v>
      </c>
      <c r="M236" s="357" t="s">
        <v>241</v>
      </c>
      <c r="N236" s="357"/>
      <c r="O236" s="363">
        <v>1</v>
      </c>
      <c r="P236" s="364" t="str">
        <f t="shared" si="643"/>
        <v>Muy Baja</v>
      </c>
      <c r="Q236" s="365">
        <f t="shared" si="644"/>
        <v>0.2</v>
      </c>
      <c r="R236" s="365" t="s">
        <v>189</v>
      </c>
      <c r="S236" s="365" t="str">
        <f ca="1">IF(NOT(ISERROR(MATCH(R236,'Tabla Impacto'!$B$221:$B$223,0))),'Tabla Impacto'!$F$223&amp;"Por favor no seleccionar los criterios de impacto(Afectación Económica o presupuestal y Pérdida Reputacional)",R236)</f>
        <v xml:space="preserve">Entre 50 y 100 SMLMV </v>
      </c>
      <c r="T236" s="364" t="str">
        <f ca="1">+IF(OR(S236='[1]Tabla Impacto'!$C$11,S236='[1]Tabla Impacto'!$D$11),"Leve",IF(OR(S236='[1]Tabla Impacto'!$C$12,S236='[1]Tabla Impacto'!$D$12),"Menor",IF(OR(S236='[1]Tabla Impacto'!$C$13,S236='[1]Tabla Impacto'!$D$13),"Moderado",IF(OR(S236='[1]Tabla Impacto'!$C$14,S236='[1]Tabla Impacto'!$D$14),"Mayor",IF(OR(S236='[1]Tabla Impacto'!$C$15,S236='[1]Tabla Impacto'!$D$15),"Catastrófico","")))))</f>
        <v>Moderado</v>
      </c>
      <c r="U236" s="365">
        <f t="shared" ref="U236" ca="1" si="657">IF(T236="","",IF(T236="Leve",0.2,IF(T236="Menor",0.4,IF(T236="Moderado",0.6,IF(T236="Mayor",0.8,IF(T236="Catastrófico",1,))))))</f>
        <v>0.6</v>
      </c>
      <c r="V236" s="351" t="str">
        <f t="shared" ref="V236" ca="1" si="658">IF(OR(AND(P236="Muy Baja",T236="Leve"),AND(P236="Muy Baja",T236="Menor"),AND(P236="Baja",T236="Leve")),"Bajo",IF(OR(AND(P236="Muy baja",T236="Moderado"),AND(P236="Baja",T236="Menor"),AND(P236="Baja",T236="Moderado"),AND(P236="Media",T236="Leve"),AND(P236="Media",T236="Menor"),AND(P236="Media",T236="Moderado"),AND(P236="Alta",T236="Leve"),AND(P236="Alta",T236="Menor")),"Moderado",IF(OR(AND(P236="Muy Baja",T236="Mayor"),AND(P236="Baja",T236="Mayor"),AND(P236="Media",T236="Mayor"),AND(P236="Alta",T236="Moderado"),AND(P236="Alta",T236="Mayor"),AND(P236="Muy Alta",T236="Leve"),AND(P236="Muy Alta",T236="Menor"),AND(P236="Muy Alta",T236="Moderado"),AND(P236="Muy Alta",T236="Mayor")),"Alto",IF(OR(AND(P236="Muy Baja",T236="Catastrófico"),AND(P236="Baja",T236="Catastrófico"),AND(P236="Media",T236="Catastrófico"),AND(P236="Alta",T236="Catastrófico"),AND(P236="Muy Alta",T236="Catastrófico")),"Extremo",""))))</f>
        <v>Moderado</v>
      </c>
      <c r="W236" s="233">
        <v>1</v>
      </c>
      <c r="X236" s="207" t="s">
        <v>1060</v>
      </c>
      <c r="Y236" s="230" t="str">
        <f t="shared" si="604"/>
        <v>Probabilidad</v>
      </c>
      <c r="Z236" s="185" t="s">
        <v>208</v>
      </c>
      <c r="AA236" s="185" t="s">
        <v>216</v>
      </c>
      <c r="AB236" s="186" t="str">
        <f t="shared" si="627"/>
        <v>40%</v>
      </c>
      <c r="AC236" s="185" t="s">
        <v>219</v>
      </c>
      <c r="AD236" s="185" t="s">
        <v>224</v>
      </c>
      <c r="AE236" s="185" t="s">
        <v>228</v>
      </c>
      <c r="AF236" s="187">
        <f t="shared" ref="AF236" si="659">IFERROR(IF(Y236="Probabilidad",(Q236-(+Q236*AB236)),IF(Y236="Impacto",Q236,"")),"")</f>
        <v>0.12</v>
      </c>
      <c r="AG236" s="188" t="str">
        <f t="shared" si="606"/>
        <v>Muy Baja</v>
      </c>
      <c r="AH236" s="186">
        <f t="shared" si="607"/>
        <v>0.12</v>
      </c>
      <c r="AI236" s="188" t="str">
        <f t="shared" ca="1" si="608"/>
        <v>Moderado</v>
      </c>
      <c r="AJ236" s="186">
        <f t="shared" ref="AJ236" ca="1" si="660">IFERROR(IF(Y236="Impacto",(U236-(+U236*AB236)),IF(Y236="Probabilidad",U236,"")),"")</f>
        <v>0.6</v>
      </c>
      <c r="AK236" s="189" t="str">
        <f t="shared" ca="1" si="610"/>
        <v>Moderado</v>
      </c>
      <c r="AL236" s="185" t="s">
        <v>255</v>
      </c>
      <c r="AM236" s="227"/>
      <c r="AN236" s="230"/>
      <c r="AO236" s="228"/>
      <c r="AP236" s="228"/>
      <c r="AQ236" s="227"/>
      <c r="AR236" s="229"/>
    </row>
    <row r="237" spans="1:44" s="191" customFormat="1" ht="237" customHeight="1" thickTop="1" thickBot="1" x14ac:dyDescent="0.3">
      <c r="A237" s="352"/>
      <c r="B237" s="353"/>
      <c r="C237" s="357"/>
      <c r="D237" s="357"/>
      <c r="E237" s="357"/>
      <c r="F237" s="375"/>
      <c r="G237" s="375"/>
      <c r="H237" s="374"/>
      <c r="I237" s="362"/>
      <c r="J237" s="362"/>
      <c r="K237" s="362"/>
      <c r="L237" s="362"/>
      <c r="M237" s="357"/>
      <c r="N237" s="357"/>
      <c r="O237" s="363"/>
      <c r="P237" s="364"/>
      <c r="Q237" s="365"/>
      <c r="R237" s="365"/>
      <c r="S237" s="365">
        <f ca="1">IF(NOT(ISERROR(MATCH(R237,_xlfn.ANCHORARRAY(H245),0))),#REF!&amp;"Por favor no seleccionar los criterios de impacto",R237)</f>
        <v>0</v>
      </c>
      <c r="T237" s="364"/>
      <c r="U237" s="365"/>
      <c r="V237" s="351"/>
      <c r="W237" s="233">
        <v>2</v>
      </c>
      <c r="X237" s="207" t="s">
        <v>917</v>
      </c>
      <c r="Y237" s="230" t="str">
        <f t="shared" si="604"/>
        <v>Probabilidad</v>
      </c>
      <c r="Z237" s="185" t="s">
        <v>208</v>
      </c>
      <c r="AA237" s="185" t="s">
        <v>216</v>
      </c>
      <c r="AB237" s="186" t="str">
        <f t="shared" si="627"/>
        <v>40%</v>
      </c>
      <c r="AC237" s="185" t="s">
        <v>219</v>
      </c>
      <c r="AD237" s="185" t="s">
        <v>224</v>
      </c>
      <c r="AE237" s="185" t="s">
        <v>228</v>
      </c>
      <c r="AF237" s="187">
        <f t="shared" ref="AF237" si="661">IFERROR(IF(AND(Y236="Probabilidad",Y237="Probabilidad"),(AH236-(+AH236*AB237)),IF(Y237="Probabilidad",(Q236-(+Q236*AB237)),IF(Y237="Impacto",AH236,""))),"")</f>
        <v>7.1999999999999995E-2</v>
      </c>
      <c r="AG237" s="188" t="str">
        <f t="shared" si="606"/>
        <v>Muy Baja</v>
      </c>
      <c r="AH237" s="186">
        <f t="shared" si="607"/>
        <v>7.1999999999999995E-2</v>
      </c>
      <c r="AI237" s="188" t="str">
        <f t="shared" ca="1" si="608"/>
        <v>Moderado</v>
      </c>
      <c r="AJ237" s="186">
        <f t="shared" ref="AJ237" ca="1" si="662">IFERROR(IF(AND(Y236="Impacto",Y237="Impacto"),(AJ236-(+AJ236*AB237)),IF(Y237="Impacto",(U236-(+U236*AB237)),IF(Y237="Probabilidad",AJ236,""))),"")</f>
        <v>0.6</v>
      </c>
      <c r="AK237" s="189" t="str">
        <f t="shared" ca="1" si="610"/>
        <v>Moderado</v>
      </c>
      <c r="AL237" s="185" t="s">
        <v>255</v>
      </c>
      <c r="AM237" s="227"/>
      <c r="AN237" s="230"/>
      <c r="AO237" s="228"/>
      <c r="AP237" s="228"/>
      <c r="AQ237" s="227"/>
      <c r="AR237" s="229"/>
    </row>
    <row r="238" spans="1:44" s="191" customFormat="1" ht="285.75" customHeight="1" thickTop="1" thickBot="1" x14ac:dyDescent="0.3">
      <c r="A238" s="226">
        <v>93</v>
      </c>
      <c r="B238" s="249" t="s">
        <v>918</v>
      </c>
      <c r="C238" s="227" t="s">
        <v>279</v>
      </c>
      <c r="D238" s="244" t="s">
        <v>955</v>
      </c>
      <c r="E238" s="227" t="s">
        <v>240</v>
      </c>
      <c r="F238" s="234" t="s">
        <v>919</v>
      </c>
      <c r="G238" s="234" t="s">
        <v>920</v>
      </c>
      <c r="H238" s="251" t="s">
        <v>1174</v>
      </c>
      <c r="I238" s="231" t="s">
        <v>474</v>
      </c>
      <c r="J238" s="231" t="s">
        <v>474</v>
      </c>
      <c r="K238" s="231" t="s">
        <v>474</v>
      </c>
      <c r="L238" s="231" t="s">
        <v>474</v>
      </c>
      <c r="M238" s="227" t="s">
        <v>239</v>
      </c>
      <c r="N238" s="227"/>
      <c r="O238" s="230">
        <v>365</v>
      </c>
      <c r="P238" s="232" t="str">
        <f t="shared" si="643"/>
        <v>Media</v>
      </c>
      <c r="Q238" s="225">
        <f t="shared" si="644"/>
        <v>0.6</v>
      </c>
      <c r="R238" s="225" t="s">
        <v>189</v>
      </c>
      <c r="S238" s="225" t="str">
        <f ca="1">IF(NOT(ISERROR(MATCH(R238,'Tabla Impacto'!$B$221:$B$223,0))),'Tabla Impacto'!$F$223&amp;"Por favor no seleccionar los criterios de impacto(Afectación Económica o presupuestal y Pérdida Reputacional)",R238)</f>
        <v xml:space="preserve">Entre 50 y 100 SMLMV </v>
      </c>
      <c r="T238" s="232" t="str">
        <f ca="1">+IF(OR(S238='[1]Tabla Impacto'!$C$11,S238='[1]Tabla Impacto'!$D$11),"Leve",IF(OR(S238='[1]Tabla Impacto'!$C$12,S238='[1]Tabla Impacto'!$D$12),"Menor",IF(OR(S238='[1]Tabla Impacto'!$C$13,S238='[1]Tabla Impacto'!$D$13),"Moderado",IF(OR(S238='[1]Tabla Impacto'!$C$14,S238='[1]Tabla Impacto'!$D$14),"Mayor",IF(OR(S238='[1]Tabla Impacto'!$C$15,S238='[1]Tabla Impacto'!$D$15),"Catastrófico","")))))</f>
        <v>Moderado</v>
      </c>
      <c r="U238" s="225">
        <f t="shared" ref="U238" ca="1" si="663">IF(T238="","",IF(T238="Leve",0.2,IF(T238="Menor",0.4,IF(T238="Moderado",0.6,IF(T238="Mayor",0.8,IF(T238="Catastrófico",1,))))))</f>
        <v>0.6</v>
      </c>
      <c r="V238" s="233" t="str">
        <f t="shared" ref="V238" ca="1" si="664">IF(OR(AND(P238="Muy Baja",T238="Leve"),AND(P238="Muy Baja",T238="Menor"),AND(P238="Baja",T238="Leve")),"Bajo",IF(OR(AND(P238="Muy baja",T238="Moderado"),AND(P238="Baja",T238="Menor"),AND(P238="Baja",T238="Moderado"),AND(P238="Media",T238="Leve"),AND(P238="Media",T238="Menor"),AND(P238="Media",T238="Moderado"),AND(P238="Alta",T238="Leve"),AND(P238="Alta",T238="Menor")),"Moderado",IF(OR(AND(P238="Muy Baja",T238="Mayor"),AND(P238="Baja",T238="Mayor"),AND(P238="Media",T238="Mayor"),AND(P238="Alta",T238="Moderado"),AND(P238="Alta",T238="Mayor"),AND(P238="Muy Alta",T238="Leve"),AND(P238="Muy Alta",T238="Menor"),AND(P238="Muy Alta",T238="Moderado"),AND(P238="Muy Alta",T238="Mayor")),"Alto",IF(OR(AND(P238="Muy Baja",T238="Catastrófico"),AND(P238="Baja",T238="Catastrófico"),AND(P238="Media",T238="Catastrófico"),AND(P238="Alta",T238="Catastrófico"),AND(P238="Muy Alta",T238="Catastrófico")),"Extremo",""))))</f>
        <v>Moderado</v>
      </c>
      <c r="W238" s="233">
        <v>1</v>
      </c>
      <c r="X238" s="207" t="s">
        <v>1061</v>
      </c>
      <c r="Y238" s="230" t="str">
        <f t="shared" si="604"/>
        <v>Probabilidad</v>
      </c>
      <c r="Z238" s="185" t="s">
        <v>208</v>
      </c>
      <c r="AA238" s="185" t="s">
        <v>216</v>
      </c>
      <c r="AB238" s="186" t="str">
        <f t="shared" si="627"/>
        <v>40%</v>
      </c>
      <c r="AC238" s="185" t="s">
        <v>219</v>
      </c>
      <c r="AD238" s="185" t="s">
        <v>224</v>
      </c>
      <c r="AE238" s="185" t="s">
        <v>228</v>
      </c>
      <c r="AF238" s="187">
        <f t="shared" ref="AF238" si="665">IFERROR(IF(Y238="Probabilidad",(Q238-(+Q238*AB238)),IF(Y238="Impacto",Q238,"")),"")</f>
        <v>0.36</v>
      </c>
      <c r="AG238" s="188" t="str">
        <f t="shared" si="606"/>
        <v>Baja</v>
      </c>
      <c r="AH238" s="186">
        <f t="shared" si="607"/>
        <v>0.36</v>
      </c>
      <c r="AI238" s="188" t="str">
        <f t="shared" ca="1" si="608"/>
        <v>Moderado</v>
      </c>
      <c r="AJ238" s="186">
        <f t="shared" ref="AJ238" ca="1" si="666">IFERROR(IF(Y238="Impacto",(U238-(+U238*AB238)),IF(Y238="Probabilidad",U238,"")),"")</f>
        <v>0.6</v>
      </c>
      <c r="AK238" s="189" t="str">
        <f t="shared" ca="1" si="610"/>
        <v>Moderado</v>
      </c>
      <c r="AL238" s="185" t="s">
        <v>255</v>
      </c>
      <c r="AM238" s="227"/>
      <c r="AN238" s="230"/>
      <c r="AO238" s="228"/>
      <c r="AP238" s="228"/>
      <c r="AQ238" s="227"/>
      <c r="AR238" s="229"/>
    </row>
    <row r="239" spans="1:44" s="191" customFormat="1" ht="216.75" customHeight="1" thickTop="1" thickBot="1" x14ac:dyDescent="0.3">
      <c r="A239" s="352">
        <v>94</v>
      </c>
      <c r="B239" s="353" t="s">
        <v>954</v>
      </c>
      <c r="C239" s="354" t="s">
        <v>279</v>
      </c>
      <c r="D239" s="368" t="s">
        <v>955</v>
      </c>
      <c r="E239" s="368" t="s">
        <v>240</v>
      </c>
      <c r="F239" s="366" t="s">
        <v>771</v>
      </c>
      <c r="G239" s="366" t="s">
        <v>772</v>
      </c>
      <c r="H239" s="366" t="s">
        <v>1175</v>
      </c>
      <c r="I239" s="367" t="s">
        <v>474</v>
      </c>
      <c r="J239" s="367" t="s">
        <v>474</v>
      </c>
      <c r="K239" s="367" t="s">
        <v>474</v>
      </c>
      <c r="L239" s="367" t="s">
        <v>474</v>
      </c>
      <c r="M239" s="368" t="s">
        <v>239</v>
      </c>
      <c r="N239" s="368"/>
      <c r="O239" s="369">
        <v>365</v>
      </c>
      <c r="P239" s="370" t="str">
        <f t="shared" ref="P239" si="667">IF(O239&lt;=0,"",IF(O239&lt;=2,"Muy Baja",IF(O239&lt;=24,"Baja",IF(O239&lt;=500,"Media",IF(O239&lt;=5000,"Alta","Muy Alta")))))</f>
        <v>Media</v>
      </c>
      <c r="Q239" s="371">
        <f t="shared" ref="Q239" si="668">IF(P239="","",IF(P239="Muy Baja",0.2,IF(P239="Baja",0.4,IF(P239="Media",0.6,IF(P239="Alta",0.8,IF(P239="Muy Alta",1,))))))</f>
        <v>0.6</v>
      </c>
      <c r="R239" s="371" t="s">
        <v>190</v>
      </c>
      <c r="S239" s="371" t="str">
        <f ca="1">IF(NOT(ISERROR(MATCH(R239,'Tabla Impacto'!$B$221:$B$223,0))),'Tabla Impacto'!$F$223&amp;"Por favor no seleccionar los criterios de impacto(Afectación Económica o presupuestal y Pérdida Reputacional)",R239)</f>
        <v>El riesgo afecta la imagen de la entidad con algunos usuarios de relevancia frente al logro de los objetivos</v>
      </c>
      <c r="T239" s="370"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371">
        <f t="shared" ref="U239" ca="1" si="669">IF(T239="","",IF(T239="Leve",0.2,IF(T239="Menor",0.4,IF(T239="Moderado",0.6,IF(T239="Mayor",0.8,IF(T239="Catastrófico",1,))))))</f>
        <v>0.6</v>
      </c>
      <c r="V239" s="372" t="str">
        <f t="shared" ref="V239" ca="1" si="670">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241">
        <v>1</v>
      </c>
      <c r="X239" s="213" t="s">
        <v>1045</v>
      </c>
      <c r="Y239" s="242" t="str">
        <f t="shared" si="604"/>
        <v>Probabilidad</v>
      </c>
      <c r="Z239" s="192" t="s">
        <v>208</v>
      </c>
      <c r="AA239" s="192" t="s">
        <v>216</v>
      </c>
      <c r="AB239" s="193" t="str">
        <f t="shared" ref="AB239:AB241" si="671">IF(AND(Z239="Preventivo",AA239="Automático"),"50%",IF(AND(Z239="Preventivo",AA239="Manual"),"40%",IF(AND(Z239="Detectivo",AA239="Automático"),"40%",IF(AND(Z239="Detectivo",AA239="Manual"),"30%",IF(AND(Z239="Correctivo",AA239="Automático"),"35%",IF(AND(Z239="Correctivo",AA239="Manual"),"25%",""))))))</f>
        <v>40%</v>
      </c>
      <c r="AC239" s="192" t="s">
        <v>219</v>
      </c>
      <c r="AD239" s="192" t="s">
        <v>224</v>
      </c>
      <c r="AE239" s="192" t="s">
        <v>228</v>
      </c>
      <c r="AF239" s="194">
        <f t="shared" ref="AF239" si="672">IFERROR(IF(Y239="Probabilidad",(Q239-(+Q239*AB239)),IF(Y239="Impacto",Q239,"")),"")</f>
        <v>0.36</v>
      </c>
      <c r="AG239" s="195" t="str">
        <f t="shared" si="606"/>
        <v>Baja</v>
      </c>
      <c r="AH239" s="193">
        <f t="shared" si="607"/>
        <v>0.36</v>
      </c>
      <c r="AI239" s="195" t="str">
        <f t="shared" ca="1" si="608"/>
        <v>Moderado</v>
      </c>
      <c r="AJ239" s="193">
        <f t="shared" ref="AJ239" ca="1" si="673">IFERROR(IF(Y239="Impacto",(U239-(+U239*AB239)),IF(Y239="Probabilidad",U239,"")),"")</f>
        <v>0.6</v>
      </c>
      <c r="AK239" s="196" t="str">
        <f t="shared" ca="1" si="610"/>
        <v>Moderado</v>
      </c>
      <c r="AL239" s="192" t="s">
        <v>255</v>
      </c>
      <c r="AM239" s="227"/>
      <c r="AN239" s="230"/>
      <c r="AO239" s="228"/>
      <c r="AP239" s="228"/>
      <c r="AQ239" s="227"/>
      <c r="AR239" s="229"/>
    </row>
    <row r="240" spans="1:44" s="191" customFormat="1" ht="296.25" customHeight="1" thickTop="1" thickBot="1" x14ac:dyDescent="0.3">
      <c r="A240" s="352"/>
      <c r="B240" s="353"/>
      <c r="C240" s="355"/>
      <c r="D240" s="368"/>
      <c r="E240" s="368"/>
      <c r="F240" s="366"/>
      <c r="G240" s="366"/>
      <c r="H240" s="366"/>
      <c r="I240" s="367"/>
      <c r="J240" s="367"/>
      <c r="K240" s="367"/>
      <c r="L240" s="367"/>
      <c r="M240" s="368"/>
      <c r="N240" s="368"/>
      <c r="O240" s="369"/>
      <c r="P240" s="370"/>
      <c r="Q240" s="371"/>
      <c r="R240" s="371"/>
      <c r="S240" s="371">
        <f ca="1">IF(NOT(ISERROR(MATCH(R240,_xlfn.ANCHORARRAY(H246),0))),#REF!&amp;"Por favor no seleccionar los criterios de impacto",R240)</f>
        <v>0</v>
      </c>
      <c r="T240" s="370"/>
      <c r="U240" s="371"/>
      <c r="V240" s="372"/>
      <c r="W240" s="241">
        <v>2</v>
      </c>
      <c r="X240" s="213" t="s">
        <v>773</v>
      </c>
      <c r="Y240" s="242" t="str">
        <f t="shared" si="604"/>
        <v>Probabilidad</v>
      </c>
      <c r="Z240" s="192" t="s">
        <v>208</v>
      </c>
      <c r="AA240" s="192" t="s">
        <v>216</v>
      </c>
      <c r="AB240" s="193" t="str">
        <f t="shared" si="671"/>
        <v>40%</v>
      </c>
      <c r="AC240" s="192" t="s">
        <v>219</v>
      </c>
      <c r="AD240" s="192" t="s">
        <v>224</v>
      </c>
      <c r="AE240" s="192" t="s">
        <v>228</v>
      </c>
      <c r="AF240" s="194">
        <f t="shared" ref="AF240:AF241" si="674">IFERROR(IF(AND(Y239="Probabilidad",Y240="Probabilidad"),(AH239-(+AH239*AB240)),IF(Y240="Probabilidad",(Q239-(+Q239*AB240)),IF(Y240="Impacto",AH239,""))),"")</f>
        <v>0.216</v>
      </c>
      <c r="AG240" s="195" t="str">
        <f t="shared" si="606"/>
        <v>Baja</v>
      </c>
      <c r="AH240" s="193">
        <f t="shared" si="607"/>
        <v>0.216</v>
      </c>
      <c r="AI240" s="195" t="str">
        <f t="shared" ca="1" si="608"/>
        <v>Moderado</v>
      </c>
      <c r="AJ240" s="193">
        <f t="shared" ref="AJ240" ca="1" si="675">IFERROR(IF(AND(Y239="Impacto",Y240="Impacto"),(AJ239-(+AJ239*AB240)),IF(Y240="Impacto",(U239-(+U239*AB240)),IF(Y240="Probabilidad",AJ239,""))),"")</f>
        <v>0.6</v>
      </c>
      <c r="AK240" s="196" t="str">
        <f t="shared" ca="1" si="610"/>
        <v>Moderado</v>
      </c>
      <c r="AL240" s="192" t="s">
        <v>255</v>
      </c>
      <c r="AM240" s="227"/>
      <c r="AN240" s="230"/>
      <c r="AO240" s="228"/>
      <c r="AP240" s="228"/>
      <c r="AQ240" s="227"/>
      <c r="AR240" s="229"/>
    </row>
    <row r="241" spans="1:44" s="191" customFormat="1" ht="261" customHeight="1" thickTop="1" thickBot="1" x14ac:dyDescent="0.3">
      <c r="A241" s="352"/>
      <c r="B241" s="353"/>
      <c r="C241" s="356"/>
      <c r="D241" s="368"/>
      <c r="E241" s="368"/>
      <c r="F241" s="366"/>
      <c r="G241" s="366"/>
      <c r="H241" s="366"/>
      <c r="I241" s="367"/>
      <c r="J241" s="367"/>
      <c r="K241" s="367"/>
      <c r="L241" s="367"/>
      <c r="M241" s="368"/>
      <c r="N241" s="368"/>
      <c r="O241" s="369"/>
      <c r="P241" s="370"/>
      <c r="Q241" s="371"/>
      <c r="R241" s="371"/>
      <c r="S241" s="371">
        <f ca="1">IF(NOT(ISERROR(MATCH(R241,_xlfn.ANCHORARRAY(H247),0))),#REF!&amp;"Por favor no seleccionar los criterios de impacto",R241)</f>
        <v>0</v>
      </c>
      <c r="T241" s="370"/>
      <c r="U241" s="371"/>
      <c r="V241" s="372"/>
      <c r="W241" s="241">
        <v>3</v>
      </c>
      <c r="X241" s="213" t="s">
        <v>1062</v>
      </c>
      <c r="Y241" s="242" t="str">
        <f t="shared" si="604"/>
        <v>Probabilidad</v>
      </c>
      <c r="Z241" s="192" t="s">
        <v>208</v>
      </c>
      <c r="AA241" s="192" t="s">
        <v>216</v>
      </c>
      <c r="AB241" s="193" t="str">
        <f t="shared" si="671"/>
        <v>40%</v>
      </c>
      <c r="AC241" s="192" t="s">
        <v>222</v>
      </c>
      <c r="AD241" s="192" t="s">
        <v>224</v>
      </c>
      <c r="AE241" s="192" t="s">
        <v>228</v>
      </c>
      <c r="AF241" s="194">
        <f t="shared" si="674"/>
        <v>0.12959999999999999</v>
      </c>
      <c r="AG241" s="195" t="str">
        <f t="shared" si="606"/>
        <v>Muy Baja</v>
      </c>
      <c r="AH241" s="193">
        <f t="shared" si="607"/>
        <v>0.12959999999999999</v>
      </c>
      <c r="AI241" s="195" t="str">
        <f t="shared" ca="1" si="608"/>
        <v>Moderado</v>
      </c>
      <c r="AJ241" s="193">
        <f t="shared" ref="AJ241" ca="1" si="676">IFERROR(IF(AND(Y240="Impacto",Y241="Impacto"),(AJ240-(+AJ240*AB241)),IF(AND(Y240="Probabilidad",Y241="Impacto"),(AJ239-(+AJ239*AB241)),IF(Y241="Probabilidad",AJ240,""))),"")</f>
        <v>0.6</v>
      </c>
      <c r="AK241" s="196" t="str">
        <f t="shared" ca="1" si="610"/>
        <v>Moderado</v>
      </c>
      <c r="AL241" s="192" t="s">
        <v>255</v>
      </c>
      <c r="AM241" s="227"/>
      <c r="AN241" s="230"/>
      <c r="AO241" s="228"/>
      <c r="AP241" s="228"/>
      <c r="AQ241" s="227"/>
      <c r="AR241" s="229"/>
    </row>
    <row r="242" spans="1:44" s="191" customFormat="1" ht="146.25" customHeight="1" thickTop="1" thickBot="1" x14ac:dyDescent="0.3">
      <c r="A242" s="352">
        <v>95</v>
      </c>
      <c r="B242" s="353" t="s">
        <v>956</v>
      </c>
      <c r="C242" s="354" t="s">
        <v>279</v>
      </c>
      <c r="D242" s="357" t="s">
        <v>955</v>
      </c>
      <c r="E242" s="359" t="s">
        <v>240</v>
      </c>
      <c r="F242" s="360" t="s">
        <v>1096</v>
      </c>
      <c r="G242" s="360" t="s">
        <v>774</v>
      </c>
      <c r="H242" s="361" t="s">
        <v>1176</v>
      </c>
      <c r="I242" s="362" t="s">
        <v>474</v>
      </c>
      <c r="J242" s="362" t="s">
        <v>474</v>
      </c>
      <c r="K242" s="362" t="s">
        <v>474</v>
      </c>
      <c r="L242" s="362" t="s">
        <v>474</v>
      </c>
      <c r="M242" s="357" t="s">
        <v>239</v>
      </c>
      <c r="N242" s="357"/>
      <c r="O242" s="363">
        <v>365</v>
      </c>
      <c r="P242" s="364" t="str">
        <f t="shared" ref="P242" si="677">IF(O242&lt;=0,"",IF(O242&lt;=2,"Muy Baja",IF(O242&lt;=24,"Baja",IF(O242&lt;=500,"Media",IF(O242&lt;=5000,"Alta","Muy Alta")))))</f>
        <v>Media</v>
      </c>
      <c r="Q242" s="365">
        <f t="shared" ref="Q242" si="678">IF(P242="","",IF(P242="Muy Baja",0.2,IF(P242="Baja",0.4,IF(P242="Media",0.6,IF(P242="Alta",0.8,IF(P242="Muy Alta",1,))))))</f>
        <v>0.6</v>
      </c>
      <c r="R242" s="365" t="s">
        <v>190</v>
      </c>
      <c r="S242" s="365" t="str">
        <f ca="1">IF(NOT(ISERROR(MATCH(R242,'Tabla Impacto'!$B$221:$B$223,0))),'Tabla Impacto'!$F$223&amp;"Por favor no seleccionar los criterios de impacto(Afectación Económica o presupuestal y Pérdida Reputacional)",R242)</f>
        <v>El riesgo afecta la imagen de la entidad con algunos usuarios de relevancia frente al logro de los objetivos</v>
      </c>
      <c r="T242" s="364" t="str">
        <f ca="1">+IF(OR(S242='[1]Tabla Impacto'!$C$11,S242='[1]Tabla Impacto'!$D$11),"Leve",IF(OR(S242='[1]Tabla Impacto'!$C$12,S242='[1]Tabla Impacto'!$D$12),"Menor",IF(OR(S242='[1]Tabla Impacto'!$C$13,S242='[1]Tabla Impacto'!$D$13),"Moderado",IF(OR(S242='[1]Tabla Impacto'!$C$14,S242='[1]Tabla Impacto'!$D$14),"Mayor",IF(OR(S242='[1]Tabla Impacto'!$C$15,S242='[1]Tabla Impacto'!$D$15),"Catastrófico","")))))</f>
        <v>Moderado</v>
      </c>
      <c r="U242" s="365">
        <f t="shared" ref="U242" ca="1" si="679">IF(T242="","",IF(T242="Leve",0.2,IF(T242="Menor",0.4,IF(T242="Moderado",0.6,IF(T242="Mayor",0.8,IF(T242="Catastrófico",1,))))))</f>
        <v>0.6</v>
      </c>
      <c r="V242" s="351" t="str">
        <f t="shared" ref="V242" ca="1" si="680">IF(OR(AND(P242="Muy Baja",T242="Leve"),AND(P242="Muy Baja",T242="Menor"),AND(P242="Baja",T242="Leve")),"Bajo",IF(OR(AND(P242="Muy baja",T242="Moderado"),AND(P242="Baja",T242="Menor"),AND(P242="Baja",T242="Moderado"),AND(P242="Media",T242="Leve"),AND(P242="Media",T242="Menor"),AND(P242="Media",T242="Moderado"),AND(P242="Alta",T242="Leve"),AND(P242="Alta",T242="Menor")),"Moderado",IF(OR(AND(P242="Muy Baja",T242="Mayor"),AND(P242="Baja",T242="Mayor"),AND(P242="Media",T242="Mayor"),AND(P242="Alta",T242="Moderado"),AND(P242="Alta",T242="Mayor"),AND(P242="Muy Alta",T242="Leve"),AND(P242="Muy Alta",T242="Menor"),AND(P242="Muy Alta",T242="Moderado"),AND(P242="Muy Alta",T242="Mayor")),"Alto",IF(OR(AND(P242="Muy Baja",T242="Catastrófico"),AND(P242="Baja",T242="Catastrófico"),AND(P242="Media",T242="Catastrófico"),AND(P242="Alta",T242="Catastrófico"),AND(P242="Muy Alta",T242="Catastrófico")),"Extremo",""))))</f>
        <v>Moderado</v>
      </c>
      <c r="W242" s="233">
        <v>1</v>
      </c>
      <c r="X242" s="207" t="s">
        <v>775</v>
      </c>
      <c r="Y242" s="230" t="str">
        <f t="shared" si="604"/>
        <v>Probabilidad</v>
      </c>
      <c r="Z242" s="185" t="s">
        <v>208</v>
      </c>
      <c r="AA242" s="185" t="s">
        <v>216</v>
      </c>
      <c r="AB242" s="186" t="str">
        <f t="shared" ref="AB242:AB244" si="681">IF(AND(Z242="Preventivo",AA242="Automático"),"50%",IF(AND(Z242="Preventivo",AA242="Manual"),"40%",IF(AND(Z242="Detectivo",AA242="Automático"),"40%",IF(AND(Z242="Detectivo",AA242="Manual"),"30%",IF(AND(Z242="Correctivo",AA242="Automático"),"35%",IF(AND(Z242="Correctivo",AA242="Manual"),"25%",""))))))</f>
        <v>40%</v>
      </c>
      <c r="AC242" s="185" t="s">
        <v>222</v>
      </c>
      <c r="AD242" s="185" t="s">
        <v>224</v>
      </c>
      <c r="AE242" s="185" t="s">
        <v>228</v>
      </c>
      <c r="AF242" s="187">
        <f t="shared" ref="AF242" si="682">IFERROR(IF(Y242="Probabilidad",(Q242-(+Q242*AB242)),IF(Y242="Impacto",Q242,"")),"")</f>
        <v>0.36</v>
      </c>
      <c r="AG242" s="188" t="str">
        <f t="shared" si="606"/>
        <v>Baja</v>
      </c>
      <c r="AH242" s="186">
        <f t="shared" si="607"/>
        <v>0.36</v>
      </c>
      <c r="AI242" s="188" t="str">
        <f t="shared" ca="1" si="608"/>
        <v>Moderado</v>
      </c>
      <c r="AJ242" s="186">
        <f t="shared" ref="AJ242" ca="1" si="683">IFERROR(IF(Y242="Impacto",(U242-(+U242*AB242)),IF(Y242="Probabilidad",U242,"")),"")</f>
        <v>0.6</v>
      </c>
      <c r="AK242" s="189" t="str">
        <f t="shared" ca="1" si="610"/>
        <v>Moderado</v>
      </c>
      <c r="AL242" s="185" t="s">
        <v>255</v>
      </c>
      <c r="AM242" s="227"/>
      <c r="AN242" s="230"/>
      <c r="AO242" s="228"/>
      <c r="AP242" s="228"/>
      <c r="AQ242" s="227"/>
      <c r="AR242" s="229"/>
    </row>
    <row r="243" spans="1:44" s="191" customFormat="1" ht="161.25" customHeight="1" thickTop="1" thickBot="1" x14ac:dyDescent="0.3">
      <c r="A243" s="352"/>
      <c r="B243" s="353"/>
      <c r="C243" s="355"/>
      <c r="D243" s="357"/>
      <c r="E243" s="359"/>
      <c r="F243" s="360"/>
      <c r="G243" s="360"/>
      <c r="H243" s="361"/>
      <c r="I243" s="362"/>
      <c r="J243" s="362"/>
      <c r="K243" s="362"/>
      <c r="L243" s="362"/>
      <c r="M243" s="357"/>
      <c r="N243" s="357"/>
      <c r="O243" s="363"/>
      <c r="P243" s="364"/>
      <c r="Q243" s="365"/>
      <c r="R243" s="365"/>
      <c r="S243" s="365">
        <f ca="1">IF(NOT(ISERROR(MATCH(R243,_xlfn.ANCHORARRAY(H246),0))),#REF!&amp;"Por favor no seleccionar los criterios de impacto",R243)</f>
        <v>0</v>
      </c>
      <c r="T243" s="364"/>
      <c r="U243" s="365"/>
      <c r="V243" s="351"/>
      <c r="W243" s="233">
        <v>2</v>
      </c>
      <c r="X243" s="207" t="s">
        <v>776</v>
      </c>
      <c r="Y243" s="230" t="str">
        <f t="shared" si="604"/>
        <v>Probabilidad</v>
      </c>
      <c r="Z243" s="185" t="s">
        <v>208</v>
      </c>
      <c r="AA243" s="185" t="s">
        <v>216</v>
      </c>
      <c r="AB243" s="186" t="str">
        <f t="shared" si="681"/>
        <v>40%</v>
      </c>
      <c r="AC243" s="185" t="s">
        <v>219</v>
      </c>
      <c r="AD243" s="185" t="s">
        <v>224</v>
      </c>
      <c r="AE243" s="185" t="s">
        <v>228</v>
      </c>
      <c r="AF243" s="187">
        <f t="shared" ref="AF243:AF244" si="684">IFERROR(IF(AND(Y242="Probabilidad",Y243="Probabilidad"),(AH242-(+AH242*AB243)),IF(Y243="Probabilidad",(Q242-(+Q242*AB243)),IF(Y243="Impacto",AH242,""))),"")</f>
        <v>0.216</v>
      </c>
      <c r="AG243" s="188" t="str">
        <f t="shared" si="606"/>
        <v>Baja</v>
      </c>
      <c r="AH243" s="186">
        <f t="shared" si="607"/>
        <v>0.216</v>
      </c>
      <c r="AI243" s="188" t="str">
        <f t="shared" ca="1" si="608"/>
        <v>Moderado</v>
      </c>
      <c r="AJ243" s="186">
        <f t="shared" ref="AJ243" ca="1" si="685">IFERROR(IF(AND(Y242="Impacto",Y243="Impacto"),(AJ242-(+AJ242*AB243)),IF(Y243="Impacto",(U242-(+U242*AB243)),IF(Y243="Probabilidad",AJ242,""))),"")</f>
        <v>0.6</v>
      </c>
      <c r="AK243" s="189" t="str">
        <f t="shared" ca="1" si="610"/>
        <v>Moderado</v>
      </c>
      <c r="AL243" s="185" t="s">
        <v>255</v>
      </c>
      <c r="AM243" s="227"/>
      <c r="AN243" s="230"/>
      <c r="AO243" s="228"/>
      <c r="AP243" s="228"/>
      <c r="AQ243" s="227"/>
      <c r="AR243" s="229"/>
    </row>
    <row r="244" spans="1:44" s="191" customFormat="1" ht="161.25" customHeight="1" thickTop="1" thickBot="1" x14ac:dyDescent="0.3">
      <c r="A244" s="352"/>
      <c r="B244" s="353"/>
      <c r="C244" s="356"/>
      <c r="D244" s="357"/>
      <c r="E244" s="359"/>
      <c r="F244" s="360"/>
      <c r="G244" s="360"/>
      <c r="H244" s="361"/>
      <c r="I244" s="362"/>
      <c r="J244" s="362"/>
      <c r="K244" s="362"/>
      <c r="L244" s="362"/>
      <c r="M244" s="357"/>
      <c r="N244" s="357"/>
      <c r="O244" s="363"/>
      <c r="P244" s="364"/>
      <c r="Q244" s="365"/>
      <c r="R244" s="365"/>
      <c r="S244" s="365">
        <f ca="1">IF(NOT(ISERROR(MATCH(R244,_xlfn.ANCHORARRAY(H247),0))),#REF!&amp;"Por favor no seleccionar los criterios de impacto",R244)</f>
        <v>0</v>
      </c>
      <c r="T244" s="364"/>
      <c r="U244" s="365"/>
      <c r="V244" s="351"/>
      <c r="W244" s="233">
        <v>3</v>
      </c>
      <c r="X244" s="207" t="s">
        <v>777</v>
      </c>
      <c r="Y244" s="230" t="str">
        <f t="shared" si="604"/>
        <v>Impacto</v>
      </c>
      <c r="Z244" s="185" t="s">
        <v>212</v>
      </c>
      <c r="AA244" s="185" t="s">
        <v>216</v>
      </c>
      <c r="AB244" s="186" t="str">
        <f t="shared" si="681"/>
        <v>25%</v>
      </c>
      <c r="AC244" s="185" t="s">
        <v>222</v>
      </c>
      <c r="AD244" s="185" t="s">
        <v>224</v>
      </c>
      <c r="AE244" s="185" t="s">
        <v>228</v>
      </c>
      <c r="AF244" s="187">
        <f t="shared" si="684"/>
        <v>0.216</v>
      </c>
      <c r="AG244" s="188" t="str">
        <f t="shared" si="606"/>
        <v>Baja</v>
      </c>
      <c r="AH244" s="186">
        <f t="shared" si="607"/>
        <v>0.216</v>
      </c>
      <c r="AI244" s="188" t="str">
        <f t="shared" ca="1" si="608"/>
        <v>Moderado</v>
      </c>
      <c r="AJ244" s="186">
        <f t="shared" ref="AJ244" ca="1" si="686">IFERROR(IF(AND(Y243="Impacto",Y244="Impacto"),(AJ243-(+AJ243*AB244)),IF(AND(Y243="Probabilidad",Y244="Impacto"),(AJ242-(+AJ242*AB244)),IF(Y244="Probabilidad",AJ243,""))),"")</f>
        <v>0.44999999999999996</v>
      </c>
      <c r="AK244" s="189" t="str">
        <f t="shared" ca="1" si="610"/>
        <v>Moderado</v>
      </c>
      <c r="AL244" s="185" t="s">
        <v>255</v>
      </c>
      <c r="AM244" s="227"/>
      <c r="AN244" s="230"/>
      <c r="AO244" s="228"/>
      <c r="AP244" s="228"/>
      <c r="AQ244" s="227"/>
      <c r="AR244" s="229"/>
    </row>
    <row r="245" spans="1:44" s="191" customFormat="1" ht="276.75" customHeight="1" thickTop="1" thickBot="1" x14ac:dyDescent="0.3">
      <c r="A245" s="226">
        <v>96</v>
      </c>
      <c r="B245" s="249" t="s">
        <v>921</v>
      </c>
      <c r="C245" s="227" t="s">
        <v>280</v>
      </c>
      <c r="D245" s="244" t="s">
        <v>922</v>
      </c>
      <c r="E245" s="227" t="s">
        <v>238</v>
      </c>
      <c r="F245" s="234" t="s">
        <v>923</v>
      </c>
      <c r="G245" s="234" t="s">
        <v>924</v>
      </c>
      <c r="H245" s="251" t="s">
        <v>1177</v>
      </c>
      <c r="I245" s="231" t="s">
        <v>474</v>
      </c>
      <c r="J245" s="231" t="s">
        <v>474</v>
      </c>
      <c r="K245" s="231" t="s">
        <v>474</v>
      </c>
      <c r="L245" s="231" t="s">
        <v>474</v>
      </c>
      <c r="M245" s="227" t="s">
        <v>239</v>
      </c>
      <c r="N245" s="227"/>
      <c r="O245" s="230">
        <v>1</v>
      </c>
      <c r="P245" s="232" t="str">
        <f t="shared" si="643"/>
        <v>Muy Baja</v>
      </c>
      <c r="Q245" s="225">
        <f t="shared" si="644"/>
        <v>0.2</v>
      </c>
      <c r="R245" s="225" t="s">
        <v>187</v>
      </c>
      <c r="S245" s="225" t="str">
        <f ca="1">IF(NOT(ISERROR(MATCH(R245,'Tabla Impacto'!$B$221:$B$223,0))),'Tabla Impacto'!$F$223&amp;"Por favor no seleccionar los criterios de impacto(Afectación Económica o presupuestal y Pérdida Reputacional)",R245)</f>
        <v>El riesgo afecta la imagen de la entidad internamente, de conocimiento general, nivel interno, de junta dircetiva y accionistas y/o de provedores</v>
      </c>
      <c r="T245" s="232"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Menor</v>
      </c>
      <c r="U245" s="225">
        <f t="shared" ref="U245" ca="1" si="687">IF(T245="","",IF(T245="Leve",0.2,IF(T245="Menor",0.4,IF(T245="Moderado",0.6,IF(T245="Mayor",0.8,IF(T245="Catastrófico",1,))))))</f>
        <v>0.4</v>
      </c>
      <c r="V245" s="233" t="str">
        <f t="shared" ref="V245" ca="1" si="688">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Bajo</v>
      </c>
      <c r="W245" s="233">
        <v>1</v>
      </c>
      <c r="X245" s="207" t="s">
        <v>1063</v>
      </c>
      <c r="Y245" s="230" t="str">
        <f t="shared" si="604"/>
        <v>Probabilidad</v>
      </c>
      <c r="Z245" s="185" t="s">
        <v>208</v>
      </c>
      <c r="AA245" s="185" t="s">
        <v>216</v>
      </c>
      <c r="AB245" s="186" t="str">
        <f t="shared" si="627"/>
        <v>40%</v>
      </c>
      <c r="AC245" s="185" t="s">
        <v>219</v>
      </c>
      <c r="AD245" s="185" t="s">
        <v>224</v>
      </c>
      <c r="AE245" s="185" t="s">
        <v>228</v>
      </c>
      <c r="AF245" s="187">
        <f t="shared" ref="AF245" si="689">IFERROR(IF(Y245="Probabilidad",(Q245-(+Q245*AB245)),IF(Y245="Impacto",Q245,"")),"")</f>
        <v>0.12</v>
      </c>
      <c r="AG245" s="188" t="str">
        <f t="shared" si="606"/>
        <v>Muy Baja</v>
      </c>
      <c r="AH245" s="186">
        <f t="shared" si="607"/>
        <v>0.12</v>
      </c>
      <c r="AI245" s="188" t="str">
        <f t="shared" ca="1" si="608"/>
        <v>Menor</v>
      </c>
      <c r="AJ245" s="186">
        <f t="shared" ref="AJ245" ca="1" si="690">IFERROR(IF(Y245="Impacto",(U245-(+U245*AB245)),IF(Y245="Probabilidad",U245,"")),"")</f>
        <v>0.4</v>
      </c>
      <c r="AK245" s="189" t="str">
        <f t="shared" ca="1" si="610"/>
        <v>Bajo</v>
      </c>
      <c r="AL245" s="185" t="s">
        <v>255</v>
      </c>
      <c r="AM245" s="227"/>
      <c r="AN245" s="230"/>
      <c r="AO245" s="228"/>
      <c r="AP245" s="228"/>
      <c r="AQ245" s="227"/>
      <c r="AR245" s="229"/>
    </row>
    <row r="246" spans="1:44" s="191" customFormat="1" ht="203.25" customHeight="1" thickTop="1" thickBot="1" x14ac:dyDescent="0.3">
      <c r="A246" s="352">
        <v>97</v>
      </c>
      <c r="B246" s="353" t="s">
        <v>925</v>
      </c>
      <c r="C246" s="357" t="s">
        <v>280</v>
      </c>
      <c r="D246" s="357" t="s">
        <v>922</v>
      </c>
      <c r="E246" s="357" t="s">
        <v>238</v>
      </c>
      <c r="F246" s="375" t="s">
        <v>926</v>
      </c>
      <c r="G246" s="375" t="s">
        <v>927</v>
      </c>
      <c r="H246" s="374" t="s">
        <v>1214</v>
      </c>
      <c r="I246" s="362" t="s">
        <v>474</v>
      </c>
      <c r="J246" s="362" t="s">
        <v>474</v>
      </c>
      <c r="K246" s="362" t="s">
        <v>474</v>
      </c>
      <c r="L246" s="362" t="s">
        <v>474</v>
      </c>
      <c r="M246" s="357" t="s">
        <v>239</v>
      </c>
      <c r="N246" s="357"/>
      <c r="O246" s="363">
        <v>30</v>
      </c>
      <c r="P246" s="364" t="str">
        <f t="shared" si="643"/>
        <v>Media</v>
      </c>
      <c r="Q246" s="365">
        <f t="shared" si="644"/>
        <v>0.6</v>
      </c>
      <c r="R246" s="365" t="s">
        <v>187</v>
      </c>
      <c r="S246" s="365" t="str">
        <f ca="1">IF(NOT(ISERROR(MATCH(R246,'Tabla Impacto'!$B$221:$B$223,0))),'Tabla Impacto'!$F$223&amp;"Por favor no seleccionar los criterios de impacto(Afectación Económica o presupuestal y Pérdida Reputacional)",R246)</f>
        <v>El riesgo afecta la imagen de la entidad internamente, de conocimiento general, nivel interno, de junta dircetiva y accionistas y/o de provedores</v>
      </c>
      <c r="T246" s="364" t="str">
        <f ca="1">+IF(OR(S246='[1]Tabla Impacto'!$C$11,S246='[1]Tabla Impacto'!$D$11),"Leve",IF(OR(S246='[1]Tabla Impacto'!$C$12,S246='[1]Tabla Impacto'!$D$12),"Menor",IF(OR(S246='[1]Tabla Impacto'!$C$13,S246='[1]Tabla Impacto'!$D$13),"Moderado",IF(OR(S246='[1]Tabla Impacto'!$C$14,S246='[1]Tabla Impacto'!$D$14),"Mayor",IF(OR(S246='[1]Tabla Impacto'!$C$15,S246='[1]Tabla Impacto'!$D$15),"Catastrófico","")))))</f>
        <v>Menor</v>
      </c>
      <c r="U246" s="365">
        <f t="shared" ref="U246" ca="1" si="691">IF(T246="","",IF(T246="Leve",0.2,IF(T246="Menor",0.4,IF(T246="Moderado",0.6,IF(T246="Mayor",0.8,IF(T246="Catastrófico",1,))))))</f>
        <v>0.4</v>
      </c>
      <c r="V246" s="351" t="str">
        <f t="shared" ref="V246" ca="1" si="692">IF(OR(AND(P246="Muy Baja",T246="Leve"),AND(P246="Muy Baja",T246="Menor"),AND(P246="Baja",T246="Leve")),"Bajo",IF(OR(AND(P246="Muy baja",T246="Moderado"),AND(P246="Baja",T246="Menor"),AND(P246="Baja",T246="Moderado"),AND(P246="Media",T246="Leve"),AND(P246="Media",T246="Menor"),AND(P246="Media",T246="Moderado"),AND(P246="Alta",T246="Leve"),AND(P246="Alta",T246="Menor")),"Moderado",IF(OR(AND(P246="Muy Baja",T246="Mayor"),AND(P246="Baja",T246="Mayor"),AND(P246="Media",T246="Mayor"),AND(P246="Alta",T246="Moderado"),AND(P246="Alta",T246="Mayor"),AND(P246="Muy Alta",T246="Leve"),AND(P246="Muy Alta",T246="Menor"),AND(P246="Muy Alta",T246="Moderado"),AND(P246="Muy Alta",T246="Mayor")),"Alto",IF(OR(AND(P246="Muy Baja",T246="Catastrófico"),AND(P246="Baja",T246="Catastrófico"),AND(P246="Media",T246="Catastrófico"),AND(P246="Alta",T246="Catastrófico"),AND(P246="Muy Alta",T246="Catastrófico")),"Extremo",""))))</f>
        <v>Moderado</v>
      </c>
      <c r="W246" s="233">
        <v>1</v>
      </c>
      <c r="X246" s="207" t="s">
        <v>1064</v>
      </c>
      <c r="Y246" s="230" t="str">
        <f t="shared" ref="Y246:Y250" si="693">IF(OR(Z246="Preventivo",Z246="Detectivo"),"Probabilidad",IF(Z246="Correctivo","Impacto",""))</f>
        <v>Probabilidad</v>
      </c>
      <c r="Z246" s="185" t="s">
        <v>208</v>
      </c>
      <c r="AA246" s="185" t="s">
        <v>216</v>
      </c>
      <c r="AB246" s="186" t="str">
        <f t="shared" si="627"/>
        <v>40%</v>
      </c>
      <c r="AC246" s="185" t="s">
        <v>219</v>
      </c>
      <c r="AD246" s="185" t="s">
        <v>224</v>
      </c>
      <c r="AE246" s="185" t="s">
        <v>228</v>
      </c>
      <c r="AF246" s="187">
        <f t="shared" ref="AF246" si="694">IFERROR(IF(Y246="Probabilidad",(Q246-(+Q246*AB246)),IF(Y246="Impacto",Q246,"")),"")</f>
        <v>0.36</v>
      </c>
      <c r="AG246" s="188" t="str">
        <f t="shared" ref="AG246:AG247" si="695">IFERROR(IF(AF246="","",IF(AF246&lt;=0.2,"Muy Baja",IF(AF246&lt;=0.4,"Baja",IF(AF246&lt;=0.6,"Media",IF(AF246&lt;=0.8,"Alta","Muy Alta"))))),"")</f>
        <v>Baja</v>
      </c>
      <c r="AH246" s="186">
        <f t="shared" ref="AH246:AH247" si="696">+AF246</f>
        <v>0.36</v>
      </c>
      <c r="AI246" s="188" t="str">
        <f t="shared" ref="AI246:AI247" ca="1" si="697">IFERROR(IF(AJ246="","",IF(AJ246&lt;=0.2,"Leve",IF(AJ246&lt;=0.4,"Menor",IF(AJ246&lt;=0.6,"Moderado",IF(AJ246&lt;=0.8,"Mayor","Catastrófico"))))),"")</f>
        <v>Menor</v>
      </c>
      <c r="AJ246" s="186">
        <f t="shared" ref="AJ246" ca="1" si="698">IFERROR(IF(Y246="Impacto",(U246-(+U246*AB246)),IF(Y246="Probabilidad",U246,"")),"")</f>
        <v>0.4</v>
      </c>
      <c r="AK246" s="189" t="str">
        <f t="shared" ref="AK246:AK247" ca="1" si="699">IFERROR(IF(OR(AND(AG246="Muy Baja",AI246="Leve"),AND(AG246="Muy Baja",AI246="Menor"),AND(AG246="Baja",AI246="Leve")),"Bajo",IF(OR(AND(AG246="Muy baja",AI246="Moderado"),AND(AG246="Baja",AI246="Menor"),AND(AG246="Baja",AI246="Moderado"),AND(AG246="Media",AI246="Leve"),AND(AG246="Media",AI246="Menor"),AND(AG246="Media",AI246="Moderado"),AND(AG246="Alta",AI246="Leve"),AND(AG246="Alta",AI246="Menor")),"Moderado",IF(OR(AND(AG246="Muy Baja",AI246="Mayor"),AND(AG246="Baja",AI246="Mayor"),AND(AG246="Media",AI246="Mayor"),AND(AG246="Alta",AI246="Moderado"),AND(AG246="Alta",AI246="Mayor"),AND(AG246="Muy Alta",AI246="Leve"),AND(AG246="Muy Alta",AI246="Menor"),AND(AG246="Muy Alta",AI246="Moderado"),AND(AG246="Muy Alta",AI246="Mayor")),"Alto",IF(OR(AND(AG246="Muy Baja",AI246="Catastrófico"),AND(AG246="Baja",AI246="Catastrófico"),AND(AG246="Media",AI246="Catastrófico"),AND(AG246="Alta",AI246="Catastrófico"),AND(AG246="Muy Alta",AI246="Catastrófico")),"Extremo","")))),"")</f>
        <v>Moderado</v>
      </c>
      <c r="AL246" s="185" t="s">
        <v>255</v>
      </c>
      <c r="AM246" s="227"/>
      <c r="AN246" s="230"/>
      <c r="AO246" s="228"/>
      <c r="AP246" s="228"/>
      <c r="AQ246" s="227"/>
      <c r="AR246" s="229"/>
    </row>
    <row r="247" spans="1:44" s="191" customFormat="1" ht="184.5" customHeight="1" thickTop="1" thickBot="1" x14ac:dyDescent="0.3">
      <c r="A247" s="352"/>
      <c r="B247" s="353"/>
      <c r="C247" s="357"/>
      <c r="D247" s="357"/>
      <c r="E247" s="357"/>
      <c r="F247" s="375"/>
      <c r="G247" s="375"/>
      <c r="H247" s="374"/>
      <c r="I247" s="362"/>
      <c r="J247" s="362"/>
      <c r="K247" s="362"/>
      <c r="L247" s="362"/>
      <c r="M247" s="357"/>
      <c r="N247" s="357"/>
      <c r="O247" s="363"/>
      <c r="P247" s="364"/>
      <c r="Q247" s="365"/>
      <c r="R247" s="365"/>
      <c r="S247" s="365">
        <f ca="1">IF(NOT(ISERROR(MATCH(R247,_xlfn.ANCHORARRAY(H257),0))),Q259&amp;"Por favor no seleccionar los criterios de impacto",R247)</f>
        <v>0</v>
      </c>
      <c r="T247" s="364"/>
      <c r="U247" s="365"/>
      <c r="V247" s="351"/>
      <c r="W247" s="233">
        <v>2</v>
      </c>
      <c r="X247" s="207" t="s">
        <v>1065</v>
      </c>
      <c r="Y247" s="230" t="str">
        <f t="shared" si="693"/>
        <v>Probabilidad</v>
      </c>
      <c r="Z247" s="185" t="s">
        <v>208</v>
      </c>
      <c r="AA247" s="185" t="s">
        <v>216</v>
      </c>
      <c r="AB247" s="186" t="str">
        <f t="shared" si="627"/>
        <v>40%</v>
      </c>
      <c r="AC247" s="185" t="s">
        <v>219</v>
      </c>
      <c r="AD247" s="185" t="s">
        <v>224</v>
      </c>
      <c r="AE247" s="185" t="s">
        <v>228</v>
      </c>
      <c r="AF247" s="187">
        <f t="shared" ref="AF247:AF250" si="700">IFERROR(IF(AND(Y246="Probabilidad",Y247="Probabilidad"),(AH246-(+AH246*AB247)),IF(Y247="Probabilidad",(Q246-(+Q246*AB247)),IF(Y247="Impacto",AH246,""))),"")</f>
        <v>0.216</v>
      </c>
      <c r="AG247" s="188" t="str">
        <f t="shared" si="695"/>
        <v>Baja</v>
      </c>
      <c r="AH247" s="186">
        <f t="shared" si="696"/>
        <v>0.216</v>
      </c>
      <c r="AI247" s="188" t="str">
        <f t="shared" ca="1" si="697"/>
        <v>Menor</v>
      </c>
      <c r="AJ247" s="186">
        <f t="shared" ref="AJ247" ca="1" si="701">IFERROR(IF(AND(Y246="Impacto",Y247="Impacto"),(AJ246-(+AJ246*AB247)),IF(Y247="Impacto",(U246-(+U246*AB247)),IF(Y247="Probabilidad",AJ246,""))),"")</f>
        <v>0.4</v>
      </c>
      <c r="AK247" s="189" t="str">
        <f t="shared" ca="1" si="699"/>
        <v>Moderado</v>
      </c>
      <c r="AL247" s="185" t="s">
        <v>255</v>
      </c>
      <c r="AM247" s="227"/>
      <c r="AN247" s="230"/>
      <c r="AO247" s="228"/>
      <c r="AP247" s="228"/>
      <c r="AQ247" s="227"/>
      <c r="AR247" s="229"/>
    </row>
    <row r="248" spans="1:44" s="191" customFormat="1" ht="260.25" customHeight="1" thickTop="1" thickBot="1" x14ac:dyDescent="0.3">
      <c r="A248" s="226">
        <v>98</v>
      </c>
      <c r="B248" s="249" t="s">
        <v>928</v>
      </c>
      <c r="C248" s="227" t="s">
        <v>280</v>
      </c>
      <c r="D248" s="244" t="s">
        <v>922</v>
      </c>
      <c r="E248" s="227" t="s">
        <v>238</v>
      </c>
      <c r="F248" s="234" t="s">
        <v>1097</v>
      </c>
      <c r="G248" s="234" t="s">
        <v>929</v>
      </c>
      <c r="H248" s="251" t="s">
        <v>1178</v>
      </c>
      <c r="I248" s="231" t="s">
        <v>474</v>
      </c>
      <c r="J248" s="231" t="s">
        <v>474</v>
      </c>
      <c r="K248" s="231" t="s">
        <v>474</v>
      </c>
      <c r="L248" s="231" t="s">
        <v>474</v>
      </c>
      <c r="M248" s="227" t="s">
        <v>239</v>
      </c>
      <c r="N248" s="227"/>
      <c r="O248" s="230">
        <v>71</v>
      </c>
      <c r="P248" s="232" t="str">
        <f t="shared" ref="P248" si="702">IF(O248&lt;=0,"",IF(O248&lt;=2,"Muy Baja",IF(O248&lt;=24,"Baja",IF(O248&lt;=500,"Media",IF(O248&lt;=5000,"Alta","Muy Alta")))))</f>
        <v>Media</v>
      </c>
      <c r="Q248" s="225">
        <f t="shared" ref="Q248" si="703">IF(P248="","",IF(P248="Muy Baja",0.2,IF(P248="Baja",0.4,IF(P248="Media",0.6,IF(P248="Alta",0.8,IF(P248="Muy Alta",1,))))))</f>
        <v>0.6</v>
      </c>
      <c r="R248" s="225" t="s">
        <v>187</v>
      </c>
      <c r="S248" s="225" t="str">
        <f ca="1">IF(NOT(ISERROR(MATCH(R248,'Tabla Impacto'!$B$221:$B$223,0))),'Tabla Impacto'!$F$223&amp;"Por favor no seleccionar los criterios de impacto(Afectación Económica o presupuestal y Pérdida Reputacional)",R248)</f>
        <v>El riesgo afecta la imagen de la entidad internamente, de conocimiento general, nivel interno, de junta dircetiva y accionistas y/o de provedores</v>
      </c>
      <c r="T248" s="232" t="str">
        <f ca="1">+IF(OR(S248='[1]Tabla Impacto'!$C$11,S248='[1]Tabla Impacto'!$D$11),"Leve",IF(OR(S248='[1]Tabla Impacto'!$C$12,S248='[1]Tabla Impacto'!$D$12),"Menor",IF(OR(S248='[1]Tabla Impacto'!$C$13,S248='[1]Tabla Impacto'!$D$13),"Moderado",IF(OR(S248='[1]Tabla Impacto'!$C$14,S248='[1]Tabla Impacto'!$D$14),"Mayor",IF(OR(S248='[1]Tabla Impacto'!$C$15,S248='[1]Tabla Impacto'!$D$15),"Catastrófico","")))))</f>
        <v>Menor</v>
      </c>
      <c r="U248" s="225">
        <f t="shared" ref="U248" ca="1" si="704">IF(T248="","",IF(T248="Leve",0.2,IF(T248="Menor",0.4,IF(T248="Moderado",0.6,IF(T248="Mayor",0.8,IF(T248="Catastrófico",1,))))))</f>
        <v>0.4</v>
      </c>
      <c r="V248" s="233" t="str">
        <f t="shared" ref="V248" ca="1" si="705">IF(OR(AND(P248="Muy Baja",T248="Leve"),AND(P248="Muy Baja",T248="Menor"),AND(P248="Baja",T248="Leve")),"Bajo",IF(OR(AND(P248="Muy baja",T248="Moderado"),AND(P248="Baja",T248="Menor"),AND(P248="Baja",T248="Moderado"),AND(P248="Media",T248="Leve"),AND(P248="Media",T248="Menor"),AND(P248="Media",T248="Moderado"),AND(P248="Alta",T248="Leve"),AND(P248="Alta",T248="Menor")),"Moderado",IF(OR(AND(P248="Muy Baja",T248="Mayor"),AND(P248="Baja",T248="Mayor"),AND(P248="Media",T248="Mayor"),AND(P248="Alta",T248="Moderado"),AND(P248="Alta",T248="Mayor"),AND(P248="Muy Alta",T248="Leve"),AND(P248="Muy Alta",T248="Menor"),AND(P248="Muy Alta",T248="Moderado"),AND(P248="Muy Alta",T248="Mayor")),"Alto",IF(OR(AND(P248="Muy Baja",T248="Catastrófico"),AND(P248="Baja",T248="Catastrófico"),AND(P248="Media",T248="Catastrófico"),AND(P248="Alta",T248="Catastrófico"),AND(P248="Muy Alta",T248="Catastrófico")),"Extremo",""))))</f>
        <v>Moderado</v>
      </c>
      <c r="W248" s="233">
        <v>1</v>
      </c>
      <c r="X248" s="207" t="s">
        <v>1066</v>
      </c>
      <c r="Y248" s="230" t="str">
        <f t="shared" si="693"/>
        <v>Probabilidad</v>
      </c>
      <c r="Z248" s="185" t="s">
        <v>208</v>
      </c>
      <c r="AA248" s="185" t="s">
        <v>216</v>
      </c>
      <c r="AB248" s="186" t="str">
        <f t="shared" si="627"/>
        <v>40%</v>
      </c>
      <c r="AC248" s="185" t="s">
        <v>219</v>
      </c>
      <c r="AD248" s="185" t="s">
        <v>224</v>
      </c>
      <c r="AE248" s="185" t="s">
        <v>228</v>
      </c>
      <c r="AF248" s="187">
        <f t="shared" ref="AF248" si="706">IFERROR(IF(Y248="Probabilidad",(Q248-(+Q248*AB248)),IF(Y248="Impacto",Q248,"")),"")</f>
        <v>0.36</v>
      </c>
      <c r="AG248" s="188" t="str">
        <f t="shared" ref="AG248" si="707">IFERROR(IF(AF248="","",IF(AF248&lt;=0.2,"Muy Baja",IF(AF248&lt;=0.4,"Baja",IF(AF248&lt;=0.6,"Media",IF(AF248&lt;=0.8,"Alta","Muy Alta"))))),"")</f>
        <v>Baja</v>
      </c>
      <c r="AH248" s="186">
        <f t="shared" ref="AH248" si="708">+AF248</f>
        <v>0.36</v>
      </c>
      <c r="AI248" s="188" t="str">
        <f t="shared" ref="AI248" ca="1" si="709">IFERROR(IF(AJ248="","",IF(AJ248&lt;=0.2,"Leve",IF(AJ248&lt;=0.4,"Menor",IF(AJ248&lt;=0.6,"Moderado",IF(AJ248&lt;=0.8,"Mayor","Catastrófico"))))),"")</f>
        <v>Menor</v>
      </c>
      <c r="AJ248" s="186">
        <f t="shared" ref="AJ248" ca="1" si="710">IFERROR(IF(Y248="Impacto",(U248-(+U248*AB248)),IF(Y248="Probabilidad",U248,"")),"")</f>
        <v>0.4</v>
      </c>
      <c r="AK248" s="189" t="str">
        <f t="shared" ref="AK248" ca="1" si="711">IFERROR(IF(OR(AND(AG248="Muy Baja",AI248="Leve"),AND(AG248="Muy Baja",AI248="Menor"),AND(AG248="Baja",AI248="Leve")),"Bajo",IF(OR(AND(AG248="Muy baja",AI248="Moderado"),AND(AG248="Baja",AI248="Menor"),AND(AG248="Baja",AI248="Moderado"),AND(AG248="Media",AI248="Leve"),AND(AG248="Media",AI248="Menor"),AND(AG248="Media",AI248="Moderado"),AND(AG248="Alta",AI248="Leve"),AND(AG248="Alta",AI248="Menor")),"Moderado",IF(OR(AND(AG248="Muy Baja",AI248="Mayor"),AND(AG248="Baja",AI248="Mayor"),AND(AG248="Media",AI248="Mayor"),AND(AG248="Alta",AI248="Moderado"),AND(AG248="Alta",AI248="Mayor"),AND(AG248="Muy Alta",AI248="Leve"),AND(AG248="Muy Alta",AI248="Menor"),AND(AG248="Muy Alta",AI248="Moderado"),AND(AG248="Muy Alta",AI248="Mayor")),"Alto",IF(OR(AND(AG248="Muy Baja",AI248="Catastrófico"),AND(AG248="Baja",AI248="Catastrófico"),AND(AG248="Media",AI248="Catastrófico"),AND(AG248="Alta",AI248="Catastrófico"),AND(AG248="Muy Alta",AI248="Catastrófico")),"Extremo","")))),"")</f>
        <v>Moderado</v>
      </c>
      <c r="AL248" s="185" t="s">
        <v>255</v>
      </c>
      <c r="AM248" s="227"/>
      <c r="AN248" s="230"/>
      <c r="AO248" s="228"/>
      <c r="AP248" s="228"/>
      <c r="AQ248" s="227"/>
      <c r="AR248" s="229"/>
    </row>
    <row r="249" spans="1:44" s="191" customFormat="1" ht="225.75" customHeight="1" thickTop="1" thickBot="1" x14ac:dyDescent="0.3">
      <c r="A249" s="352">
        <v>99</v>
      </c>
      <c r="B249" s="353" t="s">
        <v>930</v>
      </c>
      <c r="C249" s="357" t="s">
        <v>280</v>
      </c>
      <c r="D249" s="357" t="s">
        <v>922</v>
      </c>
      <c r="E249" s="357" t="s">
        <v>240</v>
      </c>
      <c r="F249" s="375" t="s">
        <v>823</v>
      </c>
      <c r="G249" s="375" t="s">
        <v>931</v>
      </c>
      <c r="H249" s="374" t="s">
        <v>1188</v>
      </c>
      <c r="I249" s="362" t="s">
        <v>593</v>
      </c>
      <c r="J249" s="362" t="s">
        <v>593</v>
      </c>
      <c r="K249" s="362" t="s">
        <v>593</v>
      </c>
      <c r="L249" s="362" t="s">
        <v>593</v>
      </c>
      <c r="M249" s="373" t="s">
        <v>244</v>
      </c>
      <c r="N249" s="357"/>
      <c r="O249" s="363">
        <v>71</v>
      </c>
      <c r="P249" s="364" t="str">
        <f t="shared" ref="P249" si="712">IF(O249&lt;=0,"",IF(O249&lt;=2,"Muy Baja",IF(O249&lt;=24,"Baja",IF(O249&lt;=500,"Media",IF(O249&lt;=5000,"Alta","Muy Alta")))))</f>
        <v>Media</v>
      </c>
      <c r="Q249" s="365">
        <f t="shared" ref="Q249" si="713">IF(P249="","",IF(P249="Muy Baja",0.2,IF(P249="Baja",0.4,IF(P249="Media",0.6,IF(P249="Alta",0.8,IF(P249="Muy Alta",1,))))))</f>
        <v>0.6</v>
      </c>
      <c r="R249" s="365" t="s">
        <v>193</v>
      </c>
      <c r="S249" s="365" t="str">
        <f ca="1">IF(NOT(ISERROR(MATCH(R249,'Tabla Impacto'!$B$221:$B$223,0))),'Tabla Impacto'!$F$223&amp;"Por favor no seleccionar los criterios de impacto(Afectación Económica o presupuestal y Pérdida Reputacional)",R249)</f>
        <v>El riesgo afecta la imagen de de la entidad con efecto publicitario sostenido a nivel de sector administrativo, nivel departamental o municipal</v>
      </c>
      <c r="T249" s="364" t="str">
        <f ca="1">+IF(OR(S249='[1]Tabla Impacto'!$C$11,S249='[1]Tabla Impacto'!$D$11),"Leve",IF(OR(S249='[1]Tabla Impacto'!$C$12,S249='[1]Tabla Impacto'!$D$12),"Menor",IF(OR(S249='[1]Tabla Impacto'!$C$13,S249='[1]Tabla Impacto'!$D$13),"Moderado",IF(OR(S249='[1]Tabla Impacto'!$C$14,S249='[1]Tabla Impacto'!$D$14),"Mayor",IF(OR(S249='[1]Tabla Impacto'!$C$15,S249='[1]Tabla Impacto'!$D$15),"Catastrófico","")))))</f>
        <v>Mayor</v>
      </c>
      <c r="U249" s="365">
        <f t="shared" ref="U249" ca="1" si="714">IF(T249="","",IF(T249="Leve",0.2,IF(T249="Menor",0.4,IF(T249="Moderado",0.6,IF(T249="Mayor",0.8,IF(T249="Catastrófico",1,))))))</f>
        <v>0.8</v>
      </c>
      <c r="V249" s="351" t="str">
        <f t="shared" ref="V249" ca="1" si="715">IF(OR(AND(P249="Muy Baja",T249="Leve"),AND(P249="Muy Baja",T249="Menor"),AND(P249="Baja",T249="Leve")),"Bajo",IF(OR(AND(P249="Muy baja",T249="Moderado"),AND(P249="Baja",T249="Menor"),AND(P249="Baja",T249="Moderado"),AND(P249="Media",T249="Leve"),AND(P249="Media",T249="Menor"),AND(P249="Media",T249="Moderado"),AND(P249="Alta",T249="Leve"),AND(P249="Alta",T249="Menor")),"Moderado",IF(OR(AND(P249="Muy Baja",T249="Mayor"),AND(P249="Baja",T249="Mayor"),AND(P249="Media",T249="Mayor"),AND(P249="Alta",T249="Moderado"),AND(P249="Alta",T249="Mayor"),AND(P249="Muy Alta",T249="Leve"),AND(P249="Muy Alta",T249="Menor"),AND(P249="Muy Alta",T249="Moderado"),AND(P249="Muy Alta",T249="Mayor")),"Alto",IF(OR(AND(P249="Muy Baja",T249="Catastrófico"),AND(P249="Baja",T249="Catastrófico"),AND(P249="Media",T249="Catastrófico"),AND(P249="Alta",T249="Catastrófico"),AND(P249="Muy Alta",T249="Catastrófico")),"Extremo",""))))</f>
        <v>Alto</v>
      </c>
      <c r="W249" s="233">
        <v>1</v>
      </c>
      <c r="X249" s="207" t="s">
        <v>1067</v>
      </c>
      <c r="Y249" s="230" t="str">
        <f t="shared" si="693"/>
        <v>Probabilidad</v>
      </c>
      <c r="Z249" s="185" t="s">
        <v>208</v>
      </c>
      <c r="AA249" s="185" t="s">
        <v>216</v>
      </c>
      <c r="AB249" s="186" t="str">
        <f t="shared" si="627"/>
        <v>40%</v>
      </c>
      <c r="AC249" s="185" t="s">
        <v>219</v>
      </c>
      <c r="AD249" s="185" t="s">
        <v>224</v>
      </c>
      <c r="AE249" s="185" t="s">
        <v>228</v>
      </c>
      <c r="AF249" s="187">
        <f t="shared" ref="AF249" si="716">IFERROR(IF(Y249="Probabilidad",(Q249-(+Q249*AB249)),IF(Y249="Impacto",Q249,"")),"")</f>
        <v>0.36</v>
      </c>
      <c r="AG249" s="188" t="str">
        <f t="shared" ref="AG249:AG250" si="717">IFERROR(IF(AF249="","",IF(AF249&lt;=0.2,"Muy Baja",IF(AF249&lt;=0.4,"Baja",IF(AF249&lt;=0.6,"Media",IF(AF249&lt;=0.8,"Alta","Muy Alta"))))),"")</f>
        <v>Baja</v>
      </c>
      <c r="AH249" s="186">
        <f t="shared" ref="AH249:AH250" si="718">+AF249</f>
        <v>0.36</v>
      </c>
      <c r="AI249" s="188" t="str">
        <f t="shared" ref="AI249:AI250" ca="1" si="719">IFERROR(IF(AJ249="","",IF(AJ249&lt;=0.2,"Leve",IF(AJ249&lt;=0.4,"Menor",IF(AJ249&lt;=0.6,"Moderado",IF(AJ249&lt;=0.8,"Mayor","Catastrófico"))))),"")</f>
        <v>Mayor</v>
      </c>
      <c r="AJ249" s="186">
        <f t="shared" ref="AJ249" ca="1" si="720">IFERROR(IF(Y249="Impacto",(U249-(+U249*AB249)),IF(Y249="Probabilidad",U249,"")),"")</f>
        <v>0.8</v>
      </c>
      <c r="AK249" s="189" t="str">
        <f t="shared" ref="AK249:AK250" ca="1" si="721">IFERROR(IF(OR(AND(AG249="Muy Baja",AI249="Leve"),AND(AG249="Muy Baja",AI249="Menor"),AND(AG249="Baja",AI249="Leve")),"Bajo",IF(OR(AND(AG249="Muy baja",AI249="Moderado"),AND(AG249="Baja",AI249="Menor"),AND(AG249="Baja",AI249="Moderado"),AND(AG249="Media",AI249="Leve"),AND(AG249="Media",AI249="Menor"),AND(AG249="Media",AI249="Moderado"),AND(AG249="Alta",AI249="Leve"),AND(AG249="Alta",AI249="Menor")),"Moderado",IF(OR(AND(AG249="Muy Baja",AI249="Mayor"),AND(AG249="Baja",AI249="Mayor"),AND(AG249="Media",AI249="Mayor"),AND(AG249="Alta",AI249="Moderado"),AND(AG249="Alta",AI249="Mayor"),AND(AG249="Muy Alta",AI249="Leve"),AND(AG249="Muy Alta",AI249="Menor"),AND(AG249="Muy Alta",AI249="Moderado"),AND(AG249="Muy Alta",AI249="Mayor")),"Alto",IF(OR(AND(AG249="Muy Baja",AI249="Catastrófico"),AND(AG249="Baja",AI249="Catastrófico"),AND(AG249="Media",AI249="Catastrófico"),AND(AG249="Alta",AI249="Catastrófico"),AND(AG249="Muy Alta",AI249="Catastrófico")),"Extremo","")))),"")</f>
        <v>Alto</v>
      </c>
      <c r="AL249" s="185" t="s">
        <v>262</v>
      </c>
      <c r="AM249" s="227" t="s">
        <v>932</v>
      </c>
      <c r="AN249" s="230" t="s">
        <v>933</v>
      </c>
      <c r="AO249" s="228">
        <v>45659</v>
      </c>
      <c r="AP249" s="228" t="s">
        <v>527</v>
      </c>
      <c r="AQ249" s="227" t="s">
        <v>934</v>
      </c>
      <c r="AR249" s="229" t="s">
        <v>259</v>
      </c>
    </row>
    <row r="250" spans="1:44" s="191" customFormat="1" ht="251.25" customHeight="1" thickTop="1" thickBot="1" x14ac:dyDescent="0.3">
      <c r="A250" s="352"/>
      <c r="B250" s="353"/>
      <c r="C250" s="357"/>
      <c r="D250" s="357"/>
      <c r="E250" s="357"/>
      <c r="F250" s="375"/>
      <c r="G250" s="375"/>
      <c r="H250" s="374"/>
      <c r="I250" s="362"/>
      <c r="J250" s="362"/>
      <c r="K250" s="362"/>
      <c r="L250" s="362"/>
      <c r="M250" s="373"/>
      <c r="N250" s="357"/>
      <c r="O250" s="363"/>
      <c r="P250" s="364"/>
      <c r="Q250" s="365"/>
      <c r="R250" s="365"/>
      <c r="S250" s="365">
        <f ca="1">IF(NOT(ISERROR(MATCH(R250,_xlfn.ANCHORARRAY(H269),0))),Q271&amp;"Por favor no seleccionar los criterios de impacto",R250)</f>
        <v>0</v>
      </c>
      <c r="T250" s="364"/>
      <c r="U250" s="365"/>
      <c r="V250" s="351"/>
      <c r="W250" s="233">
        <v>2</v>
      </c>
      <c r="X250" s="207" t="s">
        <v>1068</v>
      </c>
      <c r="Y250" s="230" t="str">
        <f t="shared" si="693"/>
        <v>Probabilidad</v>
      </c>
      <c r="Z250" s="185" t="s">
        <v>208</v>
      </c>
      <c r="AA250" s="185" t="s">
        <v>216</v>
      </c>
      <c r="AB250" s="186" t="str">
        <f t="shared" si="627"/>
        <v>40%</v>
      </c>
      <c r="AC250" s="185" t="s">
        <v>219</v>
      </c>
      <c r="AD250" s="185" t="s">
        <v>224</v>
      </c>
      <c r="AE250" s="185" t="s">
        <v>228</v>
      </c>
      <c r="AF250" s="187">
        <f t="shared" si="700"/>
        <v>0.216</v>
      </c>
      <c r="AG250" s="188" t="str">
        <f t="shared" si="717"/>
        <v>Baja</v>
      </c>
      <c r="AH250" s="186">
        <f t="shared" si="718"/>
        <v>0.216</v>
      </c>
      <c r="AI250" s="188" t="str">
        <f t="shared" ca="1" si="719"/>
        <v>Mayor</v>
      </c>
      <c r="AJ250" s="186">
        <f t="shared" ref="AJ250" ca="1" si="722">IFERROR(IF(AND(Y249="Impacto",Y250="Impacto"),(AJ249-(+AJ249*AB250)),IF(Y250="Impacto",(U249-(+U249*AB250)),IF(Y250="Probabilidad",AJ249,""))),"")</f>
        <v>0.8</v>
      </c>
      <c r="AK250" s="189" t="str">
        <f t="shared" ca="1" si="721"/>
        <v>Alto</v>
      </c>
      <c r="AL250" s="185" t="s">
        <v>262</v>
      </c>
      <c r="AM250" s="227" t="s">
        <v>935</v>
      </c>
      <c r="AN250" s="230" t="s">
        <v>933</v>
      </c>
      <c r="AO250" s="228">
        <v>45660</v>
      </c>
      <c r="AP250" s="228" t="s">
        <v>527</v>
      </c>
      <c r="AQ250" s="227" t="s">
        <v>936</v>
      </c>
      <c r="AR250" s="229" t="s">
        <v>259</v>
      </c>
    </row>
    <row r="251" spans="1:44" ht="69" customHeight="1" thickTop="1" x14ac:dyDescent="0.35">
      <c r="A251" s="197"/>
      <c r="B251" s="247"/>
      <c r="C251" s="197"/>
      <c r="D251" s="248"/>
      <c r="E251" s="412" t="s">
        <v>984</v>
      </c>
      <c r="F251" s="413"/>
      <c r="G251" s="413"/>
      <c r="H251" s="413"/>
      <c r="I251" s="413"/>
      <c r="J251" s="413"/>
      <c r="K251" s="413"/>
      <c r="L251" s="413"/>
      <c r="M251" s="413"/>
      <c r="N251" s="413"/>
      <c r="O251" s="413"/>
      <c r="P251" s="413"/>
      <c r="Q251" s="413"/>
      <c r="R251" s="413"/>
      <c r="S251" s="413"/>
      <c r="T251" s="413"/>
      <c r="U251" s="413"/>
      <c r="V251" s="413"/>
      <c r="W251" s="413"/>
      <c r="X251" s="413"/>
      <c r="Y251" s="413"/>
      <c r="Z251" s="413"/>
      <c r="AA251" s="413"/>
      <c r="AB251" s="413"/>
      <c r="AC251" s="413"/>
      <c r="AD251" s="413"/>
      <c r="AE251" s="413"/>
      <c r="AF251" s="413"/>
      <c r="AG251" s="413"/>
      <c r="AH251" s="413"/>
      <c r="AI251" s="413"/>
      <c r="AJ251" s="413"/>
      <c r="AK251" s="413"/>
      <c r="AL251" s="413"/>
      <c r="AM251" s="413"/>
      <c r="AN251" s="413"/>
      <c r="AO251" s="413"/>
      <c r="AP251" s="413"/>
      <c r="AQ251" s="413"/>
      <c r="AR251" s="414"/>
    </row>
    <row r="253" spans="1:44" ht="69" customHeight="1" x14ac:dyDescent="0.35">
      <c r="A253" s="179"/>
      <c r="B253" s="180"/>
      <c r="C253" s="198"/>
      <c r="D253" s="198"/>
      <c r="E253" s="199"/>
      <c r="F253" s="179"/>
      <c r="G253" s="179"/>
      <c r="M253" s="179"/>
      <c r="N253" s="179"/>
    </row>
  </sheetData>
  <sheetProtection algorithmName="SHA-512" hashValue="UiUEz9e+LhwwBxOIFW8WKPexz2FadEbNFy/KBIt/W5SA/wYQRIFX+01+A859dnj0DX5auCfIbDN0wsQxUHmFfg==" saltValue="8ZulsYOnu9IvmQdydM4fgQ==" spinCount="100000" sheet="1" objects="1" scenarios="1"/>
  <dataConsolidate/>
  <mergeCells count="1754">
    <mergeCell ref="F98:F100"/>
    <mergeCell ref="G98:G100"/>
    <mergeCell ref="H98:H100"/>
    <mergeCell ref="I98:I100"/>
    <mergeCell ref="J98:J100"/>
    <mergeCell ref="K98:K100"/>
    <mergeCell ref="L98:L100"/>
    <mergeCell ref="M98:M100"/>
    <mergeCell ref="N98:N100"/>
    <mergeCell ref="O98:O100"/>
    <mergeCell ref="P98:P100"/>
    <mergeCell ref="Q98:Q100"/>
    <mergeCell ref="L27:L28"/>
    <mergeCell ref="I29:I32"/>
    <mergeCell ref="L168:L169"/>
    <mergeCell ref="I170:I173"/>
    <mergeCell ref="J170:J173"/>
    <mergeCell ref="K170:K173"/>
    <mergeCell ref="L170:L173"/>
    <mergeCell ref="L96:L97"/>
    <mergeCell ref="K40:K41"/>
    <mergeCell ref="L40:L41"/>
    <mergeCell ref="J29:J32"/>
    <mergeCell ref="K38:K39"/>
    <mergeCell ref="L38:L39"/>
    <mergeCell ref="S46:S54"/>
    <mergeCell ref="A27:A28"/>
    <mergeCell ref="I159:I163"/>
    <mergeCell ref="J159:J163"/>
    <mergeCell ref="K159:K163"/>
    <mergeCell ref="L159:L163"/>
    <mergeCell ref="I168:I169"/>
    <mergeCell ref="J168:J169"/>
    <mergeCell ref="K168:K169"/>
    <mergeCell ref="L138:L139"/>
    <mergeCell ref="I141:I142"/>
    <mergeCell ref="J141:J142"/>
    <mergeCell ref="K141:K142"/>
    <mergeCell ref="L141:L142"/>
    <mergeCell ref="I143:I144"/>
    <mergeCell ref="J143:J144"/>
    <mergeCell ref="I154:I155"/>
    <mergeCell ref="J154:J155"/>
    <mergeCell ref="K154:K155"/>
    <mergeCell ref="I145:I146"/>
    <mergeCell ref="I133:I134"/>
    <mergeCell ref="J133:J134"/>
    <mergeCell ref="K133:K134"/>
    <mergeCell ref="L133:L134"/>
    <mergeCell ref="I96:I97"/>
    <mergeCell ref="J96:J97"/>
    <mergeCell ref="K96:K97"/>
    <mergeCell ref="AP40:AP41"/>
    <mergeCell ref="AQ40:AQ41"/>
    <mergeCell ref="AR40:AR41"/>
    <mergeCell ref="A46:A54"/>
    <mergeCell ref="B46:B54"/>
    <mergeCell ref="C46:C54"/>
    <mergeCell ref="D46:D54"/>
    <mergeCell ref="E46:E54"/>
    <mergeCell ref="F46:F54"/>
    <mergeCell ref="G46:G54"/>
    <mergeCell ref="H46:H54"/>
    <mergeCell ref="I46:I54"/>
    <mergeCell ref="J46:J54"/>
    <mergeCell ref="K46:K54"/>
    <mergeCell ref="L46:L54"/>
    <mergeCell ref="M46:M54"/>
    <mergeCell ref="N46:N54"/>
    <mergeCell ref="O46:O54"/>
    <mergeCell ref="P46:P54"/>
    <mergeCell ref="A98:A100"/>
    <mergeCell ref="B98:B100"/>
    <mergeCell ref="C98:C100"/>
    <mergeCell ref="D98:D100"/>
    <mergeCell ref="E98:E100"/>
    <mergeCell ref="A40:A41"/>
    <mergeCell ref="B40:B41"/>
    <mergeCell ref="C40:C41"/>
    <mergeCell ref="D40:D41"/>
    <mergeCell ref="E40:E41"/>
    <mergeCell ref="T46:T54"/>
    <mergeCell ref="U46:U54"/>
    <mergeCell ref="V46:V54"/>
    <mergeCell ref="AO40:AO41"/>
    <mergeCell ref="Q46:Q54"/>
    <mergeCell ref="R46:R54"/>
    <mergeCell ref="I40:I41"/>
    <mergeCell ref="J40:J41"/>
    <mergeCell ref="J206:J209"/>
    <mergeCell ref="K206:K209"/>
    <mergeCell ref="L206:L209"/>
    <mergeCell ref="I149:I151"/>
    <mergeCell ref="J149:J151"/>
    <mergeCell ref="K149:K151"/>
    <mergeCell ref="L149:L151"/>
    <mergeCell ref="I138:I139"/>
    <mergeCell ref="J138:J139"/>
    <mergeCell ref="K138:K139"/>
    <mergeCell ref="J145:J146"/>
    <mergeCell ref="K145:K146"/>
    <mergeCell ref="L145:L146"/>
    <mergeCell ref="J124:J126"/>
    <mergeCell ref="K124:K126"/>
    <mergeCell ref="L124:L126"/>
    <mergeCell ref="K143:K144"/>
    <mergeCell ref="L143:L144"/>
    <mergeCell ref="I136:I137"/>
    <mergeCell ref="J136:J137"/>
    <mergeCell ref="K136:K137"/>
    <mergeCell ref="L136:L137"/>
    <mergeCell ref="AO6:AR6"/>
    <mergeCell ref="O13:O14"/>
    <mergeCell ref="P13:P14"/>
    <mergeCell ref="AK11:AK12"/>
    <mergeCell ref="AJ11:AJ12"/>
    <mergeCell ref="I17:I19"/>
    <mergeCell ref="V25:V26"/>
    <mergeCell ref="R27:R28"/>
    <mergeCell ref="S27:S28"/>
    <mergeCell ref="T27:T28"/>
    <mergeCell ref="S25:S26"/>
    <mergeCell ref="T25:T26"/>
    <mergeCell ref="R22:R24"/>
    <mergeCell ref="R25:R26"/>
    <mergeCell ref="U27:U28"/>
    <mergeCell ref="R20:R21"/>
    <mergeCell ref="S20:S21"/>
    <mergeCell ref="T20:T21"/>
    <mergeCell ref="U20:U21"/>
    <mergeCell ref="V20:V21"/>
    <mergeCell ref="AR11:AR12"/>
    <mergeCell ref="AQ11:AQ12"/>
    <mergeCell ref="AP11:AP12"/>
    <mergeCell ref="AO11:AO12"/>
    <mergeCell ref="W11:W12"/>
    <mergeCell ref="K15:K16"/>
    <mergeCell ref="L15:L16"/>
    <mergeCell ref="U25:U26"/>
    <mergeCell ref="I22:I24"/>
    <mergeCell ref="J22:J24"/>
    <mergeCell ref="K22:K24"/>
    <mergeCell ref="L22:L24"/>
    <mergeCell ref="M33:M37"/>
    <mergeCell ref="S29:S32"/>
    <mergeCell ref="T29:T32"/>
    <mergeCell ref="O33:O37"/>
    <mergeCell ref="W7:Y7"/>
    <mergeCell ref="AM40:AM41"/>
    <mergeCell ref="AN40:AN41"/>
    <mergeCell ref="C13:C14"/>
    <mergeCell ref="D13:D14"/>
    <mergeCell ref="V13:V14"/>
    <mergeCell ref="Q13:Q14"/>
    <mergeCell ref="R13:R14"/>
    <mergeCell ref="S13:S14"/>
    <mergeCell ref="T13:T14"/>
    <mergeCell ref="M13:M14"/>
    <mergeCell ref="N13:N14"/>
    <mergeCell ref="AF11:AF12"/>
    <mergeCell ref="X11:X12"/>
    <mergeCell ref="AF10:AL10"/>
    <mergeCell ref="AM11:AM12"/>
    <mergeCell ref="AN11:AN12"/>
    <mergeCell ref="AL11:AL12"/>
    <mergeCell ref="AH11:AH12"/>
    <mergeCell ref="U13:U14"/>
    <mergeCell ref="AM10:AR10"/>
    <mergeCell ref="Y11:Y12"/>
    <mergeCell ref="Z11:AE11"/>
    <mergeCell ref="AI11:AI12"/>
    <mergeCell ref="AG11:AG12"/>
    <mergeCell ref="A10:O10"/>
    <mergeCell ref="P10:V10"/>
    <mergeCell ref="W10:AE10"/>
    <mergeCell ref="C11:C12"/>
    <mergeCell ref="D11:D12"/>
    <mergeCell ref="N11:N12"/>
    <mergeCell ref="A7:E7"/>
    <mergeCell ref="A8:E8"/>
    <mergeCell ref="A9:E9"/>
    <mergeCell ref="F7:V7"/>
    <mergeCell ref="F8:V8"/>
    <mergeCell ref="B17:B19"/>
    <mergeCell ref="N15:N16"/>
    <mergeCell ref="N17:N19"/>
    <mergeCell ref="A13:A14"/>
    <mergeCell ref="E13:E14"/>
    <mergeCell ref="F13:F14"/>
    <mergeCell ref="G13:G14"/>
    <mergeCell ref="H13:H14"/>
    <mergeCell ref="U11:U12"/>
    <mergeCell ref="E11:E12"/>
    <mergeCell ref="V11:V12"/>
    <mergeCell ref="R11:R12"/>
    <mergeCell ref="S11:S12"/>
    <mergeCell ref="F11:F12"/>
    <mergeCell ref="U15:U16"/>
    <mergeCell ref="V15:V16"/>
    <mergeCell ref="A11:A12"/>
    <mergeCell ref="I11:L11"/>
    <mergeCell ref="I13:I14"/>
    <mergeCell ref="J13:J14"/>
    <mergeCell ref="K13:K14"/>
    <mergeCell ref="A17:A19"/>
    <mergeCell ref="E17:E19"/>
    <mergeCell ref="F17:F19"/>
    <mergeCell ref="G17:G19"/>
    <mergeCell ref="H17:H19"/>
    <mergeCell ref="M17:M19"/>
    <mergeCell ref="C17:C19"/>
    <mergeCell ref="O17:O19"/>
    <mergeCell ref="L13:L14"/>
    <mergeCell ref="I15:I16"/>
    <mergeCell ref="J15:J16"/>
    <mergeCell ref="A20:A21"/>
    <mergeCell ref="E20:E21"/>
    <mergeCell ref="F20:F21"/>
    <mergeCell ref="G20:G21"/>
    <mergeCell ref="H20:H21"/>
    <mergeCell ref="M20:M21"/>
    <mergeCell ref="O20:O21"/>
    <mergeCell ref="B20:B21"/>
    <mergeCell ref="A15:A16"/>
    <mergeCell ref="E15:E16"/>
    <mergeCell ref="F15:F16"/>
    <mergeCell ref="G15:G16"/>
    <mergeCell ref="H15:H16"/>
    <mergeCell ref="K25:K26"/>
    <mergeCell ref="L25:L26"/>
    <mergeCell ref="C15:C16"/>
    <mergeCell ref="S15:S16"/>
    <mergeCell ref="T15:T16"/>
    <mergeCell ref="U22:U24"/>
    <mergeCell ref="V22:V24"/>
    <mergeCell ref="O22:O24"/>
    <mergeCell ref="P22:P24"/>
    <mergeCell ref="Q22:Q24"/>
    <mergeCell ref="Q15:Q16"/>
    <mergeCell ref="R15:R16"/>
    <mergeCell ref="P17:P19"/>
    <mergeCell ref="J17:J19"/>
    <mergeCell ref="K17:K19"/>
    <mergeCell ref="L17:L19"/>
    <mergeCell ref="I20:I21"/>
    <mergeCell ref="J20:J21"/>
    <mergeCell ref="K20:K21"/>
    <mergeCell ref="L20:L21"/>
    <mergeCell ref="C20:C21"/>
    <mergeCell ref="U17:U19"/>
    <mergeCell ref="V17:V19"/>
    <mergeCell ref="Q17:Q19"/>
    <mergeCell ref="R17:R19"/>
    <mergeCell ref="S17:S19"/>
    <mergeCell ref="T17:T19"/>
    <mergeCell ref="M15:M16"/>
    <mergeCell ref="O15:O16"/>
    <mergeCell ref="P15:P16"/>
    <mergeCell ref="P20:P21"/>
    <mergeCell ref="Q20:Q21"/>
    <mergeCell ref="D33:D37"/>
    <mergeCell ref="A22:A24"/>
    <mergeCell ref="E22:E24"/>
    <mergeCell ref="F22:F24"/>
    <mergeCell ref="A25:A26"/>
    <mergeCell ref="E25:E26"/>
    <mergeCell ref="F25:F26"/>
    <mergeCell ref="G25:G26"/>
    <mergeCell ref="H25:H26"/>
    <mergeCell ref="M25:M26"/>
    <mergeCell ref="G22:G24"/>
    <mergeCell ref="H22:H24"/>
    <mergeCell ref="M22:M24"/>
    <mergeCell ref="C22:C24"/>
    <mergeCell ref="C25:C26"/>
    <mergeCell ref="B22:B24"/>
    <mergeCell ref="B25:B26"/>
    <mergeCell ref="A29:A32"/>
    <mergeCell ref="E29:E32"/>
    <mergeCell ref="F29:F32"/>
    <mergeCell ref="G29:G32"/>
    <mergeCell ref="H29:H32"/>
    <mergeCell ref="B27:B28"/>
    <mergeCell ref="E27:E28"/>
    <mergeCell ref="F27:F28"/>
    <mergeCell ref="G27:G28"/>
    <mergeCell ref="H27:H28"/>
    <mergeCell ref="M29:M32"/>
    <mergeCell ref="D27:D28"/>
    <mergeCell ref="K27:K28"/>
    <mergeCell ref="I25:I26"/>
    <mergeCell ref="J25:J26"/>
    <mergeCell ref="O29:O32"/>
    <mergeCell ref="P29:P32"/>
    <mergeCell ref="Q29:Q32"/>
    <mergeCell ref="R29:R32"/>
    <mergeCell ref="M27:M28"/>
    <mergeCell ref="O27:O28"/>
    <mergeCell ref="P27:P28"/>
    <mergeCell ref="Q27:Q28"/>
    <mergeCell ref="I27:I28"/>
    <mergeCell ref="J27:J28"/>
    <mergeCell ref="K29:K32"/>
    <mergeCell ref="L29:L32"/>
    <mergeCell ref="E251:AR251"/>
    <mergeCell ref="U33:U37"/>
    <mergeCell ref="V33:V37"/>
    <mergeCell ref="A38:A39"/>
    <mergeCell ref="E38:E39"/>
    <mergeCell ref="F38:F39"/>
    <mergeCell ref="G38:G39"/>
    <mergeCell ref="H38:H39"/>
    <mergeCell ref="M38:M39"/>
    <mergeCell ref="O38:O39"/>
    <mergeCell ref="P38:P39"/>
    <mergeCell ref="Q38:Q39"/>
    <mergeCell ref="R38:R39"/>
    <mergeCell ref="S38:S39"/>
    <mergeCell ref="T38:T39"/>
    <mergeCell ref="A33:A37"/>
    <mergeCell ref="V38:V39"/>
    <mergeCell ref="R33:R37"/>
    <mergeCell ref="S33:S37"/>
    <mergeCell ref="T33:T37"/>
    <mergeCell ref="U38:U39"/>
    <mergeCell ref="H40:H41"/>
    <mergeCell ref="E58:E60"/>
    <mergeCell ref="F58:F60"/>
    <mergeCell ref="G58:G60"/>
    <mergeCell ref="H58:H60"/>
    <mergeCell ref="M58:M60"/>
    <mergeCell ref="I55:I57"/>
    <mergeCell ref="J55:J57"/>
    <mergeCell ref="E33:E37"/>
    <mergeCell ref="F33:F37"/>
    <mergeCell ref="G33:G37"/>
    <mergeCell ref="AP1:AR2"/>
    <mergeCell ref="AP3:AR3"/>
    <mergeCell ref="AP4:AR4"/>
    <mergeCell ref="AP5:AR5"/>
    <mergeCell ref="H1:AO1"/>
    <mergeCell ref="H2:AO3"/>
    <mergeCell ref="H4:AO4"/>
    <mergeCell ref="H5:AO5"/>
    <mergeCell ref="A2:G5"/>
    <mergeCell ref="A1:G1"/>
    <mergeCell ref="B13:B14"/>
    <mergeCell ref="C27:C28"/>
    <mergeCell ref="C29:C32"/>
    <mergeCell ref="C33:C37"/>
    <mergeCell ref="C38:C39"/>
    <mergeCell ref="D15:D16"/>
    <mergeCell ref="D17:D19"/>
    <mergeCell ref="D20:D21"/>
    <mergeCell ref="D22:D24"/>
    <mergeCell ref="D25:D26"/>
    <mergeCell ref="F9:V9"/>
    <mergeCell ref="Q11:Q12"/>
    <mergeCell ref="T11:T12"/>
    <mergeCell ref="M11:M12"/>
    <mergeCell ref="H11:H12"/>
    <mergeCell ref="G11:G12"/>
    <mergeCell ref="O11:O12"/>
    <mergeCell ref="P11:P12"/>
    <mergeCell ref="B11:B12"/>
    <mergeCell ref="U29:U32"/>
    <mergeCell ref="V29:V32"/>
    <mergeCell ref="D38:D39"/>
    <mergeCell ref="B15:B16"/>
    <mergeCell ref="B29:B32"/>
    <mergeCell ref="B33:B37"/>
    <mergeCell ref="O40:O41"/>
    <mergeCell ref="P40:P41"/>
    <mergeCell ref="Q40:Q41"/>
    <mergeCell ref="R40:R41"/>
    <mergeCell ref="S40:S41"/>
    <mergeCell ref="T40:T41"/>
    <mergeCell ref="U40:U41"/>
    <mergeCell ref="V40:V41"/>
    <mergeCell ref="P33:P37"/>
    <mergeCell ref="Q33:Q37"/>
    <mergeCell ref="O25:O26"/>
    <mergeCell ref="P25:P26"/>
    <mergeCell ref="Q25:Q26"/>
    <mergeCell ref="S22:S24"/>
    <mergeCell ref="T22:T24"/>
    <mergeCell ref="F40:F41"/>
    <mergeCell ref="G40:G41"/>
    <mergeCell ref="V27:V28"/>
    <mergeCell ref="M40:M41"/>
    <mergeCell ref="D29:D32"/>
    <mergeCell ref="H33:H37"/>
    <mergeCell ref="B38:B39"/>
    <mergeCell ref="I33:I37"/>
    <mergeCell ref="J33:J37"/>
    <mergeCell ref="K33:K37"/>
    <mergeCell ref="L33:L37"/>
    <mergeCell ref="I38:I39"/>
    <mergeCell ref="J38:J39"/>
    <mergeCell ref="K55:K57"/>
    <mergeCell ref="V61:V62"/>
    <mergeCell ref="A63:A67"/>
    <mergeCell ref="B63:B67"/>
    <mergeCell ref="C63:C67"/>
    <mergeCell ref="D55:D57"/>
    <mergeCell ref="E55:E57"/>
    <mergeCell ref="F55:F57"/>
    <mergeCell ref="G55:G57"/>
    <mergeCell ref="H55:H57"/>
    <mergeCell ref="M55:M57"/>
    <mergeCell ref="O55:O57"/>
    <mergeCell ref="P55:P57"/>
    <mergeCell ref="Q55:Q57"/>
    <mergeCell ref="R55:R57"/>
    <mergeCell ref="S55:S57"/>
    <mergeCell ref="T55:T57"/>
    <mergeCell ref="U55:U57"/>
    <mergeCell ref="V55:V57"/>
    <mergeCell ref="O58:O60"/>
    <mergeCell ref="P58:P60"/>
    <mergeCell ref="A55:A57"/>
    <mergeCell ref="B55:B57"/>
    <mergeCell ref="C55:C57"/>
    <mergeCell ref="Q58:Q60"/>
    <mergeCell ref="R58:R60"/>
    <mergeCell ref="S58:S60"/>
    <mergeCell ref="T58:T60"/>
    <mergeCell ref="U58:U60"/>
    <mergeCell ref="V58:V60"/>
    <mergeCell ref="L55:L57"/>
    <mergeCell ref="I58:I60"/>
    <mergeCell ref="J58:J60"/>
    <mergeCell ref="K58:K60"/>
    <mergeCell ref="L58:L60"/>
    <mergeCell ref="I61:I62"/>
    <mergeCell ref="A61:A62"/>
    <mergeCell ref="B61:B62"/>
    <mergeCell ref="C61:C62"/>
    <mergeCell ref="D61:D62"/>
    <mergeCell ref="E61:E62"/>
    <mergeCell ref="F61:F62"/>
    <mergeCell ref="G61:G62"/>
    <mergeCell ref="H61:H62"/>
    <mergeCell ref="M61:M62"/>
    <mergeCell ref="O61:O62"/>
    <mergeCell ref="P61:P62"/>
    <mergeCell ref="Q61:Q62"/>
    <mergeCell ref="R61:R62"/>
    <mergeCell ref="S61:S62"/>
    <mergeCell ref="T61:T62"/>
    <mergeCell ref="U61:U62"/>
    <mergeCell ref="A58:A60"/>
    <mergeCell ref="B58:B60"/>
    <mergeCell ref="C58:C60"/>
    <mergeCell ref="D58:D60"/>
    <mergeCell ref="A68:A69"/>
    <mergeCell ref="B68:B69"/>
    <mergeCell ref="C68:C69"/>
    <mergeCell ref="D68:D69"/>
    <mergeCell ref="E68:E69"/>
    <mergeCell ref="F68:F69"/>
    <mergeCell ref="G68:G69"/>
    <mergeCell ref="H68:H69"/>
    <mergeCell ref="M68:M69"/>
    <mergeCell ref="J61:J62"/>
    <mergeCell ref="K61:K62"/>
    <mergeCell ref="L61:L62"/>
    <mergeCell ref="I63:I67"/>
    <mergeCell ref="J63:J67"/>
    <mergeCell ref="K63:K67"/>
    <mergeCell ref="L63:L67"/>
    <mergeCell ref="D63:D67"/>
    <mergeCell ref="E63:E67"/>
    <mergeCell ref="F63:F67"/>
    <mergeCell ref="G63:G67"/>
    <mergeCell ref="H63:H67"/>
    <mergeCell ref="M63:M67"/>
    <mergeCell ref="D70:D71"/>
    <mergeCell ref="E70:E71"/>
    <mergeCell ref="F70:F71"/>
    <mergeCell ref="G70:G71"/>
    <mergeCell ref="H70:H71"/>
    <mergeCell ref="M70:M71"/>
    <mergeCell ref="O70:O71"/>
    <mergeCell ref="P70:P71"/>
    <mergeCell ref="Q70:Q71"/>
    <mergeCell ref="R70:R71"/>
    <mergeCell ref="S70:S71"/>
    <mergeCell ref="U72:U74"/>
    <mergeCell ref="H81:H82"/>
    <mergeCell ref="N81:N82"/>
    <mergeCell ref="M81:M82"/>
    <mergeCell ref="O81:O82"/>
    <mergeCell ref="P81:P82"/>
    <mergeCell ref="Q81:Q82"/>
    <mergeCell ref="R81:R82"/>
    <mergeCell ref="F81:F82"/>
    <mergeCell ref="G81:G82"/>
    <mergeCell ref="K81:K82"/>
    <mergeCell ref="L81:L82"/>
    <mergeCell ref="T70:T71"/>
    <mergeCell ref="K70:K71"/>
    <mergeCell ref="L70:L71"/>
    <mergeCell ref="N70:N71"/>
    <mergeCell ref="V72:V74"/>
    <mergeCell ref="I72:I74"/>
    <mergeCell ref="J72:J74"/>
    <mergeCell ref="K72:K74"/>
    <mergeCell ref="L72:L74"/>
    <mergeCell ref="N72:N74"/>
    <mergeCell ref="U63:U67"/>
    <mergeCell ref="V63:V67"/>
    <mergeCell ref="O68:O69"/>
    <mergeCell ref="P68:P69"/>
    <mergeCell ref="Q68:Q69"/>
    <mergeCell ref="R68:R69"/>
    <mergeCell ref="S68:S69"/>
    <mergeCell ref="T68:T69"/>
    <mergeCell ref="U68:U69"/>
    <mergeCell ref="V68:V69"/>
    <mergeCell ref="I68:I69"/>
    <mergeCell ref="J68:J69"/>
    <mergeCell ref="K68:K69"/>
    <mergeCell ref="L68:L69"/>
    <mergeCell ref="U70:U71"/>
    <mergeCell ref="V70:V71"/>
    <mergeCell ref="I70:I71"/>
    <mergeCell ref="J70:J71"/>
    <mergeCell ref="O63:O67"/>
    <mergeCell ref="P63:P67"/>
    <mergeCell ref="Q63:Q67"/>
    <mergeCell ref="R63:R67"/>
    <mergeCell ref="S63:S67"/>
    <mergeCell ref="T63:T67"/>
    <mergeCell ref="A72:A74"/>
    <mergeCell ref="B72:B74"/>
    <mergeCell ref="C72:C74"/>
    <mergeCell ref="D72:D74"/>
    <mergeCell ref="E72:E74"/>
    <mergeCell ref="F72:F74"/>
    <mergeCell ref="G72:G74"/>
    <mergeCell ref="H72:H74"/>
    <mergeCell ref="M72:M74"/>
    <mergeCell ref="O72:O74"/>
    <mergeCell ref="P72:P74"/>
    <mergeCell ref="Q72:Q74"/>
    <mergeCell ref="R72:R74"/>
    <mergeCell ref="S72:S74"/>
    <mergeCell ref="T72:T74"/>
    <mergeCell ref="K78:K79"/>
    <mergeCell ref="L78:L79"/>
    <mergeCell ref="A70:A71"/>
    <mergeCell ref="B70:B71"/>
    <mergeCell ref="C70:C71"/>
    <mergeCell ref="S81:S82"/>
    <mergeCell ref="T81:T82"/>
    <mergeCell ref="U81:U82"/>
    <mergeCell ref="V81:V82"/>
    <mergeCell ref="N76:N77"/>
    <mergeCell ref="N78:N79"/>
    <mergeCell ref="A76:A77"/>
    <mergeCell ref="B76:B77"/>
    <mergeCell ref="C76:C77"/>
    <mergeCell ref="D76:D77"/>
    <mergeCell ref="E76:E77"/>
    <mergeCell ref="F76:F77"/>
    <mergeCell ref="G76:G77"/>
    <mergeCell ref="H76:H77"/>
    <mergeCell ref="M76:M77"/>
    <mergeCell ref="O76:O77"/>
    <mergeCell ref="P76:P77"/>
    <mergeCell ref="Q76:Q77"/>
    <mergeCell ref="R76:R77"/>
    <mergeCell ref="S76:S77"/>
    <mergeCell ref="T76:T77"/>
    <mergeCell ref="U76:U77"/>
    <mergeCell ref="A81:A82"/>
    <mergeCell ref="B81:B82"/>
    <mergeCell ref="C81:C82"/>
    <mergeCell ref="D81:D82"/>
    <mergeCell ref="E81:E82"/>
    <mergeCell ref="I81:I82"/>
    <mergeCell ref="J81:J82"/>
    <mergeCell ref="V76:V77"/>
    <mergeCell ref="A78:A79"/>
    <mergeCell ref="B78:B79"/>
    <mergeCell ref="C78:C79"/>
    <mergeCell ref="D78:D79"/>
    <mergeCell ref="E78:E79"/>
    <mergeCell ref="F78:F79"/>
    <mergeCell ref="G78:G79"/>
    <mergeCell ref="H78:H79"/>
    <mergeCell ref="M78:M79"/>
    <mergeCell ref="O78:O79"/>
    <mergeCell ref="P78:P79"/>
    <mergeCell ref="Q78:Q79"/>
    <mergeCell ref="R78:R79"/>
    <mergeCell ref="S78:S79"/>
    <mergeCell ref="T78:T79"/>
    <mergeCell ref="U78:U79"/>
    <mergeCell ref="V78:V79"/>
    <mergeCell ref="I76:I77"/>
    <mergeCell ref="J76:J77"/>
    <mergeCell ref="K76:K77"/>
    <mergeCell ref="L76:L77"/>
    <mergeCell ref="I78:I79"/>
    <mergeCell ref="J78:J79"/>
    <mergeCell ref="S91:S92"/>
    <mergeCell ref="T91:T92"/>
    <mergeCell ref="U91:U92"/>
    <mergeCell ref="V91:V92"/>
    <mergeCell ref="S83:S84"/>
    <mergeCell ref="T83:T84"/>
    <mergeCell ref="U83:U84"/>
    <mergeCell ref="V83:V84"/>
    <mergeCell ref="N83:N84"/>
    <mergeCell ref="A83:A84"/>
    <mergeCell ref="B83:B84"/>
    <mergeCell ref="C83:C84"/>
    <mergeCell ref="D83:D84"/>
    <mergeCell ref="E83:E84"/>
    <mergeCell ref="F83:F84"/>
    <mergeCell ref="G83:G84"/>
    <mergeCell ref="H83:H84"/>
    <mergeCell ref="M83:M84"/>
    <mergeCell ref="O83:O84"/>
    <mergeCell ref="P83:P84"/>
    <mergeCell ref="Q83:Q84"/>
    <mergeCell ref="R83:R84"/>
    <mergeCell ref="O91:O92"/>
    <mergeCell ref="P91:P92"/>
    <mergeCell ref="Q91:Q92"/>
    <mergeCell ref="R91:R92"/>
    <mergeCell ref="I83:I84"/>
    <mergeCell ref="J83:J84"/>
    <mergeCell ref="K83:K84"/>
    <mergeCell ref="L83:L84"/>
    <mergeCell ref="G93:G94"/>
    <mergeCell ref="H93:H94"/>
    <mergeCell ref="N93:N94"/>
    <mergeCell ref="M93:M94"/>
    <mergeCell ref="A91:A92"/>
    <mergeCell ref="B91:B92"/>
    <mergeCell ref="C91:C92"/>
    <mergeCell ref="D91:D92"/>
    <mergeCell ref="E91:E92"/>
    <mergeCell ref="F91:F92"/>
    <mergeCell ref="G91:G92"/>
    <mergeCell ref="H91:H92"/>
    <mergeCell ref="M91:M92"/>
    <mergeCell ref="I93:I94"/>
    <mergeCell ref="J93:J94"/>
    <mergeCell ref="K93:K94"/>
    <mergeCell ref="L93:L94"/>
    <mergeCell ref="I91:I92"/>
    <mergeCell ref="J91:J92"/>
    <mergeCell ref="K91:K92"/>
    <mergeCell ref="L91:L92"/>
    <mergeCell ref="N91:N92"/>
    <mergeCell ref="O93:O94"/>
    <mergeCell ref="P93:P94"/>
    <mergeCell ref="Q93:Q94"/>
    <mergeCell ref="R93:R94"/>
    <mergeCell ref="S96:S97"/>
    <mergeCell ref="T96:T97"/>
    <mergeCell ref="U96:U97"/>
    <mergeCell ref="V96:V97"/>
    <mergeCell ref="A96:A97"/>
    <mergeCell ref="B96:B97"/>
    <mergeCell ref="C96:C97"/>
    <mergeCell ref="D96:D97"/>
    <mergeCell ref="E96:E97"/>
    <mergeCell ref="F96:F97"/>
    <mergeCell ref="G96:G97"/>
    <mergeCell ref="H96:H97"/>
    <mergeCell ref="N96:N97"/>
    <mergeCell ref="M96:M97"/>
    <mergeCell ref="O96:O97"/>
    <mergeCell ref="P96:P97"/>
    <mergeCell ref="Q96:Q97"/>
    <mergeCell ref="R96:R97"/>
    <mergeCell ref="S93:S94"/>
    <mergeCell ref="T93:T94"/>
    <mergeCell ref="U93:U94"/>
    <mergeCell ref="V93:V94"/>
    <mergeCell ref="A93:A94"/>
    <mergeCell ref="B93:B94"/>
    <mergeCell ref="C93:C94"/>
    <mergeCell ref="D93:D94"/>
    <mergeCell ref="E93:E94"/>
    <mergeCell ref="F93:F94"/>
    <mergeCell ref="S103:S104"/>
    <mergeCell ref="T103:T104"/>
    <mergeCell ref="U103:U104"/>
    <mergeCell ref="V103:V104"/>
    <mergeCell ref="N101:N102"/>
    <mergeCell ref="A103:A104"/>
    <mergeCell ref="B103:B104"/>
    <mergeCell ref="C103:C104"/>
    <mergeCell ref="D103:D104"/>
    <mergeCell ref="E103:E104"/>
    <mergeCell ref="F103:F104"/>
    <mergeCell ref="G103:G104"/>
    <mergeCell ref="H103:H104"/>
    <mergeCell ref="N103:N104"/>
    <mergeCell ref="M103:M104"/>
    <mergeCell ref="A101:A102"/>
    <mergeCell ref="B101:B102"/>
    <mergeCell ref="C101:C102"/>
    <mergeCell ref="D101:D102"/>
    <mergeCell ref="E101:E102"/>
    <mergeCell ref="F101:F102"/>
    <mergeCell ref="G101:G102"/>
    <mergeCell ref="H101:H102"/>
    <mergeCell ref="M101:M102"/>
    <mergeCell ref="O101:O102"/>
    <mergeCell ref="P101:P102"/>
    <mergeCell ref="Q101:Q102"/>
    <mergeCell ref="R101:R102"/>
    <mergeCell ref="S101:S102"/>
    <mergeCell ref="T101:T102"/>
    <mergeCell ref="U101:U102"/>
    <mergeCell ref="V101:V102"/>
    <mergeCell ref="I101:I102"/>
    <mergeCell ref="J101:J102"/>
    <mergeCell ref="K101:K102"/>
    <mergeCell ref="L101:L102"/>
    <mergeCell ref="R98:R100"/>
    <mergeCell ref="T98:T100"/>
    <mergeCell ref="U98:U100"/>
    <mergeCell ref="V98:V100"/>
    <mergeCell ref="O103:O104"/>
    <mergeCell ref="P103:P104"/>
    <mergeCell ref="Q103:Q104"/>
    <mergeCell ref="R103:R104"/>
    <mergeCell ref="N106:N109"/>
    <mergeCell ref="A106:A109"/>
    <mergeCell ref="B106:B109"/>
    <mergeCell ref="C106:C109"/>
    <mergeCell ref="D106:D109"/>
    <mergeCell ref="E106:E109"/>
    <mergeCell ref="F106:F109"/>
    <mergeCell ref="G106:G109"/>
    <mergeCell ref="H106:H109"/>
    <mergeCell ref="M106:M109"/>
    <mergeCell ref="O106:O109"/>
    <mergeCell ref="P106:P109"/>
    <mergeCell ref="Q106:Q109"/>
    <mergeCell ref="R106:R109"/>
    <mergeCell ref="I103:I104"/>
    <mergeCell ref="J103:J104"/>
    <mergeCell ref="K103:K104"/>
    <mergeCell ref="L103:L104"/>
    <mergeCell ref="I106:I109"/>
    <mergeCell ref="J106:J109"/>
    <mergeCell ref="K106:K109"/>
    <mergeCell ref="L106:L109"/>
    <mergeCell ref="S106:S109"/>
    <mergeCell ref="T106:T109"/>
    <mergeCell ref="U106:U109"/>
    <mergeCell ref="V106:V109"/>
    <mergeCell ref="S116:S119"/>
    <mergeCell ref="T116:T119"/>
    <mergeCell ref="U116:U119"/>
    <mergeCell ref="V116:V119"/>
    <mergeCell ref="N113:N115"/>
    <mergeCell ref="A116:A119"/>
    <mergeCell ref="B116:B119"/>
    <mergeCell ref="C116:C119"/>
    <mergeCell ref="D116:D119"/>
    <mergeCell ref="E116:E119"/>
    <mergeCell ref="F116:F119"/>
    <mergeCell ref="G116:G119"/>
    <mergeCell ref="H116:H119"/>
    <mergeCell ref="N116:N119"/>
    <mergeCell ref="M116:M119"/>
    <mergeCell ref="A113:A115"/>
    <mergeCell ref="B113:B115"/>
    <mergeCell ref="C113:C115"/>
    <mergeCell ref="D113:D115"/>
    <mergeCell ref="E113:E115"/>
    <mergeCell ref="F113:F115"/>
    <mergeCell ref="G113:G115"/>
    <mergeCell ref="H113:H115"/>
    <mergeCell ref="M113:M115"/>
    <mergeCell ref="O113:O115"/>
    <mergeCell ref="T113:T115"/>
    <mergeCell ref="U113:U115"/>
    <mergeCell ref="V113:V115"/>
    <mergeCell ref="I113:I115"/>
    <mergeCell ref="J113:J115"/>
    <mergeCell ref="K113:K115"/>
    <mergeCell ref="L113:L115"/>
    <mergeCell ref="O116:O119"/>
    <mergeCell ref="P116:P119"/>
    <mergeCell ref="Q116:Q119"/>
    <mergeCell ref="R116:R119"/>
    <mergeCell ref="S133:S134"/>
    <mergeCell ref="T133:T134"/>
    <mergeCell ref="U133:U134"/>
    <mergeCell ref="V133:V134"/>
    <mergeCell ref="N120:N123"/>
    <mergeCell ref="N124:N126"/>
    <mergeCell ref="V120:V123"/>
    <mergeCell ref="I128:I130"/>
    <mergeCell ref="J128:J130"/>
    <mergeCell ref="K128:K130"/>
    <mergeCell ref="L128:L130"/>
    <mergeCell ref="I116:I119"/>
    <mergeCell ref="J116:J119"/>
    <mergeCell ref="K116:K119"/>
    <mergeCell ref="L116:L119"/>
    <mergeCell ref="I120:I123"/>
    <mergeCell ref="J120:J123"/>
    <mergeCell ref="T120:T123"/>
    <mergeCell ref="U120:U123"/>
    <mergeCell ref="O124:O126"/>
    <mergeCell ref="P124:P126"/>
    <mergeCell ref="Q124:Q126"/>
    <mergeCell ref="A120:A123"/>
    <mergeCell ref="B120:B123"/>
    <mergeCell ref="C120:C123"/>
    <mergeCell ref="D120:D123"/>
    <mergeCell ref="E120:E123"/>
    <mergeCell ref="F120:F123"/>
    <mergeCell ref="G120:G123"/>
    <mergeCell ref="H120:H123"/>
    <mergeCell ref="M120:M123"/>
    <mergeCell ref="O120:O123"/>
    <mergeCell ref="P120:P123"/>
    <mergeCell ref="Q120:Q123"/>
    <mergeCell ref="R120:R123"/>
    <mergeCell ref="S120:S123"/>
    <mergeCell ref="P113:P115"/>
    <mergeCell ref="Q113:Q115"/>
    <mergeCell ref="R113:R115"/>
    <mergeCell ref="S113:S115"/>
    <mergeCell ref="C133:C134"/>
    <mergeCell ref="D133:D134"/>
    <mergeCell ref="E133:E134"/>
    <mergeCell ref="F133:F134"/>
    <mergeCell ref="G133:G134"/>
    <mergeCell ref="H133:H134"/>
    <mergeCell ref="N133:N134"/>
    <mergeCell ref="M133:M134"/>
    <mergeCell ref="A124:A126"/>
    <mergeCell ref="B124:B126"/>
    <mergeCell ref="C124:C126"/>
    <mergeCell ref="D124:D126"/>
    <mergeCell ref="E124:E126"/>
    <mergeCell ref="F124:F126"/>
    <mergeCell ref="G124:G126"/>
    <mergeCell ref="H124:H126"/>
    <mergeCell ref="M124:M126"/>
    <mergeCell ref="R124:R126"/>
    <mergeCell ref="S124:S126"/>
    <mergeCell ref="T124:T126"/>
    <mergeCell ref="U124:U126"/>
    <mergeCell ref="A128:A130"/>
    <mergeCell ref="K120:K123"/>
    <mergeCell ref="L120:L123"/>
    <mergeCell ref="I124:I126"/>
    <mergeCell ref="V124:V126"/>
    <mergeCell ref="O133:O134"/>
    <mergeCell ref="P133:P134"/>
    <mergeCell ref="Q133:Q134"/>
    <mergeCell ref="R133:R134"/>
    <mergeCell ref="B128:B130"/>
    <mergeCell ref="C128:C130"/>
    <mergeCell ref="D128:D130"/>
    <mergeCell ref="O128:O130"/>
    <mergeCell ref="P128:P130"/>
    <mergeCell ref="Q128:Q130"/>
    <mergeCell ref="R128:R130"/>
    <mergeCell ref="S128:S130"/>
    <mergeCell ref="T128:T130"/>
    <mergeCell ref="U128:U130"/>
    <mergeCell ref="V128:V130"/>
    <mergeCell ref="M128:M130"/>
    <mergeCell ref="N128:N130"/>
    <mergeCell ref="V131:V132"/>
    <mergeCell ref="E128:E130"/>
    <mergeCell ref="F128:F130"/>
    <mergeCell ref="G128:G130"/>
    <mergeCell ref="A133:A134"/>
    <mergeCell ref="B133:B134"/>
    <mergeCell ref="S138:S139"/>
    <mergeCell ref="T138:T139"/>
    <mergeCell ref="U138:U139"/>
    <mergeCell ref="V138:V139"/>
    <mergeCell ref="N136:N137"/>
    <mergeCell ref="A138:A139"/>
    <mergeCell ref="B138:B139"/>
    <mergeCell ref="C138:C139"/>
    <mergeCell ref="D138:D139"/>
    <mergeCell ref="E138:E139"/>
    <mergeCell ref="F138:F139"/>
    <mergeCell ref="G138:G139"/>
    <mergeCell ref="H138:H139"/>
    <mergeCell ref="N138:N139"/>
    <mergeCell ref="M138:M139"/>
    <mergeCell ref="A136:A137"/>
    <mergeCell ref="B136:B137"/>
    <mergeCell ref="C136:C137"/>
    <mergeCell ref="D136:D137"/>
    <mergeCell ref="E136:E137"/>
    <mergeCell ref="F136:F137"/>
    <mergeCell ref="G136:G137"/>
    <mergeCell ref="H136:H137"/>
    <mergeCell ref="M136:M137"/>
    <mergeCell ref="O136:O137"/>
    <mergeCell ref="P136:P137"/>
    <mergeCell ref="Q136:Q137"/>
    <mergeCell ref="R136:R137"/>
    <mergeCell ref="S136:S137"/>
    <mergeCell ref="T136:T137"/>
    <mergeCell ref="U136:U137"/>
    <mergeCell ref="V136:V137"/>
    <mergeCell ref="O138:O139"/>
    <mergeCell ref="P138:P139"/>
    <mergeCell ref="Q138:Q139"/>
    <mergeCell ref="R138:R139"/>
    <mergeCell ref="S143:S144"/>
    <mergeCell ref="T143:T144"/>
    <mergeCell ref="U143:U144"/>
    <mergeCell ref="V143:V144"/>
    <mergeCell ref="N141:N142"/>
    <mergeCell ref="A143:A144"/>
    <mergeCell ref="B143:B144"/>
    <mergeCell ref="C143:C144"/>
    <mergeCell ref="D143:D144"/>
    <mergeCell ref="E143:E144"/>
    <mergeCell ref="F143:F144"/>
    <mergeCell ref="G143:G144"/>
    <mergeCell ref="H143:H144"/>
    <mergeCell ref="N143:N144"/>
    <mergeCell ref="M143:M144"/>
    <mergeCell ref="A141:A142"/>
    <mergeCell ref="B141:B142"/>
    <mergeCell ref="C141:C142"/>
    <mergeCell ref="D141:D142"/>
    <mergeCell ref="E141:E142"/>
    <mergeCell ref="F141:F142"/>
    <mergeCell ref="G141:G142"/>
    <mergeCell ref="H141:H142"/>
    <mergeCell ref="M141:M142"/>
    <mergeCell ref="O141:O142"/>
    <mergeCell ref="P141:P142"/>
    <mergeCell ref="Q141:Q142"/>
    <mergeCell ref="R141:R142"/>
    <mergeCell ref="S141:S142"/>
    <mergeCell ref="T141:T142"/>
    <mergeCell ref="U141:U142"/>
    <mergeCell ref="V141:V142"/>
    <mergeCell ref="O143:O144"/>
    <mergeCell ref="P143:P144"/>
    <mergeCell ref="Q143:Q144"/>
    <mergeCell ref="R143:R144"/>
    <mergeCell ref="S149:S151"/>
    <mergeCell ref="T149:T151"/>
    <mergeCell ref="U149:U151"/>
    <mergeCell ref="V149:V151"/>
    <mergeCell ref="N145:N146"/>
    <mergeCell ref="N147:N148"/>
    <mergeCell ref="V145:V146"/>
    <mergeCell ref="A145:A146"/>
    <mergeCell ref="B145:B146"/>
    <mergeCell ref="C145:C146"/>
    <mergeCell ref="D145:D146"/>
    <mergeCell ref="E145:E146"/>
    <mergeCell ref="F145:F146"/>
    <mergeCell ref="G145:G146"/>
    <mergeCell ref="H145:H146"/>
    <mergeCell ref="M145:M146"/>
    <mergeCell ref="O145:O146"/>
    <mergeCell ref="P145:P146"/>
    <mergeCell ref="Q145:Q146"/>
    <mergeCell ref="R145:R146"/>
    <mergeCell ref="S145:S146"/>
    <mergeCell ref="T145:T146"/>
    <mergeCell ref="U145:U146"/>
    <mergeCell ref="A149:A151"/>
    <mergeCell ref="B149:B151"/>
    <mergeCell ref="C149:C151"/>
    <mergeCell ref="D149:D151"/>
    <mergeCell ref="E149:E151"/>
    <mergeCell ref="F149:F151"/>
    <mergeCell ref="G149:G151"/>
    <mergeCell ref="H149:H151"/>
    <mergeCell ref="N149:N151"/>
    <mergeCell ref="M149:M151"/>
    <mergeCell ref="A147:A148"/>
    <mergeCell ref="B147:B148"/>
    <mergeCell ref="C147:C148"/>
    <mergeCell ref="D147:D148"/>
    <mergeCell ref="E147:E148"/>
    <mergeCell ref="F147:F148"/>
    <mergeCell ref="V152:V153"/>
    <mergeCell ref="G147:G148"/>
    <mergeCell ref="H147:H148"/>
    <mergeCell ref="M147:M148"/>
    <mergeCell ref="O147:O148"/>
    <mergeCell ref="P147:P148"/>
    <mergeCell ref="Q147:Q148"/>
    <mergeCell ref="R147:R148"/>
    <mergeCell ref="S147:S148"/>
    <mergeCell ref="T147:T148"/>
    <mergeCell ref="U147:U148"/>
    <mergeCell ref="V147:V148"/>
    <mergeCell ref="I147:I148"/>
    <mergeCell ref="J147:J148"/>
    <mergeCell ref="K147:K148"/>
    <mergeCell ref="L147:L148"/>
    <mergeCell ref="O149:O151"/>
    <mergeCell ref="P149:P151"/>
    <mergeCell ref="Q149:Q151"/>
    <mergeCell ref="R149:R151"/>
    <mergeCell ref="I152:I153"/>
    <mergeCell ref="J152:J153"/>
    <mergeCell ref="K152:K153"/>
    <mergeCell ref="L152:L153"/>
    <mergeCell ref="V154:V155"/>
    <mergeCell ref="S156:S157"/>
    <mergeCell ref="T156:T157"/>
    <mergeCell ref="U156:U157"/>
    <mergeCell ref="V156:V157"/>
    <mergeCell ref="N152:N153"/>
    <mergeCell ref="N154:N155"/>
    <mergeCell ref="A152:A153"/>
    <mergeCell ref="B152:B153"/>
    <mergeCell ref="C152:C153"/>
    <mergeCell ref="D152:D153"/>
    <mergeCell ref="E152:E153"/>
    <mergeCell ref="F152:F153"/>
    <mergeCell ref="G152:G153"/>
    <mergeCell ref="H152:H153"/>
    <mergeCell ref="M152:M153"/>
    <mergeCell ref="O152:O153"/>
    <mergeCell ref="P152:P153"/>
    <mergeCell ref="Q152:Q153"/>
    <mergeCell ref="R152:R153"/>
    <mergeCell ref="S152:S153"/>
    <mergeCell ref="T152:T153"/>
    <mergeCell ref="U152:U153"/>
    <mergeCell ref="A156:A157"/>
    <mergeCell ref="B156:B157"/>
    <mergeCell ref="V159:V163"/>
    <mergeCell ref="A164:A167"/>
    <mergeCell ref="B164:B167"/>
    <mergeCell ref="O156:O157"/>
    <mergeCell ref="P156:P157"/>
    <mergeCell ref="Q156:Q157"/>
    <mergeCell ref="R156:R157"/>
    <mergeCell ref="G156:G157"/>
    <mergeCell ref="N164:N167"/>
    <mergeCell ref="I164:I167"/>
    <mergeCell ref="J164:J167"/>
    <mergeCell ref="K164:K167"/>
    <mergeCell ref="L164:L167"/>
    <mergeCell ref="M164:M167"/>
    <mergeCell ref="O164:O167"/>
    <mergeCell ref="P164:P167"/>
    <mergeCell ref="Q164:Q167"/>
    <mergeCell ref="I156:I157"/>
    <mergeCell ref="J156:J157"/>
    <mergeCell ref="K156:K157"/>
    <mergeCell ref="L156:L157"/>
    <mergeCell ref="T154:T155"/>
    <mergeCell ref="U154:U155"/>
    <mergeCell ref="N159:N163"/>
    <mergeCell ref="A159:A163"/>
    <mergeCell ref="B159:B163"/>
    <mergeCell ref="C159:C163"/>
    <mergeCell ref="D159:D163"/>
    <mergeCell ref="E159:E163"/>
    <mergeCell ref="F159:F163"/>
    <mergeCell ref="G159:G163"/>
    <mergeCell ref="H159:H163"/>
    <mergeCell ref="M159:M163"/>
    <mergeCell ref="O159:O163"/>
    <mergeCell ref="P159:P163"/>
    <mergeCell ref="Q159:Q163"/>
    <mergeCell ref="R159:R163"/>
    <mergeCell ref="S159:S163"/>
    <mergeCell ref="T159:T163"/>
    <mergeCell ref="H156:H157"/>
    <mergeCell ref="N156:N157"/>
    <mergeCell ref="M156:M157"/>
    <mergeCell ref="U159:U163"/>
    <mergeCell ref="L154:L155"/>
    <mergeCell ref="G174:G179"/>
    <mergeCell ref="H174:H179"/>
    <mergeCell ref="M174:M179"/>
    <mergeCell ref="A154:A155"/>
    <mergeCell ref="B154:B155"/>
    <mergeCell ref="C154:C155"/>
    <mergeCell ref="D154:D155"/>
    <mergeCell ref="E154:E155"/>
    <mergeCell ref="F154:F155"/>
    <mergeCell ref="G154:G155"/>
    <mergeCell ref="H154:H155"/>
    <mergeCell ref="M154:M155"/>
    <mergeCell ref="O154:O155"/>
    <mergeCell ref="P154:P155"/>
    <mergeCell ref="Q154:Q155"/>
    <mergeCell ref="R154:R155"/>
    <mergeCell ref="S154:S155"/>
    <mergeCell ref="A168:A169"/>
    <mergeCell ref="B168:B169"/>
    <mergeCell ref="C168:C169"/>
    <mergeCell ref="D168:D169"/>
    <mergeCell ref="E168:E169"/>
    <mergeCell ref="F168:F169"/>
    <mergeCell ref="M168:M169"/>
    <mergeCell ref="R164:R167"/>
    <mergeCell ref="S164:S167"/>
    <mergeCell ref="T164:T167"/>
    <mergeCell ref="U164:U167"/>
    <mergeCell ref="V164:V167"/>
    <mergeCell ref="O168:O169"/>
    <mergeCell ref="P168:P169"/>
    <mergeCell ref="Q168:Q169"/>
    <mergeCell ref="R168:R169"/>
    <mergeCell ref="N168:N169"/>
    <mergeCell ref="S168:S169"/>
    <mergeCell ref="T168:T169"/>
    <mergeCell ref="U168:U169"/>
    <mergeCell ref="V168:V169"/>
    <mergeCell ref="R170:R173"/>
    <mergeCell ref="S170:S173"/>
    <mergeCell ref="T170:T173"/>
    <mergeCell ref="U170:U173"/>
    <mergeCell ref="V170:V173"/>
    <mergeCell ref="L180:L182"/>
    <mergeCell ref="V174:V179"/>
    <mergeCell ref="N170:N173"/>
    <mergeCell ref="N174:N179"/>
    <mergeCell ref="A170:A173"/>
    <mergeCell ref="B170:B173"/>
    <mergeCell ref="C170:C173"/>
    <mergeCell ref="D170:D173"/>
    <mergeCell ref="E170:E173"/>
    <mergeCell ref="F170:F173"/>
    <mergeCell ref="G170:G173"/>
    <mergeCell ref="H170:H173"/>
    <mergeCell ref="Q170:Q173"/>
    <mergeCell ref="A180:A182"/>
    <mergeCell ref="B180:B182"/>
    <mergeCell ref="C180:C182"/>
    <mergeCell ref="D180:D182"/>
    <mergeCell ref="E180:E182"/>
    <mergeCell ref="F180:F182"/>
    <mergeCell ref="G180:G182"/>
    <mergeCell ref="H180:H182"/>
    <mergeCell ref="N180:N182"/>
    <mergeCell ref="M180:M182"/>
    <mergeCell ref="I174:I179"/>
    <mergeCell ref="J174:J179"/>
    <mergeCell ref="A174:A179"/>
    <mergeCell ref="B174:B179"/>
    <mergeCell ref="C174:C179"/>
    <mergeCell ref="U174:U179"/>
    <mergeCell ref="D174:D179"/>
    <mergeCell ref="E174:E179"/>
    <mergeCell ref="F174:F179"/>
    <mergeCell ref="U206:U209"/>
    <mergeCell ref="V206:V209"/>
    <mergeCell ref="N199:N201"/>
    <mergeCell ref="N202:N205"/>
    <mergeCell ref="A199:A201"/>
    <mergeCell ref="B199:B201"/>
    <mergeCell ref="C199:C201"/>
    <mergeCell ref="D199:D201"/>
    <mergeCell ref="E199:E201"/>
    <mergeCell ref="F199:F201"/>
    <mergeCell ref="G199:G201"/>
    <mergeCell ref="V191:V192"/>
    <mergeCell ref="N183:N186"/>
    <mergeCell ref="N187:N190"/>
    <mergeCell ref="S180:S182"/>
    <mergeCell ref="T180:T182"/>
    <mergeCell ref="U180:U182"/>
    <mergeCell ref="V180:V182"/>
    <mergeCell ref="H199:H201"/>
    <mergeCell ref="M199:M201"/>
    <mergeCell ref="O199:O201"/>
    <mergeCell ref="P199:P201"/>
    <mergeCell ref="Q199:Q201"/>
    <mergeCell ref="R199:R201"/>
    <mergeCell ref="S199:S201"/>
    <mergeCell ref="T199:T201"/>
    <mergeCell ref="U199:U201"/>
    <mergeCell ref="A206:A209"/>
    <mergeCell ref="B206:B209"/>
    <mergeCell ref="C206:C209"/>
    <mergeCell ref="D206:D209"/>
    <mergeCell ref="E206:E209"/>
    <mergeCell ref="V199:V201"/>
    <mergeCell ref="A202:A205"/>
    <mergeCell ref="B202:B205"/>
    <mergeCell ref="C202:C205"/>
    <mergeCell ref="D202:D205"/>
    <mergeCell ref="E202:E205"/>
    <mergeCell ref="F202:F205"/>
    <mergeCell ref="G202:G205"/>
    <mergeCell ref="H202:H205"/>
    <mergeCell ref="M202:M205"/>
    <mergeCell ref="O202:O205"/>
    <mergeCell ref="P202:P205"/>
    <mergeCell ref="Q202:Q205"/>
    <mergeCell ref="R202:R205"/>
    <mergeCell ref="S202:S205"/>
    <mergeCell ref="T202:T205"/>
    <mergeCell ref="U202:U205"/>
    <mergeCell ref="V202:V205"/>
    <mergeCell ref="I199:I201"/>
    <mergeCell ref="J199:J201"/>
    <mergeCell ref="K199:K201"/>
    <mergeCell ref="L199:L201"/>
    <mergeCell ref="I202:I205"/>
    <mergeCell ref="J202:J205"/>
    <mergeCell ref="K202:K205"/>
    <mergeCell ref="L202:L205"/>
    <mergeCell ref="U210:U214"/>
    <mergeCell ref="A217:A219"/>
    <mergeCell ref="B217:B219"/>
    <mergeCell ref="C217:C219"/>
    <mergeCell ref="D217:D219"/>
    <mergeCell ref="E217:E219"/>
    <mergeCell ref="F217:F219"/>
    <mergeCell ref="G215:G216"/>
    <mergeCell ref="H215:H216"/>
    <mergeCell ref="M215:M216"/>
    <mergeCell ref="O215:O216"/>
    <mergeCell ref="P215:P216"/>
    <mergeCell ref="Q215:Q216"/>
    <mergeCell ref="A215:A216"/>
    <mergeCell ref="B215:B216"/>
    <mergeCell ref="R215:R216"/>
    <mergeCell ref="S215:S216"/>
    <mergeCell ref="T215:T216"/>
    <mergeCell ref="I217:I219"/>
    <mergeCell ref="J217:J219"/>
    <mergeCell ref="K217:K219"/>
    <mergeCell ref="L217:L219"/>
    <mergeCell ref="R217:R219"/>
    <mergeCell ref="M217:M219"/>
    <mergeCell ref="Q217:Q219"/>
    <mergeCell ref="I210:I214"/>
    <mergeCell ref="J210:J214"/>
    <mergeCell ref="K210:K214"/>
    <mergeCell ref="L210:L214"/>
    <mergeCell ref="O206:O209"/>
    <mergeCell ref="P206:P209"/>
    <mergeCell ref="Q206:Q209"/>
    <mergeCell ref="R206:R209"/>
    <mergeCell ref="S217:S219"/>
    <mergeCell ref="T217:T219"/>
    <mergeCell ref="S206:S209"/>
    <mergeCell ref="T206:T209"/>
    <mergeCell ref="N210:N214"/>
    <mergeCell ref="N215:N216"/>
    <mergeCell ref="A210:A214"/>
    <mergeCell ref="B210:B214"/>
    <mergeCell ref="C210:C214"/>
    <mergeCell ref="D210:D214"/>
    <mergeCell ref="E210:E214"/>
    <mergeCell ref="F210:F214"/>
    <mergeCell ref="G210:G214"/>
    <mergeCell ref="H210:H214"/>
    <mergeCell ref="M210:M214"/>
    <mergeCell ref="O210:O214"/>
    <mergeCell ref="C215:C216"/>
    <mergeCell ref="P210:P214"/>
    <mergeCell ref="Q210:Q214"/>
    <mergeCell ref="R210:R214"/>
    <mergeCell ref="S210:S214"/>
    <mergeCell ref="T210:T214"/>
    <mergeCell ref="F206:F209"/>
    <mergeCell ref="G206:G209"/>
    <mergeCell ref="H206:H209"/>
    <mergeCell ref="N206:N209"/>
    <mergeCell ref="M206:M209"/>
    <mergeCell ref="I206:I209"/>
    <mergeCell ref="D220:D224"/>
    <mergeCell ref="E220:E224"/>
    <mergeCell ref="F220:F224"/>
    <mergeCell ref="I220:I224"/>
    <mergeCell ref="J220:J224"/>
    <mergeCell ref="K220:K224"/>
    <mergeCell ref="L220:L224"/>
    <mergeCell ref="U215:U216"/>
    <mergeCell ref="V215:V216"/>
    <mergeCell ref="I215:I216"/>
    <mergeCell ref="J215:J216"/>
    <mergeCell ref="K215:K216"/>
    <mergeCell ref="L215:L216"/>
    <mergeCell ref="H220:H224"/>
    <mergeCell ref="M220:M224"/>
    <mergeCell ref="O220:O224"/>
    <mergeCell ref="P220:P224"/>
    <mergeCell ref="Q220:Q224"/>
    <mergeCell ref="R220:R224"/>
    <mergeCell ref="S220:S224"/>
    <mergeCell ref="T220:T224"/>
    <mergeCell ref="U220:U224"/>
    <mergeCell ref="U217:U219"/>
    <mergeCell ref="V217:V219"/>
    <mergeCell ref="D215:D216"/>
    <mergeCell ref="E215:E216"/>
    <mergeCell ref="F215:F216"/>
    <mergeCell ref="V230:V231"/>
    <mergeCell ref="A232:A233"/>
    <mergeCell ref="B232:B233"/>
    <mergeCell ref="C232:C233"/>
    <mergeCell ref="D232:D233"/>
    <mergeCell ref="E232:E233"/>
    <mergeCell ref="F232:F233"/>
    <mergeCell ref="H232:H233"/>
    <mergeCell ref="V232:V233"/>
    <mergeCell ref="V220:V224"/>
    <mergeCell ref="A225:A228"/>
    <mergeCell ref="B225:B228"/>
    <mergeCell ref="C225:C228"/>
    <mergeCell ref="D225:D228"/>
    <mergeCell ref="E225:E228"/>
    <mergeCell ref="F225:F228"/>
    <mergeCell ref="G225:G228"/>
    <mergeCell ref="H225:H228"/>
    <mergeCell ref="M225:M228"/>
    <mergeCell ref="O225:O228"/>
    <mergeCell ref="P225:P228"/>
    <mergeCell ref="Q225:Q228"/>
    <mergeCell ref="R225:R228"/>
    <mergeCell ref="S225:S228"/>
    <mergeCell ref="T225:T228"/>
    <mergeCell ref="U225:U228"/>
    <mergeCell ref="V225:V228"/>
    <mergeCell ref="I225:I228"/>
    <mergeCell ref="A230:A231"/>
    <mergeCell ref="B230:B231"/>
    <mergeCell ref="C230:C231"/>
    <mergeCell ref="D230:D231"/>
    <mergeCell ref="R236:R237"/>
    <mergeCell ref="S236:S237"/>
    <mergeCell ref="T236:T237"/>
    <mergeCell ref="U236:U237"/>
    <mergeCell ref="A234:A235"/>
    <mergeCell ref="B234:B235"/>
    <mergeCell ref="C234:C235"/>
    <mergeCell ref="D234:D235"/>
    <mergeCell ref="E234:E235"/>
    <mergeCell ref="F234:F235"/>
    <mergeCell ref="G234:G235"/>
    <mergeCell ref="H234:H235"/>
    <mergeCell ref="G220:G224"/>
    <mergeCell ref="I232:I233"/>
    <mergeCell ref="N234:N235"/>
    <mergeCell ref="H230:H231"/>
    <mergeCell ref="M230:M231"/>
    <mergeCell ref="O230:O231"/>
    <mergeCell ref="P230:P231"/>
    <mergeCell ref="Q230:Q231"/>
    <mergeCell ref="R230:R231"/>
    <mergeCell ref="S230:S231"/>
    <mergeCell ref="T230:T231"/>
    <mergeCell ref="U230:U231"/>
    <mergeCell ref="N220:N224"/>
    <mergeCell ref="J225:J228"/>
    <mergeCell ref="K225:K228"/>
    <mergeCell ref="L225:L228"/>
    <mergeCell ref="N225:N228"/>
    <mergeCell ref="A220:A224"/>
    <mergeCell ref="B220:B224"/>
    <mergeCell ref="C220:C224"/>
    <mergeCell ref="E230:E231"/>
    <mergeCell ref="F230:F231"/>
    <mergeCell ref="G230:G231"/>
    <mergeCell ref="G232:G233"/>
    <mergeCell ref="A236:A237"/>
    <mergeCell ref="B236:B237"/>
    <mergeCell ref="C236:C237"/>
    <mergeCell ref="D236:D237"/>
    <mergeCell ref="E236:E237"/>
    <mergeCell ref="F236:F237"/>
    <mergeCell ref="G236:G237"/>
    <mergeCell ref="H236:H237"/>
    <mergeCell ref="O232:O233"/>
    <mergeCell ref="O236:O237"/>
    <mergeCell ref="I230:I231"/>
    <mergeCell ref="J230:J231"/>
    <mergeCell ref="K230:K231"/>
    <mergeCell ref="L230:L231"/>
    <mergeCell ref="J232:J233"/>
    <mergeCell ref="K232:K233"/>
    <mergeCell ref="L232:L233"/>
    <mergeCell ref="I234:I235"/>
    <mergeCell ref="J234:J235"/>
    <mergeCell ref="K234:K235"/>
    <mergeCell ref="L234:L235"/>
    <mergeCell ref="I236:I237"/>
    <mergeCell ref="J236:J237"/>
    <mergeCell ref="K236:K237"/>
    <mergeCell ref="L236:L237"/>
    <mergeCell ref="A246:A247"/>
    <mergeCell ref="B246:B247"/>
    <mergeCell ref="C246:C247"/>
    <mergeCell ref="D246:D247"/>
    <mergeCell ref="E246:E247"/>
    <mergeCell ref="F246:F247"/>
    <mergeCell ref="G246:G247"/>
    <mergeCell ref="H246:H247"/>
    <mergeCell ref="M246:M247"/>
    <mergeCell ref="O246:O247"/>
    <mergeCell ref="P246:P247"/>
    <mergeCell ref="Q246:Q247"/>
    <mergeCell ref="R246:R247"/>
    <mergeCell ref="S246:S247"/>
    <mergeCell ref="T246:T247"/>
    <mergeCell ref="U246:U247"/>
    <mergeCell ref="J246:J247"/>
    <mergeCell ref="K246:K247"/>
    <mergeCell ref="L246:L247"/>
    <mergeCell ref="B239:B241"/>
    <mergeCell ref="C239:C241"/>
    <mergeCell ref="D239:D241"/>
    <mergeCell ref="E239:E241"/>
    <mergeCell ref="AM22:AM24"/>
    <mergeCell ref="AN22:AN24"/>
    <mergeCell ref="AO22:AO24"/>
    <mergeCell ref="AP22:AP24"/>
    <mergeCell ref="AQ22:AQ24"/>
    <mergeCell ref="AR22:AR24"/>
    <mergeCell ref="N246:N247"/>
    <mergeCell ref="N20:N21"/>
    <mergeCell ref="N22:N24"/>
    <mergeCell ref="N25:N26"/>
    <mergeCell ref="N27:N28"/>
    <mergeCell ref="N29:N32"/>
    <mergeCell ref="N33:N37"/>
    <mergeCell ref="N38:N39"/>
    <mergeCell ref="N40:N41"/>
    <mergeCell ref="N55:N57"/>
    <mergeCell ref="N58:N60"/>
    <mergeCell ref="N61:N62"/>
    <mergeCell ref="N63:N67"/>
    <mergeCell ref="N68:N69"/>
    <mergeCell ref="M236:M237"/>
    <mergeCell ref="M232:M233"/>
    <mergeCell ref="G217:G219"/>
    <mergeCell ref="H217:H219"/>
    <mergeCell ref="N217:N219"/>
    <mergeCell ref="AM120:AM123"/>
    <mergeCell ref="AN120:AN123"/>
    <mergeCell ref="AO120:AO123"/>
    <mergeCell ref="AP120:AP123"/>
    <mergeCell ref="AQ120:AQ123"/>
    <mergeCell ref="AR120:AR123"/>
    <mergeCell ref="AM124:AM126"/>
    <mergeCell ref="AN124:AN126"/>
    <mergeCell ref="AO124:AO126"/>
    <mergeCell ref="AP124:AP126"/>
    <mergeCell ref="AQ124:AQ126"/>
    <mergeCell ref="AR124:AR126"/>
    <mergeCell ref="AM141:AM142"/>
    <mergeCell ref="AN141:AN142"/>
    <mergeCell ref="AO141:AO142"/>
    <mergeCell ref="AQ141:AQ142"/>
    <mergeCell ref="AP141:AP142"/>
    <mergeCell ref="AR141:AR142"/>
    <mergeCell ref="AM187:AM190"/>
    <mergeCell ref="AN187:AN190"/>
    <mergeCell ref="AO187:AO190"/>
    <mergeCell ref="AP187:AP190"/>
    <mergeCell ref="AQ187:AQ190"/>
    <mergeCell ref="AR187:AR190"/>
    <mergeCell ref="AM170:AM173"/>
    <mergeCell ref="AN170:AN173"/>
    <mergeCell ref="AO170:AO173"/>
    <mergeCell ref="AP170:AP173"/>
    <mergeCell ref="AQ170:AQ173"/>
    <mergeCell ref="AR170:AR173"/>
    <mergeCell ref="AM199:AM201"/>
    <mergeCell ref="AN199:AN201"/>
    <mergeCell ref="AO199:AO201"/>
    <mergeCell ref="AP199:AP201"/>
    <mergeCell ref="AQ199:AQ201"/>
    <mergeCell ref="AR199:AR201"/>
    <mergeCell ref="AM174:AM179"/>
    <mergeCell ref="AN174:AN179"/>
    <mergeCell ref="AO174:AO179"/>
    <mergeCell ref="AP174:AP179"/>
    <mergeCell ref="AQ174:AQ179"/>
    <mergeCell ref="AR174:AR179"/>
    <mergeCell ref="AM183:AM186"/>
    <mergeCell ref="AN183:AN186"/>
    <mergeCell ref="AO183:AO186"/>
    <mergeCell ref="AP183:AP186"/>
    <mergeCell ref="AQ183:AQ186"/>
    <mergeCell ref="AR183:AR186"/>
    <mergeCell ref="AM230:AM231"/>
    <mergeCell ref="AN230:AN231"/>
    <mergeCell ref="AO230:AO231"/>
    <mergeCell ref="AP230:AP231"/>
    <mergeCell ref="AQ230:AQ231"/>
    <mergeCell ref="AR230:AR231"/>
    <mergeCell ref="I246:I247"/>
    <mergeCell ref="U234:U235"/>
    <mergeCell ref="A249:A250"/>
    <mergeCell ref="B249:B250"/>
    <mergeCell ref="C249:C250"/>
    <mergeCell ref="D249:D250"/>
    <mergeCell ref="E249:E250"/>
    <mergeCell ref="F249:F250"/>
    <mergeCell ref="G249:G250"/>
    <mergeCell ref="H249:H250"/>
    <mergeCell ref="I249:I250"/>
    <mergeCell ref="J249:J250"/>
    <mergeCell ref="K249:K250"/>
    <mergeCell ref="L249:L250"/>
    <mergeCell ref="M249:M250"/>
    <mergeCell ref="N249:N250"/>
    <mergeCell ref="O249:O250"/>
    <mergeCell ref="P249:P250"/>
    <mergeCell ref="Q249:Q250"/>
    <mergeCell ref="R249:R250"/>
    <mergeCell ref="S249:S250"/>
    <mergeCell ref="T249:T250"/>
    <mergeCell ref="M242:M244"/>
    <mergeCell ref="N242:N244"/>
    <mergeCell ref="O242:O244"/>
    <mergeCell ref="P242:P244"/>
    <mergeCell ref="E242:E244"/>
    <mergeCell ref="F242:F244"/>
    <mergeCell ref="G242:G244"/>
    <mergeCell ref="H242:H244"/>
    <mergeCell ref="I242:I244"/>
    <mergeCell ref="J242:J244"/>
    <mergeCell ref="K242:K244"/>
    <mergeCell ref="L242:L244"/>
    <mergeCell ref="U249:U250"/>
    <mergeCell ref="V249:V250"/>
    <mergeCell ref="N191:N192"/>
    <mergeCell ref="M191:M192"/>
    <mergeCell ref="V246:V247"/>
    <mergeCell ref="V236:V237"/>
    <mergeCell ref="N236:N237"/>
    <mergeCell ref="M234:M235"/>
    <mergeCell ref="O234:O235"/>
    <mergeCell ref="P234:P235"/>
    <mergeCell ref="Q234:Q235"/>
    <mergeCell ref="R234:R235"/>
    <mergeCell ref="S234:S235"/>
    <mergeCell ref="T234:T235"/>
    <mergeCell ref="V210:V214"/>
    <mergeCell ref="O217:O219"/>
    <mergeCell ref="P217:P219"/>
    <mergeCell ref="V234:V235"/>
    <mergeCell ref="N230:N231"/>
    <mergeCell ref="N232:N233"/>
    <mergeCell ref="P232:P233"/>
    <mergeCell ref="Q232:Q233"/>
    <mergeCell ref="R232:R233"/>
    <mergeCell ref="S232:S233"/>
    <mergeCell ref="A196:A198"/>
    <mergeCell ref="B193:B195"/>
    <mergeCell ref="B196:B198"/>
    <mergeCell ref="C193:C195"/>
    <mergeCell ref="C196:C198"/>
    <mergeCell ref="D193:D195"/>
    <mergeCell ref="D196:D198"/>
    <mergeCell ref="E193:E195"/>
    <mergeCell ref="F193:F195"/>
    <mergeCell ref="G193:G195"/>
    <mergeCell ref="H193:H195"/>
    <mergeCell ref="E196:E198"/>
    <mergeCell ref="F196:F198"/>
    <mergeCell ref="G196:G198"/>
    <mergeCell ref="H196:H198"/>
    <mergeCell ref="A187:A190"/>
    <mergeCell ref="B187:B190"/>
    <mergeCell ref="C187:C190"/>
    <mergeCell ref="D187:D190"/>
    <mergeCell ref="E187:E190"/>
    <mergeCell ref="F187:F190"/>
    <mergeCell ref="G187:G190"/>
    <mergeCell ref="H187:H190"/>
    <mergeCell ref="C191:C192"/>
    <mergeCell ref="D191:D192"/>
    <mergeCell ref="E191:E192"/>
    <mergeCell ref="A191:A192"/>
    <mergeCell ref="B191:B192"/>
    <mergeCell ref="F191:F192"/>
    <mergeCell ref="G191:G192"/>
    <mergeCell ref="U187:U190"/>
    <mergeCell ref="M170:M173"/>
    <mergeCell ref="O170:O173"/>
    <mergeCell ref="P170:P173"/>
    <mergeCell ref="O180:O182"/>
    <mergeCell ref="P180:P182"/>
    <mergeCell ref="Q180:Q182"/>
    <mergeCell ref="R180:R182"/>
    <mergeCell ref="C183:C186"/>
    <mergeCell ref="D183:D186"/>
    <mergeCell ref="E183:E186"/>
    <mergeCell ref="F183:F186"/>
    <mergeCell ref="G183:G186"/>
    <mergeCell ref="H183:H186"/>
    <mergeCell ref="M183:M186"/>
    <mergeCell ref="U183:U186"/>
    <mergeCell ref="A193:A195"/>
    <mergeCell ref="K191:K192"/>
    <mergeCell ref="L191:L192"/>
    <mergeCell ref="I187:I190"/>
    <mergeCell ref="J187:J190"/>
    <mergeCell ref="K187:K190"/>
    <mergeCell ref="L187:L190"/>
    <mergeCell ref="O191:O192"/>
    <mergeCell ref="P191:P192"/>
    <mergeCell ref="Q191:Q192"/>
    <mergeCell ref="R191:R192"/>
    <mergeCell ref="S191:S192"/>
    <mergeCell ref="T191:T192"/>
    <mergeCell ref="U191:U192"/>
    <mergeCell ref="B183:B186"/>
    <mergeCell ref="A183:A186"/>
    <mergeCell ref="J191:J192"/>
    <mergeCell ref="C164:C167"/>
    <mergeCell ref="D164:D167"/>
    <mergeCell ref="E164:E167"/>
    <mergeCell ref="F164:F167"/>
    <mergeCell ref="G164:G167"/>
    <mergeCell ref="H164:H167"/>
    <mergeCell ref="H128:H130"/>
    <mergeCell ref="H191:H192"/>
    <mergeCell ref="G168:G169"/>
    <mergeCell ref="H168:H169"/>
    <mergeCell ref="O187:O190"/>
    <mergeCell ref="P187:P190"/>
    <mergeCell ref="Q187:Q190"/>
    <mergeCell ref="R187:R190"/>
    <mergeCell ref="S187:S190"/>
    <mergeCell ref="T187:T190"/>
    <mergeCell ref="O174:O179"/>
    <mergeCell ref="P174:P179"/>
    <mergeCell ref="Q174:Q179"/>
    <mergeCell ref="R174:R179"/>
    <mergeCell ref="S174:S179"/>
    <mergeCell ref="T174:T179"/>
    <mergeCell ref="K174:K179"/>
    <mergeCell ref="L174:L179"/>
    <mergeCell ref="I180:I182"/>
    <mergeCell ref="J180:J182"/>
    <mergeCell ref="K180:K182"/>
    <mergeCell ref="C156:C157"/>
    <mergeCell ref="D156:D157"/>
    <mergeCell ref="E156:E157"/>
    <mergeCell ref="F156:F157"/>
    <mergeCell ref="Q236:Q237"/>
    <mergeCell ref="V187:V190"/>
    <mergeCell ref="I183:I186"/>
    <mergeCell ref="P196:P198"/>
    <mergeCell ref="P193:P195"/>
    <mergeCell ref="V183:V186"/>
    <mergeCell ref="M187:M190"/>
    <mergeCell ref="Q193:Q195"/>
    <mergeCell ref="R193:R195"/>
    <mergeCell ref="S193:S195"/>
    <mergeCell ref="T193:T195"/>
    <mergeCell ref="J183:J186"/>
    <mergeCell ref="K183:K186"/>
    <mergeCell ref="L183:L186"/>
    <mergeCell ref="O193:O195"/>
    <mergeCell ref="O196:O198"/>
    <mergeCell ref="R183:R186"/>
    <mergeCell ref="S183:S186"/>
    <mergeCell ref="T183:T186"/>
    <mergeCell ref="M193:M195"/>
    <mergeCell ref="M196:M198"/>
    <mergeCell ref="N193:N195"/>
    <mergeCell ref="N196:N198"/>
    <mergeCell ref="I193:I195"/>
    <mergeCell ref="J193:J195"/>
    <mergeCell ref="K193:K195"/>
    <mergeCell ref="L193:L195"/>
    <mergeCell ref="I196:I198"/>
    <mergeCell ref="J196:J198"/>
    <mergeCell ref="K196:K198"/>
    <mergeCell ref="L196:L198"/>
    <mergeCell ref="I191:I192"/>
    <mergeCell ref="N239:N241"/>
    <mergeCell ref="O239:O241"/>
    <mergeCell ref="P239:P241"/>
    <mergeCell ref="Q239:Q241"/>
    <mergeCell ref="R131:R132"/>
    <mergeCell ref="S131:S132"/>
    <mergeCell ref="T131:T132"/>
    <mergeCell ref="U131:U132"/>
    <mergeCell ref="Q131:Q132"/>
    <mergeCell ref="R242:R244"/>
    <mergeCell ref="S242:S244"/>
    <mergeCell ref="T242:T244"/>
    <mergeCell ref="U242:U244"/>
    <mergeCell ref="U193:U195"/>
    <mergeCell ref="V193:V195"/>
    <mergeCell ref="O183:O186"/>
    <mergeCell ref="P183:P186"/>
    <mergeCell ref="Q183:Q186"/>
    <mergeCell ref="R239:R241"/>
    <mergeCell ref="S239:S241"/>
    <mergeCell ref="T239:T241"/>
    <mergeCell ref="U239:U241"/>
    <mergeCell ref="V239:V241"/>
    <mergeCell ref="Q196:Q198"/>
    <mergeCell ref="R196:R198"/>
    <mergeCell ref="S196:S198"/>
    <mergeCell ref="T196:T198"/>
    <mergeCell ref="U196:U198"/>
    <mergeCell ref="V196:V198"/>
    <mergeCell ref="T232:T233"/>
    <mergeCell ref="U232:U233"/>
    <mergeCell ref="P236:P237"/>
    <mergeCell ref="S98:S100"/>
    <mergeCell ref="V242:V244"/>
    <mergeCell ref="A239:A241"/>
    <mergeCell ref="B242:B244"/>
    <mergeCell ref="C242:C244"/>
    <mergeCell ref="D242:D244"/>
    <mergeCell ref="A242:A244"/>
    <mergeCell ref="A131:A132"/>
    <mergeCell ref="B131:B132"/>
    <mergeCell ref="C131:C132"/>
    <mergeCell ref="D131:D132"/>
    <mergeCell ref="E131:E132"/>
    <mergeCell ref="F131:F132"/>
    <mergeCell ref="G131:G132"/>
    <mergeCell ref="H131:H132"/>
    <mergeCell ref="I131:I132"/>
    <mergeCell ref="J131:J132"/>
    <mergeCell ref="K131:K132"/>
    <mergeCell ref="L131:L132"/>
    <mergeCell ref="M131:M132"/>
    <mergeCell ref="N131:N132"/>
    <mergeCell ref="O131:O132"/>
    <mergeCell ref="P131:P132"/>
    <mergeCell ref="Q242:Q244"/>
    <mergeCell ref="F239:F241"/>
    <mergeCell ref="G239:G241"/>
    <mergeCell ref="H239:H241"/>
    <mergeCell ref="I239:I241"/>
    <mergeCell ref="J239:J241"/>
    <mergeCell ref="K239:K241"/>
    <mergeCell ref="L239:L241"/>
    <mergeCell ref="M239:M241"/>
  </mergeCells>
  <conditionalFormatting sqref="P13 P15 P116 P120 AG245:AG250 AG133:AG238 AG13:AG41 P95:P96 AG43:AG130">
    <cfRule type="cellIs" dxfId="193" priority="1431" stopIfTrue="1" operator="equal">
      <formula>"Muy Alta"</formula>
    </cfRule>
    <cfRule type="cellIs" dxfId="192" priority="1432" stopIfTrue="1" operator="equal">
      <formula>"Alta"</formula>
    </cfRule>
    <cfRule type="cellIs" dxfId="191" priority="1433" stopIfTrue="1" operator="equal">
      <formula>"Media"</formula>
    </cfRule>
    <cfRule type="cellIs" dxfId="190" priority="1434" stopIfTrue="1" operator="equal">
      <formula>"Baja"</formula>
    </cfRule>
    <cfRule type="cellIs" dxfId="189" priority="1435" stopIfTrue="1" operator="equal">
      <formula>"Muy Baja"</formula>
    </cfRule>
  </conditionalFormatting>
  <conditionalFormatting sqref="AI245:AI250 AI133:AI238 AI13:AI41 T95:T96 AI43:AI130">
    <cfRule type="cellIs" dxfId="188" priority="1412" stopIfTrue="1" operator="equal">
      <formula>"Catastrófico"</formula>
    </cfRule>
    <cfRule type="cellIs" dxfId="187" priority="1413" stopIfTrue="1" operator="equal">
      <formula>"Mayor"</formula>
    </cfRule>
    <cfRule type="cellIs" dxfId="186" priority="1414" stopIfTrue="1" operator="equal">
      <formula>"Moderado"</formula>
    </cfRule>
    <cfRule type="cellIs" dxfId="185" priority="1415" stopIfTrue="1" operator="equal">
      <formula>"Menor"</formula>
    </cfRule>
    <cfRule type="cellIs" dxfId="184" priority="1416" stopIfTrue="1" operator="equal">
      <formula>"Leve"</formula>
    </cfRule>
  </conditionalFormatting>
  <conditionalFormatting sqref="AK245:AK250 AK133:AK238 AK13:AK41 V95:V96 AK43:AK130">
    <cfRule type="cellIs" dxfId="183" priority="1408" stopIfTrue="1" operator="equal">
      <formula>"Extremo"</formula>
    </cfRule>
    <cfRule type="cellIs" dxfId="182" priority="1409" stopIfTrue="1" operator="equal">
      <formula>"Alto"</formula>
    </cfRule>
    <cfRule type="cellIs" dxfId="181" priority="1410" stopIfTrue="1" operator="equal">
      <formula>"Moderado"</formula>
    </cfRule>
    <cfRule type="cellIs" dxfId="180" priority="1411" stopIfTrue="1" operator="equal">
      <formula>"Bajo"</formula>
    </cfRule>
  </conditionalFormatting>
  <conditionalFormatting sqref="P33 P141">
    <cfRule type="cellIs" dxfId="179" priority="1165" stopIfTrue="1" operator="equal">
      <formula>"Muy Alta"</formula>
    </cfRule>
    <cfRule type="cellIs" dxfId="178" priority="1166" stopIfTrue="1" operator="equal">
      <formula>"Alta"</formula>
    </cfRule>
    <cfRule type="cellIs" dxfId="177" priority="1167" stopIfTrue="1" operator="equal">
      <formula>"Media"</formula>
    </cfRule>
    <cfRule type="cellIs" dxfId="176" priority="1168" stopIfTrue="1" operator="equal">
      <formula>"Baja"</formula>
    </cfRule>
    <cfRule type="cellIs" dxfId="175" priority="1169" stopIfTrue="1" operator="equal">
      <formula>"Muy Baja"</formula>
    </cfRule>
  </conditionalFormatting>
  <conditionalFormatting sqref="P17 P124 P127:P128 P131">
    <cfRule type="cellIs" dxfId="174" priority="1333" stopIfTrue="1" operator="equal">
      <formula>"Muy Alta"</formula>
    </cfRule>
    <cfRule type="cellIs" dxfId="173" priority="1334" stopIfTrue="1" operator="equal">
      <formula>"Alta"</formula>
    </cfRule>
    <cfRule type="cellIs" dxfId="172" priority="1335" stopIfTrue="1" operator="equal">
      <formula>"Media"</formula>
    </cfRule>
    <cfRule type="cellIs" dxfId="171" priority="1336" stopIfTrue="1" operator="equal">
      <formula>"Baja"</formula>
    </cfRule>
    <cfRule type="cellIs" dxfId="170" priority="1337" stopIfTrue="1" operator="equal">
      <formula>"Muy Baja"</formula>
    </cfRule>
  </conditionalFormatting>
  <conditionalFormatting sqref="P20 P133">
    <cfRule type="cellIs" dxfId="169" priority="1305" stopIfTrue="1" operator="equal">
      <formula>"Muy Alta"</formula>
    </cfRule>
    <cfRule type="cellIs" dxfId="168" priority="1306" stopIfTrue="1" operator="equal">
      <formula>"Alta"</formula>
    </cfRule>
    <cfRule type="cellIs" dxfId="167" priority="1307" stopIfTrue="1" operator="equal">
      <formula>"Media"</formula>
    </cfRule>
    <cfRule type="cellIs" dxfId="166" priority="1308" stopIfTrue="1" operator="equal">
      <formula>"Baja"</formula>
    </cfRule>
    <cfRule type="cellIs" dxfId="165" priority="1309" stopIfTrue="1" operator="equal">
      <formula>"Muy Baja"</formula>
    </cfRule>
  </conditionalFormatting>
  <conditionalFormatting sqref="P22 P135">
    <cfRule type="cellIs" dxfId="164" priority="1277" stopIfTrue="1" operator="equal">
      <formula>"Muy Alta"</formula>
    </cfRule>
    <cfRule type="cellIs" dxfId="163" priority="1278" stopIfTrue="1" operator="equal">
      <formula>"Alta"</formula>
    </cfRule>
    <cfRule type="cellIs" dxfId="162" priority="1279" stopIfTrue="1" operator="equal">
      <formula>"Media"</formula>
    </cfRule>
    <cfRule type="cellIs" dxfId="161" priority="1280" stopIfTrue="1" operator="equal">
      <formula>"Baja"</formula>
    </cfRule>
    <cfRule type="cellIs" dxfId="160" priority="1281" stopIfTrue="1" operator="equal">
      <formula>"Muy Baja"</formula>
    </cfRule>
  </conditionalFormatting>
  <conditionalFormatting sqref="P25 P136">
    <cfRule type="cellIs" dxfId="159" priority="1249" stopIfTrue="1" operator="equal">
      <formula>"Muy Alta"</formula>
    </cfRule>
    <cfRule type="cellIs" dxfId="158" priority="1250" stopIfTrue="1" operator="equal">
      <formula>"Alta"</formula>
    </cfRule>
    <cfRule type="cellIs" dxfId="157" priority="1251" stopIfTrue="1" operator="equal">
      <formula>"Media"</formula>
    </cfRule>
    <cfRule type="cellIs" dxfId="156" priority="1252" stopIfTrue="1" operator="equal">
      <formula>"Baja"</formula>
    </cfRule>
    <cfRule type="cellIs" dxfId="155" priority="1253" stopIfTrue="1" operator="equal">
      <formula>"Muy Baja"</formula>
    </cfRule>
  </conditionalFormatting>
  <conditionalFormatting sqref="P27 P138">
    <cfRule type="cellIs" dxfId="154" priority="1221" stopIfTrue="1" operator="equal">
      <formula>"Muy Alta"</formula>
    </cfRule>
    <cfRule type="cellIs" dxfId="153" priority="1222" stopIfTrue="1" operator="equal">
      <formula>"Alta"</formula>
    </cfRule>
    <cfRule type="cellIs" dxfId="152" priority="1223" stopIfTrue="1" operator="equal">
      <formula>"Media"</formula>
    </cfRule>
    <cfRule type="cellIs" dxfId="151" priority="1224" stopIfTrue="1" operator="equal">
      <formula>"Baja"</formula>
    </cfRule>
    <cfRule type="cellIs" dxfId="150" priority="1225" stopIfTrue="1" operator="equal">
      <formula>"Muy Baja"</formula>
    </cfRule>
  </conditionalFormatting>
  <conditionalFormatting sqref="P29 P140">
    <cfRule type="cellIs" dxfId="149" priority="1193" stopIfTrue="1" operator="equal">
      <formula>"Muy Alta"</formula>
    </cfRule>
    <cfRule type="cellIs" dxfId="148" priority="1194" stopIfTrue="1" operator="equal">
      <formula>"Alta"</formula>
    </cfRule>
    <cfRule type="cellIs" dxfId="147" priority="1195" stopIfTrue="1" operator="equal">
      <formula>"Media"</formula>
    </cfRule>
    <cfRule type="cellIs" dxfId="146" priority="1196" stopIfTrue="1" operator="equal">
      <formula>"Baja"</formula>
    </cfRule>
    <cfRule type="cellIs" dxfId="145" priority="1197" stopIfTrue="1" operator="equal">
      <formula>"Muy Baja"</formula>
    </cfRule>
  </conditionalFormatting>
  <conditionalFormatting sqref="P38 P40 P55 P58 P61 P63 P68 P70 P72 P75:P76 P78 P83 P85:P91 P93 P98 P101 P103 P110:P113 P143 P145 P147 P149 P152 P156 P154 P158:P159 P164 P168 P170 P174 P180 P187 P183 P191 P199 P202 P206 P210 P215 P217 P220 P225 P229:P230 P232 P234 P236 P238 P245:P246 P248:P249 P193 P196 P80:P81 P42:P46 P105:P106">
    <cfRule type="cellIs" dxfId="144" priority="1137" stopIfTrue="1" operator="equal">
      <formula>"Muy Alta"</formula>
    </cfRule>
    <cfRule type="cellIs" dxfId="143" priority="1138" stopIfTrue="1" operator="equal">
      <formula>"Alta"</formula>
    </cfRule>
    <cfRule type="cellIs" dxfId="142" priority="1139" stopIfTrue="1" operator="equal">
      <formula>"Media"</formula>
    </cfRule>
    <cfRule type="cellIs" dxfId="141" priority="1140" stopIfTrue="1" operator="equal">
      <formula>"Baja"</formula>
    </cfRule>
    <cfRule type="cellIs" dxfId="140" priority="1141" stopIfTrue="1" operator="equal">
      <formula>"Muy Baja"</formula>
    </cfRule>
  </conditionalFormatting>
  <conditionalFormatting sqref="S245:S250 S13:S46 S101:S238 S55:S98">
    <cfRule type="containsText" dxfId="139" priority="1113" stopIfTrue="1" operator="containsText" text="❌">
      <formula>NOT(ISERROR(SEARCH("❌",S13)))</formula>
    </cfRule>
  </conditionalFormatting>
  <conditionalFormatting sqref="S13 S15 S17 S20 S22 S25 S27 S29 S33 S38 S40 S55 S58 S61 S63 S68 S70 S72 S75:S76 S78 S83 S85:S91 S93 S98 S101 S103 S110:S113 S116 S120 S124 S133 S135:S136 S138 S140:S141 S143 S145 S147 S149 S152 S154 S156 S158:S159 S164 S168 S170 S174 S180 S183 S187 S191 S199 S202 S206 S210 S215 S217 S220 S225 S229:S230 S232 S234 S236 S238 S245:S246 S248:S249 S127:S128 S193 S196 S131 S80:S81 S42:S46 S95:S96 S105:S106">
    <cfRule type="cellIs" dxfId="138" priority="1430" stopIfTrue="1" operator="equal">
      <formula>"Leve"</formula>
    </cfRule>
  </conditionalFormatting>
  <conditionalFormatting sqref="T13 T15 T17 T20 T22 T25 T27 T29 T33 T38 T40 T55 T58 T61 T63 T68 T70 T72 T75:T76 T78 T83 T85:T91 T93 T98 T101 T103 T110:T113 T116 T120 T124 T133 T135:T136 T138 T140:T141 T143 T145 T147 T149 T152 T154 T156 T158:T159 T164 T168 T170 T174 T180 T183 T187 T191 T199 T202 T206 T210 T215 T217 T220 T225 T229:T230 T232 T234 T236 T238 T245:T246 T248:T249 T127:T128 T193 T196 T131 T80:T81 T42:T46 T105:T106">
    <cfRule type="cellIs" dxfId="137" priority="971" stopIfTrue="1" operator="equal">
      <formula>"Catastrófico"</formula>
    </cfRule>
    <cfRule type="cellIs" dxfId="136" priority="972" stopIfTrue="1" operator="equal">
      <formula>"Mayor"</formula>
    </cfRule>
    <cfRule type="cellIs" dxfId="135" priority="973" stopIfTrue="1" operator="equal">
      <formula>"Moderado"</formula>
    </cfRule>
    <cfRule type="cellIs" dxfId="134" priority="974" stopIfTrue="1" operator="equal">
      <formula>"Menor"</formula>
    </cfRule>
    <cfRule type="cellIs" dxfId="133" priority="975" stopIfTrue="1" operator="equal">
      <formula>"Leve"</formula>
    </cfRule>
  </conditionalFormatting>
  <conditionalFormatting sqref="V13 V15 V17 V20 V22 V25 V27 V29 V33 V38 V40 V55 V58 V61 V63 V68 V70 V72 V75:V76 V78 V83 V85:V91 V93 V98 V101 V103 V110:V113 V116 V120 V124 V133 V135:V136 V138 V140:V141 V143 V145 V147 V149 V152 V154 V156 V158:V159 V164 V168 V170 V174 V180 V183 V187 V191 V199 V202 V206 V210 V215 V217 V220 V225 V229:V230 V232 V234 V236 V238 V245:V246 V248:V249 V127:V128 V193 V196 V131 V80:V81 V42:V46 V105:V106">
    <cfRule type="cellIs" dxfId="132" priority="967" stopIfTrue="1" operator="equal">
      <formula>"Extremo"</formula>
    </cfRule>
    <cfRule type="cellIs" dxfId="131" priority="968" stopIfTrue="1" operator="equal">
      <formula>"Alto"</formula>
    </cfRule>
    <cfRule type="cellIs" dxfId="130" priority="969" stopIfTrue="1" operator="equal">
      <formula>"Moderado"</formula>
    </cfRule>
    <cfRule type="cellIs" dxfId="129" priority="970" stopIfTrue="1" operator="equal">
      <formula>"Bajo"</formula>
    </cfRule>
  </conditionalFormatting>
  <conditionalFormatting sqref="AG239:AG241">
    <cfRule type="cellIs" dxfId="128" priority="117" stopIfTrue="1" operator="equal">
      <formula>"Muy Alta"</formula>
    </cfRule>
    <cfRule type="cellIs" dxfId="127" priority="118" stopIfTrue="1" operator="equal">
      <formula>"Alta"</formula>
    </cfRule>
    <cfRule type="cellIs" dxfId="126" priority="119" stopIfTrue="1" operator="equal">
      <formula>"Media"</formula>
    </cfRule>
    <cfRule type="cellIs" dxfId="125" priority="120" stopIfTrue="1" operator="equal">
      <formula>"Baja"</formula>
    </cfRule>
    <cfRule type="cellIs" dxfId="124" priority="121" stopIfTrue="1" operator="equal">
      <formula>"Muy Baja"</formula>
    </cfRule>
  </conditionalFormatting>
  <conditionalFormatting sqref="AI239:AI241">
    <cfRule type="cellIs" dxfId="123" priority="112" stopIfTrue="1" operator="equal">
      <formula>"Catastrófico"</formula>
    </cfRule>
    <cfRule type="cellIs" dxfId="122" priority="113" stopIfTrue="1" operator="equal">
      <formula>"Mayor"</formula>
    </cfRule>
    <cfRule type="cellIs" dxfId="121" priority="114" stopIfTrue="1" operator="equal">
      <formula>"Moderado"</formula>
    </cfRule>
    <cfRule type="cellIs" dxfId="120" priority="115" stopIfTrue="1" operator="equal">
      <formula>"Menor"</formula>
    </cfRule>
    <cfRule type="cellIs" dxfId="119" priority="116" stopIfTrue="1" operator="equal">
      <formula>"Leve"</formula>
    </cfRule>
  </conditionalFormatting>
  <conditionalFormatting sqref="AK239:AK241">
    <cfRule type="cellIs" dxfId="118" priority="108" stopIfTrue="1" operator="equal">
      <formula>"Extremo"</formula>
    </cfRule>
    <cfRule type="cellIs" dxfId="117" priority="109" stopIfTrue="1" operator="equal">
      <formula>"Alto"</formula>
    </cfRule>
    <cfRule type="cellIs" dxfId="116" priority="110" stopIfTrue="1" operator="equal">
      <formula>"Moderado"</formula>
    </cfRule>
    <cfRule type="cellIs" dxfId="115" priority="111" stopIfTrue="1" operator="equal">
      <formula>"Bajo"</formula>
    </cfRule>
  </conditionalFormatting>
  <conditionalFormatting sqref="P239">
    <cfRule type="cellIs" dxfId="114" priority="103" stopIfTrue="1" operator="equal">
      <formula>"Muy Alta"</formula>
    </cfRule>
    <cfRule type="cellIs" dxfId="113" priority="104" stopIfTrue="1" operator="equal">
      <formula>"Alta"</formula>
    </cfRule>
    <cfRule type="cellIs" dxfId="112" priority="105" stopIfTrue="1" operator="equal">
      <formula>"Media"</formula>
    </cfRule>
    <cfRule type="cellIs" dxfId="111" priority="106" stopIfTrue="1" operator="equal">
      <formula>"Baja"</formula>
    </cfRule>
    <cfRule type="cellIs" dxfId="110" priority="107" stopIfTrue="1" operator="equal">
      <formula>"Muy Baja"</formula>
    </cfRule>
  </conditionalFormatting>
  <conditionalFormatting sqref="S239:S241">
    <cfRule type="containsText" dxfId="109" priority="102" stopIfTrue="1" operator="containsText" text="❌">
      <formula>NOT(ISERROR(SEARCH("❌",S239)))</formula>
    </cfRule>
  </conditionalFormatting>
  <conditionalFormatting sqref="S239">
    <cfRule type="cellIs" dxfId="108" priority="122" stopIfTrue="1" operator="equal">
      <formula>"Leve"</formula>
    </cfRule>
  </conditionalFormatting>
  <conditionalFormatting sqref="T239">
    <cfRule type="cellIs" dxfId="107" priority="97" stopIfTrue="1" operator="equal">
      <formula>"Catastrófico"</formula>
    </cfRule>
    <cfRule type="cellIs" dxfId="106" priority="98" stopIfTrue="1" operator="equal">
      <formula>"Mayor"</formula>
    </cfRule>
    <cfRule type="cellIs" dxfId="105" priority="99" stopIfTrue="1" operator="equal">
      <formula>"Moderado"</formula>
    </cfRule>
    <cfRule type="cellIs" dxfId="104" priority="100" stopIfTrue="1" operator="equal">
      <formula>"Menor"</formula>
    </cfRule>
    <cfRule type="cellIs" dxfId="103" priority="101" stopIfTrue="1" operator="equal">
      <formula>"Leve"</formula>
    </cfRule>
  </conditionalFormatting>
  <conditionalFormatting sqref="V239">
    <cfRule type="cellIs" dxfId="102" priority="93" stopIfTrue="1" operator="equal">
      <formula>"Extremo"</formula>
    </cfRule>
    <cfRule type="cellIs" dxfId="101" priority="94" stopIfTrue="1" operator="equal">
      <formula>"Alto"</formula>
    </cfRule>
    <cfRule type="cellIs" dxfId="100" priority="95" stopIfTrue="1" operator="equal">
      <formula>"Moderado"</formula>
    </cfRule>
    <cfRule type="cellIs" dxfId="99" priority="96" stopIfTrue="1" operator="equal">
      <formula>"Bajo"</formula>
    </cfRule>
  </conditionalFormatting>
  <conditionalFormatting sqref="AG242:AG244">
    <cfRule type="cellIs" dxfId="98" priority="73" stopIfTrue="1" operator="equal">
      <formula>"Muy Alta"</formula>
    </cfRule>
    <cfRule type="cellIs" dxfId="97" priority="74" stopIfTrue="1" operator="equal">
      <formula>"Alta"</formula>
    </cfRule>
    <cfRule type="cellIs" dxfId="96" priority="75" stopIfTrue="1" operator="equal">
      <formula>"Media"</formula>
    </cfRule>
    <cfRule type="cellIs" dxfId="95" priority="76" stopIfTrue="1" operator="equal">
      <formula>"Baja"</formula>
    </cfRule>
    <cfRule type="cellIs" dxfId="94" priority="77" stopIfTrue="1" operator="equal">
      <formula>"Muy Baja"</formula>
    </cfRule>
  </conditionalFormatting>
  <conditionalFormatting sqref="AI242:AI244">
    <cfRule type="cellIs" dxfId="93" priority="68" stopIfTrue="1" operator="equal">
      <formula>"Catastrófico"</formula>
    </cfRule>
    <cfRule type="cellIs" dxfId="92" priority="69" stopIfTrue="1" operator="equal">
      <formula>"Mayor"</formula>
    </cfRule>
    <cfRule type="cellIs" dxfId="91" priority="70" stopIfTrue="1" operator="equal">
      <formula>"Moderado"</formula>
    </cfRule>
    <cfRule type="cellIs" dxfId="90" priority="71" stopIfTrue="1" operator="equal">
      <formula>"Menor"</formula>
    </cfRule>
    <cfRule type="cellIs" dxfId="89" priority="72" stopIfTrue="1" operator="equal">
      <formula>"Leve"</formula>
    </cfRule>
  </conditionalFormatting>
  <conditionalFormatting sqref="AK242:AK244">
    <cfRule type="cellIs" dxfId="88" priority="64" stopIfTrue="1" operator="equal">
      <formula>"Extremo"</formula>
    </cfRule>
    <cfRule type="cellIs" dxfId="87" priority="65" stopIfTrue="1" operator="equal">
      <formula>"Alto"</formula>
    </cfRule>
    <cfRule type="cellIs" dxfId="86" priority="66" stopIfTrue="1" operator="equal">
      <formula>"Moderado"</formula>
    </cfRule>
    <cfRule type="cellIs" dxfId="85" priority="67" stopIfTrue="1" operator="equal">
      <formula>"Bajo"</formula>
    </cfRule>
  </conditionalFormatting>
  <conditionalFormatting sqref="P242">
    <cfRule type="cellIs" dxfId="84" priority="59" stopIfTrue="1" operator="equal">
      <formula>"Muy Alta"</formula>
    </cfRule>
    <cfRule type="cellIs" dxfId="83" priority="60" stopIfTrue="1" operator="equal">
      <formula>"Alta"</formula>
    </cfRule>
    <cfRule type="cellIs" dxfId="82" priority="61" stopIfTrue="1" operator="equal">
      <formula>"Media"</formula>
    </cfRule>
    <cfRule type="cellIs" dxfId="81" priority="62" stopIfTrue="1" operator="equal">
      <formula>"Baja"</formula>
    </cfRule>
    <cfRule type="cellIs" dxfId="80" priority="63" stopIfTrue="1" operator="equal">
      <formula>"Muy Baja"</formula>
    </cfRule>
  </conditionalFormatting>
  <conditionalFormatting sqref="S242:S244">
    <cfRule type="containsText" dxfId="79" priority="58" stopIfTrue="1" operator="containsText" text="❌">
      <formula>NOT(ISERROR(SEARCH("❌",S242)))</formula>
    </cfRule>
  </conditionalFormatting>
  <conditionalFormatting sqref="S242">
    <cfRule type="cellIs" dxfId="78" priority="78" stopIfTrue="1" operator="equal">
      <formula>"Leve"</formula>
    </cfRule>
  </conditionalFormatting>
  <conditionalFormatting sqref="T242">
    <cfRule type="cellIs" dxfId="77" priority="53" stopIfTrue="1" operator="equal">
      <formula>"Catastrófico"</formula>
    </cfRule>
    <cfRule type="cellIs" dxfId="76" priority="54" stopIfTrue="1" operator="equal">
      <formula>"Mayor"</formula>
    </cfRule>
    <cfRule type="cellIs" dxfId="75" priority="55" stopIfTrue="1" operator="equal">
      <formula>"Moderado"</formula>
    </cfRule>
    <cfRule type="cellIs" dxfId="74" priority="56" stopIfTrue="1" operator="equal">
      <formula>"Menor"</formula>
    </cfRule>
    <cfRule type="cellIs" dxfId="73" priority="57" stopIfTrue="1" operator="equal">
      <formula>"Leve"</formula>
    </cfRule>
  </conditionalFormatting>
  <conditionalFormatting sqref="V242">
    <cfRule type="cellIs" dxfId="72" priority="49" stopIfTrue="1" operator="equal">
      <formula>"Extremo"</formula>
    </cfRule>
    <cfRule type="cellIs" dxfId="71" priority="50" stopIfTrue="1" operator="equal">
      <formula>"Alto"</formula>
    </cfRule>
    <cfRule type="cellIs" dxfId="70" priority="51" stopIfTrue="1" operator="equal">
      <formula>"Moderado"</formula>
    </cfRule>
    <cfRule type="cellIs" dxfId="69" priority="52" stopIfTrue="1" operator="equal">
      <formula>"Bajo"</formula>
    </cfRule>
  </conditionalFormatting>
  <conditionalFormatting sqref="AG131:AG132">
    <cfRule type="cellIs" dxfId="68" priority="24" stopIfTrue="1" operator="equal">
      <formula>"Muy Alta"</formula>
    </cfRule>
    <cfRule type="cellIs" dxfId="67" priority="25" stopIfTrue="1" operator="equal">
      <formula>"Alta"</formula>
    </cfRule>
    <cfRule type="cellIs" dxfId="66" priority="26" stopIfTrue="1" operator="equal">
      <formula>"Media"</formula>
    </cfRule>
    <cfRule type="cellIs" dxfId="65" priority="27" stopIfTrue="1" operator="equal">
      <formula>"Baja"</formula>
    </cfRule>
    <cfRule type="cellIs" dxfId="64" priority="28" stopIfTrue="1" operator="equal">
      <formula>"Muy Baja"</formula>
    </cfRule>
  </conditionalFormatting>
  <conditionalFormatting sqref="AI131:AI132">
    <cfRule type="cellIs" dxfId="63" priority="19" stopIfTrue="1" operator="equal">
      <formula>"Catastrófico"</formula>
    </cfRule>
    <cfRule type="cellIs" dxfId="62" priority="20" stopIfTrue="1" operator="equal">
      <formula>"Mayor"</formula>
    </cfRule>
    <cfRule type="cellIs" dxfId="61" priority="21" stopIfTrue="1" operator="equal">
      <formula>"Moderado"</formula>
    </cfRule>
    <cfRule type="cellIs" dxfId="60" priority="22" stopIfTrue="1" operator="equal">
      <formula>"Menor"</formula>
    </cfRule>
    <cfRule type="cellIs" dxfId="59" priority="23" stopIfTrue="1" operator="equal">
      <formula>"Leve"</formula>
    </cfRule>
  </conditionalFormatting>
  <conditionalFormatting sqref="AK131:AK132">
    <cfRule type="cellIs" dxfId="58" priority="15" stopIfTrue="1" operator="equal">
      <formula>"Extremo"</formula>
    </cfRule>
    <cfRule type="cellIs" dxfId="57" priority="16" stopIfTrue="1" operator="equal">
      <formula>"Alto"</formula>
    </cfRule>
    <cfRule type="cellIs" dxfId="56" priority="17" stopIfTrue="1" operator="equal">
      <formula>"Moderado"</formula>
    </cfRule>
    <cfRule type="cellIs" dxfId="55" priority="18" stopIfTrue="1" operator="equal">
      <formula>"Bajo"</formula>
    </cfRule>
  </conditionalFormatting>
  <conditionalFormatting sqref="AG42">
    <cfRule type="cellIs" dxfId="54" priority="10" stopIfTrue="1" operator="equal">
      <formula>"Muy Alta"</formula>
    </cfRule>
    <cfRule type="cellIs" dxfId="53" priority="11" stopIfTrue="1" operator="equal">
      <formula>"Alta"</formula>
    </cfRule>
    <cfRule type="cellIs" dxfId="52" priority="12" stopIfTrue="1" operator="equal">
      <formula>"Media"</formula>
    </cfRule>
    <cfRule type="cellIs" dxfId="51" priority="13" stopIfTrue="1" operator="equal">
      <formula>"Baja"</formula>
    </cfRule>
    <cfRule type="cellIs" dxfId="50" priority="14" stopIfTrue="1" operator="equal">
      <formula>"Muy Baja"</formula>
    </cfRule>
  </conditionalFormatting>
  <conditionalFormatting sqref="AI42">
    <cfRule type="cellIs" dxfId="49" priority="5" stopIfTrue="1" operator="equal">
      <formula>"Catastrófico"</formula>
    </cfRule>
    <cfRule type="cellIs" dxfId="48" priority="6" stopIfTrue="1" operator="equal">
      <formula>"Mayor"</formula>
    </cfRule>
    <cfRule type="cellIs" dxfId="47" priority="7" stopIfTrue="1" operator="equal">
      <formula>"Moderado"</formula>
    </cfRule>
    <cfRule type="cellIs" dxfId="46" priority="8" stopIfTrue="1" operator="equal">
      <formula>"Menor"</formula>
    </cfRule>
    <cfRule type="cellIs" dxfId="45" priority="9" stopIfTrue="1" operator="equal">
      <formula>"Leve"</formula>
    </cfRule>
  </conditionalFormatting>
  <conditionalFormatting sqref="AK42">
    <cfRule type="cellIs" dxfId="44" priority="1" stopIfTrue="1" operator="equal">
      <formula>"Extremo"</formula>
    </cfRule>
    <cfRule type="cellIs" dxfId="43" priority="2" stopIfTrue="1" operator="equal">
      <formula>"Alto"</formula>
    </cfRule>
    <cfRule type="cellIs" dxfId="42" priority="3" stopIfTrue="1" operator="equal">
      <formula>"Moderado"</formula>
    </cfRule>
    <cfRule type="cellIs" dxfId="41" priority="4" stopIfTrue="1" operator="equal">
      <formula>"Bajo"</formula>
    </cfRule>
  </conditionalFormatting>
  <pageMargins left="0.70866141732283472" right="0.70866141732283472" top="0.74803149606299213" bottom="0.74803149606299213" header="0.31496062992125984" footer="0.31496062992125984"/>
  <pageSetup scale="15" fitToWidth="2" fitToHeight="20" orientation="landscape" r:id="rId1"/>
  <rowBreaks count="13" manualBreakCount="13">
    <brk id="24" min="1" max="43" man="1"/>
    <brk id="42" min="1" max="43" man="1"/>
    <brk id="54" min="1" max="43" man="1"/>
    <brk id="71" min="1" max="43" man="1"/>
    <brk id="85" max="43" man="1"/>
    <brk id="97" min="1" max="43" man="1"/>
    <brk id="115" min="1" max="43" man="1"/>
    <brk id="151" min="1" max="43" man="1"/>
    <brk id="173" min="1" max="43" man="1"/>
    <brk id="190" min="1" max="43" man="1"/>
    <brk id="209" min="1" max="43" man="1"/>
    <brk id="231" min="1" max="43" man="1"/>
    <brk id="245" min="1" max="43" man="1"/>
  </rowBreaks>
  <colBreaks count="1" manualBreakCount="1">
    <brk id="22" max="257" man="1"/>
  </colBreaks>
  <ignoredErrors>
    <ignoredError sqref="AF15 AF17 AF20 AF22 AF25 AF27 AF29 AF33 AF38 AF40 AF43 AF44 AF45 AF46 AF55 AF58 AF61 AF63 AF68 AF70 AF72 AF75 AF76 AF78 AF81 AF83 AF85 AF86 AF87 AF88 AF89 AF90 AF91 AF93 AF95 AF96 AF98 AF101 AF103 AF106 AF110 AF111 AF112 AF113 AF116 AF120 AF124 AF133 AF135 AF136 AF138 AF140 AF141 AF143 AF145 AF147 AF149 AF152 AF154 AF156 AF158 AF159 AF164 AF168 AF170 AF174 AF180 AF183 AF187 AF191 AF199 AF202 AF206 AF210 AF215 AF217 AF220 AF225 AF229 AF230 AF232 AF234 AF236 AF238 AF245 AF246"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503" id="{A09C5F6F-733E-40DA-9A0E-34C9FCA4D387}">
            <xm:f>M13='Opciones Tratamiento'!$C$11</xm:f>
            <x14:dxf>
              <fill>
                <patternFill patternType="darkGray"/>
              </fill>
            </x14:dxf>
          </x14:cfRule>
          <x14:cfRule type="expression" priority="1504" id="{46577976-4003-45B7-BD2C-6725E691A4CE}">
            <xm:f>M13='Opciones Tratamiento'!$C$10</xm:f>
            <x14:dxf>
              <fill>
                <patternFill patternType="darkGray"/>
              </fill>
            </x14:dxf>
          </x14:cfRule>
          <x14:cfRule type="expression" priority="1505" id="{49A353F6-ADF2-4B65-93C6-4AE97D972ED8}">
            <xm:f>M13='Opciones Tratamiento'!$C$7</xm:f>
            <x14:dxf>
              <fill>
                <patternFill patternType="darkGray"/>
              </fill>
            </x14:dxf>
          </x14:cfRule>
          <x14:cfRule type="expression" priority="1506" id="{23AF7F7E-8614-4ED6-96C9-4FA7C6421417}">
            <xm:f>M13='Opciones Tratamiento'!$C$6</xm:f>
            <x14:dxf>
              <fill>
                <patternFill patternType="darkGray"/>
              </fill>
            </x14:dxf>
          </x14:cfRule>
          <x14:cfRule type="expression" priority="1507" id="{A7F83DCF-1DAC-450F-9729-979E83F33745}">
            <xm:f>M13='Opciones Tratamiento'!$C$9</xm:f>
            <x14:dxf>
              <fill>
                <patternFill patternType="darkGray"/>
              </fill>
            </x14:dxf>
          </x14:cfRule>
          <x14:cfRule type="expression" priority="1508" id="{DC1A034C-4F1B-4EF9-A785-817A9B34E74A}">
            <xm:f>M13='Opciones Tratamiento'!$C$8</xm:f>
            <x14:dxf>
              <fill>
                <patternFill patternType="darkGray"/>
              </fill>
            </x14:dxf>
          </x14:cfRule>
          <x14:cfRule type="expression" priority="1509" id="{A57A189D-FAB6-4DE0-A123-BAC3D8B8E036}">
            <xm:f>M13='Opciones Tratamiento'!$C$5</xm:f>
            <x14:dxf>
              <fill>
                <patternFill patternType="darkGray"/>
              </fill>
            </x14:dxf>
          </x14:cfRule>
          <xm:sqref>N13:N28 N43:N51 N101:N250 N55:N99</xm:sqref>
        </x14:conditionalFormatting>
        <x14:conditionalFormatting xmlns:xm="http://schemas.microsoft.com/office/excel/2006/main">
          <x14:cfRule type="expression" priority="1510" id="{B522B72E-FB29-4C71-A6FD-C3693F9D0912}">
            <xm:f>M13='Opciones Tratamiento'!$C$12</xm:f>
            <x14:dxf>
              <fill>
                <patternFill patternType="darkGray">
                  <bgColor auto="1"/>
                </patternFill>
              </fill>
            </x14:dxf>
          </x14:cfRule>
          <xm:sqref>N13:N28 N43:N51 N101:N250 N55:N99</xm:sqref>
        </x14:conditionalFormatting>
        <x14:conditionalFormatting xmlns:xm="http://schemas.microsoft.com/office/excel/2006/main">
          <x14:cfRule type="expression" priority="169" id="{8CE4DD0D-FB0C-4382-937F-A39C5A4B4166}">
            <xm:f>M13='Opciones Tratamiento'!$C$18</xm:f>
            <x14:dxf>
              <fill>
                <patternFill patternType="darkGray"/>
              </fill>
            </x14:dxf>
          </x14:cfRule>
          <x14:cfRule type="expression" priority="170" id="{8B8E0C80-AA9C-4F6D-93EB-3C9181B404E5}">
            <xm:f>M13='Opciones Tratamiento'!$C$17</xm:f>
            <x14:dxf>
              <fill>
                <patternFill patternType="darkGray"/>
              </fill>
            </x14:dxf>
          </x14:cfRule>
          <x14:cfRule type="expression" priority="171" id="{CE3DBFEB-3F94-4BEA-851A-A062EE4F1804}">
            <xm:f>M13='Opciones Tratamiento'!$C$16</xm:f>
            <x14:dxf>
              <fill>
                <patternFill patternType="darkGray"/>
              </fill>
            </x14:dxf>
          </x14:cfRule>
          <x14:cfRule type="expression" priority="172" id="{E0DB60F0-8B95-480A-ABA7-09DB8FAFDB82}">
            <xm:f>M13='Opciones Tratamiento'!$C$15</xm:f>
            <x14:dxf>
              <fill>
                <patternFill patternType="darkGray"/>
              </fill>
            </x14:dxf>
          </x14:cfRule>
          <x14:cfRule type="expression" priority="173" id="{63593A40-61ED-49E1-A345-DE2A1C9F728B}">
            <xm:f>M13='Opciones Tratamiento'!$C$14</xm:f>
            <x14:dxf>
              <fill>
                <patternFill patternType="darkGray"/>
              </fill>
            </x14:dxf>
          </x14:cfRule>
          <x14:cfRule type="expression" priority="174" id="{B53650AD-C0C1-4A2F-BE44-26F5BD6C26D3}">
            <xm:f>M13='Opciones Tratamiento'!$C$13</xm:f>
            <x14:dxf>
              <fill>
                <patternFill patternType="darkGray"/>
              </fill>
            </x14:dxf>
          </x14:cfRule>
          <xm:sqref>N13:N28 N43:N51 N101:N250 N55:N99</xm:sqref>
        </x14:conditionalFormatting>
        <x14:conditionalFormatting xmlns:xm="http://schemas.microsoft.com/office/excel/2006/main">
          <x14:cfRule type="expression" priority="161" id="{02F55451-7AE7-4899-A6D8-30CB74F56DE7}">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2" id="{D3FA1C27-262B-4858-869F-0B18247CEF0C}">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3" id="{1DB62160-5D1C-4C7F-8CCE-310A928E7456}">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4" id="{BA405024-2A2A-48C3-A7F2-CB1317093C83}">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5" id="{94BC175C-1BFA-416E-A737-0A577918E9B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6" id="{1013E2C3-7987-4BC1-89DD-DBA955EFE04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7" id="{9B6D3B9A-F8F2-4321-BA39-A76A442BB2D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68" id="{195ACEBE-5FD6-4DB3-84E6-9A7CBE1CDA46}">
            <xm:f>M29='C:\Users\nicolas.corredor\OneDrive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N29:N32</xm:sqref>
        </x14:conditionalFormatting>
        <x14:conditionalFormatting xmlns:xm="http://schemas.microsoft.com/office/excel/2006/main">
          <x14:cfRule type="expression" priority="155" id="{CAD6FA93-B1B0-460A-ADE1-963DC7AB42B0}">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6" id="{D5A53E1A-D484-47BF-854F-FD39C5B7D29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7" id="{BFC9FC19-362D-462F-8B27-FD2AE3CEDF2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8" id="{BE04C893-E075-4F9E-8248-54076C79B96E}">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9" id="{C7A7ECCF-773D-4965-B9D0-14BD42A2C054}">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0" id="{7733531A-461C-4C51-BBFF-19F62758DA6F}">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54" id="{B85F2A6A-737F-4DC5-B06F-6D55070BB6C4}">
            <xm:f>M33='C:\Users\nicolas.corredor\OneDrive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N33:N42</xm:sqref>
        </x14:conditionalFormatting>
        <x14:conditionalFormatting xmlns:xm="http://schemas.microsoft.com/office/excel/2006/main">
          <x14:cfRule type="expression" priority="147" id="{20F10899-E487-4B9D-AA2F-578D98295B3D}">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8" id="{6EF100F9-E69B-4CB8-9F7B-ED81C36F2A2C}">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9" id="{D96C9B48-7416-4522-9568-343556674F2E}">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0" id="{B4D01437-B772-4A4A-9636-A6D4AFA541BA}">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1" id="{03B9EBBE-51D7-4013-B5D0-E9B10DE91068}">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2" id="{3FC8F8E6-0288-4800-99E6-14347722F7B3}">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3" id="{FA672467-34A8-4D61-A128-FB665B876991}">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N33:N42</xm:sqref>
        </x14:conditionalFormatting>
      </x14:conditionalFormattings>
    </ext>
    <ext xmlns:x14="http://schemas.microsoft.com/office/spreadsheetml/2009/9/main" uri="{CCE6A557-97BC-4b89-ADB6-D9C93CAAB3DF}">
      <x14:dataValidations xmlns:xm="http://schemas.microsoft.com/office/excel/2006/main" count="20">
        <x14:dataValidation type="list" allowBlank="1" showInputMessage="1" showErrorMessage="1">
          <x14:formula1>
            <xm:f>'Opciones Tratamiento'!$B$4:$B$7</xm:f>
          </x14:formula1>
          <xm:sqref>E46:E51 E105 E13:E16 E17:E19 E20:E21</xm:sqref>
        </x14:dataValidation>
        <x14:dataValidation type="list" allowBlank="1" showInputMessage="1" showErrorMessage="1">
          <x14:formula1>
            <xm:f>'Opciones Tratamiento'!$D$4:$D$17</xm:f>
          </x14:formula1>
          <xm:sqref>R13:R51 R101:R250 R55:R99</xm:sqref>
        </x14:dataValidation>
        <x14:dataValidation type="list" allowBlank="1" showInputMessage="1" showErrorMessage="1">
          <x14:formula1>
            <xm:f>'Opciones Tratamiento'!$B$34:$B$49</xm:f>
          </x14:formula1>
          <xm:sqref>AR17:AR18 AR22 C101:C135 C13:C28 E43:E45 C43:C51 C68:C75 E68:E75 C242 E133:E135 E170:E198 C170:C198 E245:E250 E232:E238 C245:C250 C232:C239 E80:E99 E101:E104 E106:E126 E22:E27 C78:C99</xm:sqref>
        </x14:dataValidation>
        <x14:dataValidation type="list" allowBlank="1" showInputMessage="1" showErrorMessage="1">
          <x14:formula1>
            <xm:f>'Opciones Tratamiento'!$C$27:$C$29</xm:f>
          </x14:formula1>
          <xm:sqref>AR35:AR37 AR40 AR180:AR182 AR13:AR16 AR19:AR21 AR25:AR32 AR124 AR191:AR198 AR202:AR229 AR232:AR248 AR143:AR170 AR127:AR141 AR43:AR120</xm:sqref>
        </x14:dataValidation>
        <x14:dataValidation type="list" allowBlank="1" showInputMessage="1" showErrorMessage="1">
          <x14:formula1>
            <xm:f>'Opciones Tratamiento'!$C$4:$C$23</xm:f>
          </x14:formula1>
          <xm:sqref>M133:M250 M13:M51 M101:M127 M55:M99</xm:sqref>
        </x14:dataValidation>
        <x14:dataValidation type="list" allowBlank="1" showInputMessage="1" showErrorMessage="1">
          <x14:formula1>
            <xm:f>'[3]Opciones Tratamiento'!#REF!</xm:f>
          </x14:formula1>
          <xm:sqref>AR33:AR34 AR38:AR39 C29:C42 E29:E42</xm:sqref>
        </x14:dataValidation>
        <x14:dataValidation type="list" allowBlank="1" showInputMessage="1" showErrorMessage="1">
          <x14:formula1>
            <xm:f>'[4]Opciones Tratamiento'!#REF!</xm:f>
          </x14:formula1>
          <xm:sqref>C55:C67 E55:E67 E76:E79 C76:C77</xm:sqref>
        </x14:dataValidation>
        <x14:dataValidation type="list" allowBlank="1" showInputMessage="1" showErrorMessage="1">
          <x14:formula1>
            <xm:f>'[5]Opciones Tratamiento'!#REF!</xm:f>
          </x14:formula1>
          <xm:sqref>C136:C169 E239:E244 E136:E169</xm:sqref>
        </x14:dataValidation>
        <x14:dataValidation type="list" allowBlank="1" showInputMessage="1" showErrorMessage="1">
          <x14:formula1>
            <xm:f>'[6]Opciones Tratamiento'!#REF!</xm:f>
          </x14:formula1>
          <xm:sqref>AR174 AR183 AR187</xm:sqref>
        </x14:dataValidation>
        <x14:dataValidation type="list" allowBlank="1" showInputMessage="1" showErrorMessage="1">
          <x14:formula1>
            <xm:f>'[7]Opciones Tratamiento'!#REF!</xm:f>
          </x14:formula1>
          <xm:sqref>AR199 AR230</xm:sqref>
        </x14:dataValidation>
        <x14:dataValidation type="list" allowBlank="1" showInputMessage="1" showErrorMessage="1">
          <x14:formula1>
            <xm:f>'[8]Opciones Tratamiento'!#REF!</xm:f>
          </x14:formula1>
          <xm:sqref>AR249:AR250</xm:sqref>
        </x14:dataValidation>
        <x14:dataValidation type="list" allowBlank="1" showInputMessage="1" showErrorMessage="1">
          <x14:formula1>
            <xm:f>'[9]Opciones Tratamiento'!#REF!</xm:f>
          </x14:formula1>
          <xm:sqref>E127:E132 M128:M132</xm:sqref>
        </x14:dataValidation>
        <x14:dataValidation type="list" allowBlank="1" showInputMessage="1" showErrorMessage="1">
          <x14:formula1>
            <xm:f>'[10]Opciones Tratamiento'!#REF!</xm:f>
          </x14:formula1>
          <xm:sqref>C199:C231 E199:E231</xm:sqref>
        </x14:dataValidation>
        <x14:dataValidation type="list" allowBlank="1" showInputMessage="1" showErrorMessage="1">
          <x14:formula1>
            <xm:f>'[11]Opciones Tratamiento'!#REF!</xm:f>
          </x14:formula1>
          <xm:sqref>AR42</xm:sqref>
        </x14:dataValidation>
        <x14:dataValidation type="list" allowBlank="1" showInputMessage="1" showErrorMessage="1">
          <x14:formula1>
            <xm:f>'Tabla Valoración controles'!$D$4:$D$6</xm:f>
          </x14:formula1>
          <xm:sqref>Z13:Z250</xm:sqref>
        </x14:dataValidation>
        <x14:dataValidation type="list" allowBlank="1" showInputMessage="1" showErrorMessage="1">
          <x14:formula1>
            <xm:f>'Tabla Valoración controles'!$D$7:$D$8</xm:f>
          </x14:formula1>
          <xm:sqref>AA13:AA250</xm:sqref>
        </x14:dataValidation>
        <x14:dataValidation type="list" allowBlank="1" showInputMessage="1" showErrorMessage="1">
          <x14:formula1>
            <xm:f>'Tabla Valoración controles'!$D$9:$D$10</xm:f>
          </x14:formula1>
          <xm:sqref>AC13:AC250</xm:sqref>
        </x14:dataValidation>
        <x14:dataValidation type="list" allowBlank="1" showInputMessage="1" showErrorMessage="1">
          <x14:formula1>
            <xm:f>'Tabla Valoración controles'!$D$11:$D$12</xm:f>
          </x14:formula1>
          <xm:sqref>AD13:AD250</xm:sqref>
        </x14:dataValidation>
        <x14:dataValidation type="list" allowBlank="1" showInputMessage="1" showErrorMessage="1">
          <x14:formula1>
            <xm:f>'Opciones Tratamiento'!$B$27:$B$31</xm:f>
          </x14:formula1>
          <xm:sqref>AL13:AL250</xm:sqref>
        </x14:dataValidation>
        <x14:dataValidation type="list" allowBlank="1" showInputMessage="1" showErrorMessage="1">
          <x14:formula1>
            <xm:f>'Tabla Valoración controles'!$D$13:$D$14</xm:f>
          </x14:formula1>
          <xm:sqref>AE13:AE250</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7" zoomScale="40" zoomScaleNormal="40" zoomScaleSheetLayoutView="40" workbookViewId="0">
      <selection activeCell="D10" sqref="D10:D11"/>
    </sheetView>
  </sheetViews>
  <sheetFormatPr baseColWidth="10" defaultColWidth="11.42578125" defaultRowHeight="16.5" x14ac:dyDescent="0.25"/>
  <cols>
    <col min="1" max="1" width="81.42578125" style="266" customWidth="1"/>
    <col min="2" max="2" width="22.28515625" style="266" bestFit="1" customWidth="1"/>
    <col min="3" max="3" width="100.28515625" style="266" customWidth="1"/>
    <col min="4" max="4" width="90.5703125" style="266" customWidth="1"/>
    <col min="5" max="5" width="42.28515625" style="266" customWidth="1"/>
    <col min="6" max="6" width="91" style="266" customWidth="1"/>
    <col min="7" max="8" width="48.140625" style="266" customWidth="1"/>
    <col min="9" max="10" width="90.85546875" style="266" customWidth="1"/>
    <col min="11" max="11" width="48.28515625" style="266" customWidth="1"/>
    <col min="12" max="12" width="35.42578125" style="266" customWidth="1"/>
    <col min="13" max="13" width="68.85546875" style="266" customWidth="1"/>
    <col min="14" max="14" width="20.42578125" style="266" customWidth="1"/>
    <col min="15" max="15" width="35.85546875" style="266" customWidth="1"/>
    <col min="16" max="16384" width="11.42578125" style="266"/>
  </cols>
  <sheetData>
    <row r="1" spans="1:70" s="255" customFormat="1" ht="24" thickBot="1" x14ac:dyDescent="0.3">
      <c r="A1" s="253"/>
      <c r="B1" s="253"/>
      <c r="C1" s="253"/>
      <c r="D1" s="253"/>
      <c r="E1" s="253"/>
      <c r="F1" s="253"/>
      <c r="G1" s="253"/>
      <c r="H1" s="253"/>
      <c r="I1" s="253"/>
      <c r="J1" s="253"/>
      <c r="K1" s="253"/>
      <c r="L1" s="253"/>
      <c r="M1" s="253"/>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54"/>
      <c r="BB1" s="254"/>
      <c r="BC1" s="254"/>
      <c r="BD1" s="254"/>
      <c r="BE1" s="254"/>
      <c r="BF1" s="254"/>
      <c r="BG1" s="254"/>
      <c r="BH1" s="254"/>
      <c r="BI1" s="254"/>
      <c r="BJ1" s="254"/>
      <c r="BK1" s="254"/>
      <c r="BL1" s="254"/>
      <c r="BM1" s="254"/>
      <c r="BN1" s="254"/>
      <c r="BO1" s="254"/>
      <c r="BP1" s="254"/>
      <c r="BQ1" s="254"/>
      <c r="BR1" s="254"/>
    </row>
    <row r="2" spans="1:70" s="255" customFormat="1" ht="70.5" customHeight="1" x14ac:dyDescent="0.25">
      <c r="A2" s="459" t="s">
        <v>60</v>
      </c>
      <c r="B2" s="460"/>
      <c r="C2" s="460"/>
      <c r="D2" s="477" t="s">
        <v>106</v>
      </c>
      <c r="E2" s="478"/>
      <c r="F2" s="478"/>
      <c r="G2" s="478"/>
      <c r="H2" s="478"/>
      <c r="I2" s="478"/>
      <c r="J2" s="478"/>
      <c r="K2" s="478"/>
      <c r="L2" s="479"/>
      <c r="M2" s="461" t="s">
        <v>107</v>
      </c>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row>
    <row r="3" spans="1:70" s="255" customFormat="1" ht="34.5" customHeight="1" x14ac:dyDescent="0.25">
      <c r="A3" s="463"/>
      <c r="B3" s="464"/>
      <c r="C3" s="464"/>
      <c r="D3" s="471" t="s">
        <v>63</v>
      </c>
      <c r="E3" s="472"/>
      <c r="F3" s="472"/>
      <c r="G3" s="472"/>
      <c r="H3" s="472"/>
      <c r="I3" s="472"/>
      <c r="J3" s="472"/>
      <c r="K3" s="472"/>
      <c r="L3" s="473"/>
      <c r="M3" s="462"/>
      <c r="N3" s="256"/>
      <c r="O3" s="256"/>
      <c r="P3" s="256"/>
      <c r="Q3" s="256"/>
      <c r="R3" s="256"/>
      <c r="S3" s="256"/>
      <c r="T3" s="256"/>
      <c r="X3" s="254"/>
      <c r="Y3" s="254"/>
      <c r="Z3" s="254"/>
      <c r="AA3" s="254"/>
      <c r="AB3" s="254"/>
      <c r="AC3" s="254"/>
      <c r="AD3" s="254"/>
      <c r="AE3" s="254"/>
      <c r="AF3" s="254"/>
      <c r="AG3" s="254"/>
      <c r="AH3" s="254"/>
      <c r="AI3" s="254"/>
      <c r="AJ3" s="254"/>
      <c r="AK3" s="254"/>
      <c r="AL3" s="254"/>
      <c r="AM3" s="254"/>
      <c r="AN3" s="254"/>
      <c r="AO3" s="254"/>
      <c r="AP3" s="254"/>
      <c r="AQ3" s="254"/>
      <c r="AR3" s="254"/>
      <c r="AS3" s="254"/>
      <c r="AT3" s="254"/>
      <c r="AU3" s="254"/>
      <c r="AV3" s="254"/>
      <c r="AW3" s="254"/>
      <c r="AX3" s="254"/>
      <c r="AY3" s="254"/>
      <c r="AZ3" s="254"/>
      <c r="BA3" s="254"/>
      <c r="BB3" s="254"/>
      <c r="BC3" s="254"/>
      <c r="BD3" s="254"/>
      <c r="BE3" s="254"/>
      <c r="BF3" s="254"/>
      <c r="BG3" s="254"/>
      <c r="BH3" s="254"/>
      <c r="BI3" s="254"/>
      <c r="BJ3" s="254"/>
      <c r="BK3" s="254"/>
      <c r="BL3" s="254"/>
      <c r="BM3" s="254"/>
      <c r="BN3" s="254"/>
      <c r="BO3" s="254"/>
      <c r="BP3" s="254"/>
      <c r="BQ3" s="254"/>
      <c r="BR3" s="254"/>
    </row>
    <row r="4" spans="1:70" s="255" customFormat="1" ht="34.5" customHeight="1" x14ac:dyDescent="0.25">
      <c r="A4" s="463"/>
      <c r="B4" s="464"/>
      <c r="C4" s="464"/>
      <c r="D4" s="474"/>
      <c r="E4" s="475"/>
      <c r="F4" s="475"/>
      <c r="G4" s="475"/>
      <c r="H4" s="475"/>
      <c r="I4" s="475"/>
      <c r="J4" s="475"/>
      <c r="K4" s="475"/>
      <c r="L4" s="476"/>
      <c r="M4" s="257" t="s">
        <v>64</v>
      </c>
      <c r="N4" s="254"/>
      <c r="P4" s="258"/>
      <c r="Q4" s="258"/>
      <c r="R4" s="258"/>
      <c r="S4" s="258"/>
      <c r="T4" s="258"/>
      <c r="U4" s="258"/>
      <c r="V4" s="258"/>
      <c r="W4" s="258"/>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row>
    <row r="5" spans="1:70" s="255" customFormat="1" ht="34.5" customHeight="1" x14ac:dyDescent="0.25">
      <c r="A5" s="463"/>
      <c r="B5" s="464"/>
      <c r="C5" s="464"/>
      <c r="D5" s="483" t="s">
        <v>65</v>
      </c>
      <c r="E5" s="484"/>
      <c r="F5" s="484"/>
      <c r="G5" s="484"/>
      <c r="H5" s="484"/>
      <c r="I5" s="484"/>
      <c r="J5" s="484"/>
      <c r="K5" s="484"/>
      <c r="L5" s="485"/>
      <c r="M5" s="257" t="s">
        <v>108</v>
      </c>
      <c r="N5" s="254"/>
      <c r="P5" s="258"/>
      <c r="Q5" s="258"/>
      <c r="R5" s="258"/>
      <c r="S5" s="258"/>
      <c r="T5" s="258"/>
      <c r="U5" s="258"/>
      <c r="V5" s="258"/>
      <c r="W5" s="258"/>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row>
    <row r="6" spans="1:70" s="255" customFormat="1" ht="34.5" customHeight="1" x14ac:dyDescent="0.25">
      <c r="A6" s="463"/>
      <c r="B6" s="464"/>
      <c r="C6" s="464"/>
      <c r="D6" s="480" t="s">
        <v>67</v>
      </c>
      <c r="E6" s="481"/>
      <c r="F6" s="481"/>
      <c r="G6" s="481"/>
      <c r="H6" s="481"/>
      <c r="I6" s="481"/>
      <c r="J6" s="481"/>
      <c r="K6" s="481"/>
      <c r="L6" s="482"/>
      <c r="M6" s="257" t="s">
        <v>68</v>
      </c>
      <c r="N6" s="254"/>
      <c r="P6" s="259"/>
      <c r="Q6" s="259"/>
      <c r="R6" s="259"/>
      <c r="S6" s="259"/>
      <c r="T6" s="259"/>
      <c r="U6" s="259"/>
      <c r="V6" s="259"/>
      <c r="W6" s="259"/>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row>
    <row r="7" spans="1:70" s="255" customFormat="1" ht="33" customHeight="1" thickBot="1" x14ac:dyDescent="0.3">
      <c r="A7" s="465"/>
      <c r="B7" s="466"/>
      <c r="C7" s="466"/>
      <c r="D7" s="466"/>
      <c r="E7" s="466"/>
      <c r="F7" s="466"/>
      <c r="G7" s="466"/>
      <c r="H7" s="466"/>
      <c r="I7" s="466"/>
      <c r="J7" s="466"/>
      <c r="K7" s="466"/>
      <c r="L7" s="466"/>
      <c r="M7" s="467"/>
      <c r="N7" s="254"/>
      <c r="O7" s="259"/>
      <c r="P7" s="259"/>
      <c r="Q7" s="259"/>
      <c r="R7" s="259"/>
      <c r="S7" s="259"/>
      <c r="T7" s="259"/>
      <c r="U7" s="259"/>
      <c r="V7" s="259"/>
      <c r="W7" s="259"/>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row>
    <row r="8" spans="1:70" s="255" customFormat="1" ht="29.25" customHeight="1" x14ac:dyDescent="0.25">
      <c r="A8" s="260"/>
      <c r="B8" s="253"/>
      <c r="C8" s="261"/>
      <c r="D8" s="261"/>
      <c r="E8" s="261"/>
      <c r="F8" s="261"/>
      <c r="G8" s="261"/>
      <c r="H8" s="261"/>
      <c r="I8" s="261"/>
      <c r="J8" s="261"/>
      <c r="K8" s="261"/>
      <c r="L8" s="261"/>
      <c r="M8" s="261"/>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row>
    <row r="9" spans="1:70" s="255" customFormat="1" ht="177" customHeight="1" x14ac:dyDescent="0.25">
      <c r="A9" s="468" t="s">
        <v>937</v>
      </c>
      <c r="B9" s="469"/>
      <c r="C9" s="469"/>
      <c r="D9" s="469"/>
      <c r="E9" s="469"/>
      <c r="F9" s="469"/>
      <c r="G9" s="469"/>
      <c r="H9" s="469"/>
      <c r="I9" s="469"/>
      <c r="J9" s="469"/>
      <c r="K9" s="469"/>
      <c r="L9" s="469"/>
      <c r="M9" s="469"/>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row>
    <row r="10" spans="1:70" s="255" customFormat="1" ht="106.5" customHeight="1" x14ac:dyDescent="0.25">
      <c r="A10" s="470" t="s">
        <v>109</v>
      </c>
      <c r="B10" s="470" t="s">
        <v>110</v>
      </c>
      <c r="C10" s="470"/>
      <c r="D10" s="470" t="s">
        <v>111</v>
      </c>
      <c r="E10" s="470" t="s">
        <v>112</v>
      </c>
      <c r="F10" s="470" t="s">
        <v>113</v>
      </c>
      <c r="G10" s="470"/>
      <c r="H10" s="470"/>
      <c r="I10" s="470"/>
      <c r="J10" s="470"/>
      <c r="K10" s="470"/>
      <c r="L10" s="470"/>
      <c r="M10" s="470"/>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row>
    <row r="11" spans="1:70" s="255" customFormat="1" ht="206.25" customHeight="1" x14ac:dyDescent="0.25">
      <c r="A11" s="470"/>
      <c r="B11" s="262" t="s">
        <v>114</v>
      </c>
      <c r="C11" s="262" t="s">
        <v>21</v>
      </c>
      <c r="D11" s="470"/>
      <c r="E11" s="470"/>
      <c r="F11" s="262" t="s">
        <v>115</v>
      </c>
      <c r="G11" s="262" t="s">
        <v>116</v>
      </c>
      <c r="H11" s="262" t="s">
        <v>117</v>
      </c>
      <c r="I11" s="262" t="s">
        <v>118</v>
      </c>
      <c r="J11" s="262" t="s">
        <v>119</v>
      </c>
      <c r="K11" s="262" t="s">
        <v>93</v>
      </c>
      <c r="L11" s="262" t="s">
        <v>120</v>
      </c>
      <c r="M11" s="262" t="s">
        <v>121</v>
      </c>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row>
    <row r="12" spans="1:70" s="264" customFormat="1" ht="92.25" customHeight="1" x14ac:dyDescent="0.25">
      <c r="A12" s="455" t="str">
        <f>A9</f>
        <v>MATRIZ DE MONITOREO DE RIESGOS I TRIMESTRE
(ENERO - MARZO)</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58"/>
      <c r="E12" s="458"/>
      <c r="F12" s="454" t="str">
        <f t="shared" ref="F12:M12" si="0">IFERROR(IF($E12="","No",IF($E12="No","No"," "))," ")</f>
        <v>No</v>
      </c>
      <c r="G12" s="454" t="str">
        <f t="shared" si="0"/>
        <v>No</v>
      </c>
      <c r="H12" s="454" t="str">
        <f t="shared" si="0"/>
        <v>No</v>
      </c>
      <c r="I12" s="454" t="str">
        <f t="shared" si="0"/>
        <v>No</v>
      </c>
      <c r="J12" s="454" t="str">
        <f t="shared" si="0"/>
        <v>No</v>
      </c>
      <c r="K12" s="454" t="str">
        <f t="shared" si="0"/>
        <v>No</v>
      </c>
      <c r="L12" s="454" t="str">
        <f t="shared" si="0"/>
        <v>No</v>
      </c>
      <c r="M12" s="454" t="str">
        <f t="shared" si="0"/>
        <v>No</v>
      </c>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row>
    <row r="13" spans="1:70" s="264" customFormat="1" ht="92.25" customHeight="1" x14ac:dyDescent="0.25">
      <c r="A13" s="455"/>
      <c r="B13" s="456"/>
      <c r="C13" s="457"/>
      <c r="D13" s="458"/>
      <c r="E13" s="458"/>
      <c r="F13" s="454"/>
      <c r="G13" s="454"/>
      <c r="H13" s="454"/>
      <c r="I13" s="454"/>
      <c r="J13" s="454"/>
      <c r="K13" s="454"/>
      <c r="L13" s="454"/>
      <c r="M13" s="454"/>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row>
    <row r="14" spans="1:70" s="264" customFormat="1" ht="92.25" customHeight="1" x14ac:dyDescent="0.25">
      <c r="A14" s="455"/>
      <c r="B14" s="456"/>
      <c r="C14" s="457"/>
      <c r="D14" s="458"/>
      <c r="E14" s="458"/>
      <c r="F14" s="454"/>
      <c r="G14" s="454"/>
      <c r="H14" s="454"/>
      <c r="I14" s="454"/>
      <c r="J14" s="454"/>
      <c r="K14" s="454"/>
      <c r="L14" s="454"/>
      <c r="M14" s="454"/>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row>
    <row r="15" spans="1:70" s="264" customFormat="1" ht="92.25" customHeight="1" x14ac:dyDescent="0.25">
      <c r="A15" s="455"/>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58"/>
      <c r="E15" s="458"/>
      <c r="F15" s="454" t="str">
        <f t="shared" ref="F15:M39" si="1">IFERROR(IF($E15="","No",IF($E15="No","No"," "))," ")</f>
        <v>No</v>
      </c>
      <c r="G15" s="454" t="str">
        <f t="shared" si="1"/>
        <v>No</v>
      </c>
      <c r="H15" s="454" t="str">
        <f t="shared" si="1"/>
        <v>No</v>
      </c>
      <c r="I15" s="454" t="str">
        <f t="shared" si="1"/>
        <v>No</v>
      </c>
      <c r="J15" s="454" t="str">
        <f t="shared" si="1"/>
        <v>No</v>
      </c>
      <c r="K15" s="454" t="str">
        <f t="shared" si="1"/>
        <v>No</v>
      </c>
      <c r="L15" s="454" t="str">
        <f t="shared" si="1"/>
        <v>No</v>
      </c>
      <c r="M15" s="454" t="str">
        <f t="shared" si="1"/>
        <v>No</v>
      </c>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row>
    <row r="16" spans="1:70" s="264" customFormat="1" ht="92.25" customHeight="1" x14ac:dyDescent="0.25">
      <c r="A16" s="455"/>
      <c r="B16" s="456"/>
      <c r="C16" s="457"/>
      <c r="D16" s="458"/>
      <c r="E16" s="458"/>
      <c r="F16" s="454"/>
      <c r="G16" s="454"/>
      <c r="H16" s="454"/>
      <c r="I16" s="454"/>
      <c r="J16" s="454"/>
      <c r="K16" s="454"/>
      <c r="L16" s="454"/>
      <c r="M16" s="454"/>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row>
    <row r="17" spans="1:70" s="264" customFormat="1" ht="92.25" customHeight="1" x14ac:dyDescent="0.25">
      <c r="A17" s="455"/>
      <c r="B17" s="456"/>
      <c r="C17" s="457"/>
      <c r="D17" s="458"/>
      <c r="E17" s="458"/>
      <c r="F17" s="454"/>
      <c r="G17" s="454"/>
      <c r="H17" s="454"/>
      <c r="I17" s="454"/>
      <c r="J17" s="454"/>
      <c r="K17" s="454"/>
      <c r="L17" s="454"/>
      <c r="M17" s="454"/>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row>
    <row r="18" spans="1:70" s="264" customFormat="1" ht="92.25" customHeight="1" x14ac:dyDescent="0.25">
      <c r="A18" s="455"/>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58"/>
      <c r="E18" s="458"/>
      <c r="F18" s="454" t="str">
        <f t="shared" si="1"/>
        <v>No</v>
      </c>
      <c r="G18" s="454" t="str">
        <f t="shared" si="1"/>
        <v>No</v>
      </c>
      <c r="H18" s="454" t="str">
        <f t="shared" si="1"/>
        <v>No</v>
      </c>
      <c r="I18" s="454" t="str">
        <f t="shared" si="1"/>
        <v>No</v>
      </c>
      <c r="J18" s="454" t="str">
        <f t="shared" si="1"/>
        <v>No</v>
      </c>
      <c r="K18" s="454" t="str">
        <f t="shared" si="1"/>
        <v>No</v>
      </c>
      <c r="L18" s="454" t="str">
        <f t="shared" si="1"/>
        <v>No</v>
      </c>
      <c r="M18" s="454" t="str">
        <f t="shared" si="1"/>
        <v>No</v>
      </c>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row>
    <row r="19" spans="1:70" s="264" customFormat="1" ht="92.25" customHeight="1" x14ac:dyDescent="0.25">
      <c r="A19" s="455"/>
      <c r="B19" s="456"/>
      <c r="C19" s="457"/>
      <c r="D19" s="458"/>
      <c r="E19" s="458"/>
      <c r="F19" s="454"/>
      <c r="G19" s="454"/>
      <c r="H19" s="454"/>
      <c r="I19" s="454"/>
      <c r="J19" s="454"/>
      <c r="K19" s="454"/>
      <c r="L19" s="454"/>
      <c r="M19" s="454"/>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row>
    <row r="20" spans="1:70" s="264" customFormat="1" ht="92.25" customHeight="1" x14ac:dyDescent="0.25">
      <c r="A20" s="455"/>
      <c r="B20" s="456"/>
      <c r="C20" s="457"/>
      <c r="D20" s="458"/>
      <c r="E20" s="458"/>
      <c r="F20" s="454"/>
      <c r="G20" s="454"/>
      <c r="H20" s="454"/>
      <c r="I20" s="454"/>
      <c r="J20" s="454"/>
      <c r="K20" s="454"/>
      <c r="L20" s="454"/>
      <c r="M20" s="454"/>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row>
    <row r="21" spans="1:70" s="264" customFormat="1" ht="92.25" customHeight="1" x14ac:dyDescent="0.25">
      <c r="A21" s="455"/>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58"/>
      <c r="E21" s="458"/>
      <c r="F21" s="454" t="str">
        <f t="shared" si="1"/>
        <v>No</v>
      </c>
      <c r="G21" s="454" t="str">
        <f t="shared" si="1"/>
        <v>No</v>
      </c>
      <c r="H21" s="454" t="str">
        <f t="shared" si="1"/>
        <v>No</v>
      </c>
      <c r="I21" s="454" t="str">
        <f t="shared" si="1"/>
        <v>No</v>
      </c>
      <c r="J21" s="454" t="str">
        <f t="shared" si="1"/>
        <v>No</v>
      </c>
      <c r="K21" s="454" t="str">
        <f t="shared" si="1"/>
        <v>No</v>
      </c>
      <c r="L21" s="454" t="str">
        <f t="shared" si="1"/>
        <v>No</v>
      </c>
      <c r="M21" s="454" t="str">
        <f t="shared" si="1"/>
        <v>No</v>
      </c>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row>
    <row r="22" spans="1:70" s="264" customFormat="1" ht="92.25" customHeight="1" x14ac:dyDescent="0.25">
      <c r="A22" s="455"/>
      <c r="B22" s="456"/>
      <c r="C22" s="457"/>
      <c r="D22" s="458"/>
      <c r="E22" s="458"/>
      <c r="F22" s="454"/>
      <c r="G22" s="454"/>
      <c r="H22" s="454"/>
      <c r="I22" s="454"/>
      <c r="J22" s="454"/>
      <c r="K22" s="454"/>
      <c r="L22" s="454"/>
      <c r="M22" s="454"/>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row>
    <row r="23" spans="1:70" s="264" customFormat="1" ht="92.25" customHeight="1" x14ac:dyDescent="0.25">
      <c r="A23" s="455"/>
      <c r="B23" s="456"/>
      <c r="C23" s="457"/>
      <c r="D23" s="458"/>
      <c r="E23" s="458"/>
      <c r="F23" s="454"/>
      <c r="G23" s="454"/>
      <c r="H23" s="454"/>
      <c r="I23" s="454"/>
      <c r="J23" s="454"/>
      <c r="K23" s="454"/>
      <c r="L23" s="454"/>
      <c r="M23" s="454"/>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row>
    <row r="24" spans="1:70" s="264" customFormat="1" ht="92.25" customHeight="1" x14ac:dyDescent="0.25">
      <c r="A24" s="455"/>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58"/>
      <c r="E24" s="458"/>
      <c r="F24" s="454" t="str">
        <f t="shared" si="1"/>
        <v>No</v>
      </c>
      <c r="G24" s="454" t="str">
        <f t="shared" si="1"/>
        <v>No</v>
      </c>
      <c r="H24" s="454" t="str">
        <f t="shared" si="1"/>
        <v>No</v>
      </c>
      <c r="I24" s="454" t="str">
        <f t="shared" si="1"/>
        <v>No</v>
      </c>
      <c r="J24" s="454" t="str">
        <f t="shared" si="1"/>
        <v>No</v>
      </c>
      <c r="K24" s="454" t="str">
        <f t="shared" si="1"/>
        <v>No</v>
      </c>
      <c r="L24" s="454" t="str">
        <f t="shared" si="1"/>
        <v>No</v>
      </c>
      <c r="M24" s="454" t="str">
        <f t="shared" si="1"/>
        <v>No</v>
      </c>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row>
    <row r="25" spans="1:70" s="264" customFormat="1" ht="92.25" customHeight="1" x14ac:dyDescent="0.25">
      <c r="A25" s="455"/>
      <c r="B25" s="456"/>
      <c r="C25" s="457"/>
      <c r="D25" s="458"/>
      <c r="E25" s="458"/>
      <c r="F25" s="454"/>
      <c r="G25" s="454"/>
      <c r="H25" s="454"/>
      <c r="I25" s="454"/>
      <c r="J25" s="454"/>
      <c r="K25" s="454"/>
      <c r="L25" s="454"/>
      <c r="M25" s="454"/>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row>
    <row r="26" spans="1:70" s="264" customFormat="1" ht="92.25" customHeight="1" x14ac:dyDescent="0.25">
      <c r="A26" s="455"/>
      <c r="B26" s="456"/>
      <c r="C26" s="457"/>
      <c r="D26" s="458"/>
      <c r="E26" s="458"/>
      <c r="F26" s="454"/>
      <c r="G26" s="454"/>
      <c r="H26" s="454"/>
      <c r="I26" s="454"/>
      <c r="J26" s="454"/>
      <c r="K26" s="454"/>
      <c r="L26" s="454"/>
      <c r="M26" s="454"/>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c r="BC26" s="263"/>
      <c r="BD26" s="263"/>
      <c r="BE26" s="263"/>
      <c r="BF26" s="263"/>
      <c r="BG26" s="263"/>
      <c r="BH26" s="263"/>
      <c r="BI26" s="263"/>
      <c r="BJ26" s="263"/>
      <c r="BK26" s="263"/>
      <c r="BL26" s="263"/>
      <c r="BM26" s="263"/>
      <c r="BN26" s="263"/>
      <c r="BO26" s="263"/>
      <c r="BP26" s="263"/>
      <c r="BQ26" s="263"/>
      <c r="BR26" s="263"/>
    </row>
    <row r="27" spans="1:70" s="264" customFormat="1" ht="92.25" customHeight="1" x14ac:dyDescent="0.25">
      <c r="A27" s="455"/>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58"/>
      <c r="E27" s="458"/>
      <c r="F27" s="454" t="str">
        <f t="shared" si="1"/>
        <v>No</v>
      </c>
      <c r="G27" s="454" t="str">
        <f t="shared" si="1"/>
        <v>No</v>
      </c>
      <c r="H27" s="454" t="str">
        <f t="shared" si="1"/>
        <v>No</v>
      </c>
      <c r="I27" s="454" t="str">
        <f t="shared" si="1"/>
        <v>No</v>
      </c>
      <c r="J27" s="454" t="str">
        <f t="shared" si="1"/>
        <v>No</v>
      </c>
      <c r="K27" s="454" t="str">
        <f t="shared" si="1"/>
        <v>No</v>
      </c>
      <c r="L27" s="454" t="str">
        <f t="shared" si="1"/>
        <v>No</v>
      </c>
      <c r="M27" s="454" t="str">
        <f t="shared" si="1"/>
        <v>No</v>
      </c>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row>
    <row r="28" spans="1:70" s="264" customFormat="1" ht="92.25" customHeight="1" x14ac:dyDescent="0.25">
      <c r="A28" s="455"/>
      <c r="B28" s="456"/>
      <c r="C28" s="457"/>
      <c r="D28" s="458"/>
      <c r="E28" s="458"/>
      <c r="F28" s="454"/>
      <c r="G28" s="454"/>
      <c r="H28" s="454"/>
      <c r="I28" s="454"/>
      <c r="J28" s="454"/>
      <c r="K28" s="454"/>
      <c r="L28" s="454"/>
      <c r="M28" s="454"/>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row>
    <row r="29" spans="1:70" s="264" customFormat="1" ht="92.25" customHeight="1" x14ac:dyDescent="0.25">
      <c r="A29" s="455"/>
      <c r="B29" s="456"/>
      <c r="C29" s="457"/>
      <c r="D29" s="458"/>
      <c r="E29" s="458"/>
      <c r="F29" s="454"/>
      <c r="G29" s="454"/>
      <c r="H29" s="454"/>
      <c r="I29" s="454"/>
      <c r="J29" s="454"/>
      <c r="K29" s="454"/>
      <c r="L29" s="454"/>
      <c r="M29" s="454"/>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row>
    <row r="30" spans="1:70" s="264" customFormat="1" ht="92.25" customHeight="1" x14ac:dyDescent="0.25">
      <c r="A30" s="455"/>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58"/>
      <c r="E30" s="458"/>
      <c r="F30" s="454" t="str">
        <f t="shared" si="1"/>
        <v>No</v>
      </c>
      <c r="G30" s="454" t="str">
        <f t="shared" si="1"/>
        <v>No</v>
      </c>
      <c r="H30" s="454" t="str">
        <f t="shared" si="1"/>
        <v>No</v>
      </c>
      <c r="I30" s="454" t="str">
        <f t="shared" si="1"/>
        <v>No</v>
      </c>
      <c r="J30" s="454" t="str">
        <f t="shared" si="1"/>
        <v>No</v>
      </c>
      <c r="K30" s="454" t="str">
        <f t="shared" si="1"/>
        <v>No</v>
      </c>
      <c r="L30" s="454" t="str">
        <f t="shared" si="1"/>
        <v>No</v>
      </c>
      <c r="M30" s="454" t="str">
        <f t="shared" si="1"/>
        <v>No</v>
      </c>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c r="BC30" s="263"/>
      <c r="BD30" s="263"/>
      <c r="BE30" s="263"/>
      <c r="BF30" s="263"/>
      <c r="BG30" s="263"/>
      <c r="BH30" s="263"/>
      <c r="BI30" s="263"/>
      <c r="BJ30" s="263"/>
      <c r="BK30" s="263"/>
      <c r="BL30" s="263"/>
      <c r="BM30" s="263"/>
      <c r="BN30" s="263"/>
      <c r="BO30" s="263"/>
      <c r="BP30" s="263"/>
      <c r="BQ30" s="263"/>
      <c r="BR30" s="263"/>
    </row>
    <row r="31" spans="1:70" s="264" customFormat="1" ht="92.25" customHeight="1" x14ac:dyDescent="0.25">
      <c r="A31" s="455"/>
      <c r="B31" s="456"/>
      <c r="C31" s="457"/>
      <c r="D31" s="458"/>
      <c r="E31" s="458"/>
      <c r="F31" s="454"/>
      <c r="G31" s="454"/>
      <c r="H31" s="454"/>
      <c r="I31" s="454"/>
      <c r="J31" s="454"/>
      <c r="K31" s="454"/>
      <c r="L31" s="454"/>
      <c r="M31" s="454"/>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c r="BC31" s="263"/>
      <c r="BD31" s="263"/>
      <c r="BE31" s="263"/>
      <c r="BF31" s="263"/>
      <c r="BG31" s="263"/>
      <c r="BH31" s="263"/>
      <c r="BI31" s="263"/>
      <c r="BJ31" s="263"/>
      <c r="BK31" s="263"/>
      <c r="BL31" s="263"/>
      <c r="BM31" s="263"/>
      <c r="BN31" s="263"/>
      <c r="BO31" s="263"/>
      <c r="BP31" s="263"/>
      <c r="BQ31" s="263"/>
      <c r="BR31" s="263"/>
    </row>
    <row r="32" spans="1:70" s="264" customFormat="1" ht="92.25" customHeight="1" x14ac:dyDescent="0.25">
      <c r="A32" s="455"/>
      <c r="B32" s="456"/>
      <c r="C32" s="457"/>
      <c r="D32" s="458"/>
      <c r="E32" s="458"/>
      <c r="F32" s="454"/>
      <c r="G32" s="454"/>
      <c r="H32" s="454"/>
      <c r="I32" s="454"/>
      <c r="J32" s="454"/>
      <c r="K32" s="454"/>
      <c r="L32" s="454"/>
      <c r="M32" s="454"/>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c r="BC32" s="263"/>
      <c r="BD32" s="263"/>
      <c r="BE32" s="263"/>
      <c r="BF32" s="263"/>
      <c r="BG32" s="263"/>
      <c r="BH32" s="263"/>
      <c r="BI32" s="263"/>
      <c r="BJ32" s="263"/>
      <c r="BK32" s="263"/>
      <c r="BL32" s="263"/>
      <c r="BM32" s="263"/>
      <c r="BN32" s="263"/>
      <c r="BO32" s="263"/>
      <c r="BP32" s="263"/>
      <c r="BQ32" s="263"/>
      <c r="BR32" s="263"/>
    </row>
    <row r="33" spans="1:70" s="264" customFormat="1" ht="92.25" customHeight="1" x14ac:dyDescent="0.25">
      <c r="A33" s="455"/>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58"/>
      <c r="E33" s="458"/>
      <c r="F33" s="454" t="str">
        <f t="shared" si="1"/>
        <v>No</v>
      </c>
      <c r="G33" s="454" t="str">
        <f t="shared" si="1"/>
        <v>No</v>
      </c>
      <c r="H33" s="454" t="str">
        <f t="shared" si="1"/>
        <v>No</v>
      </c>
      <c r="I33" s="454" t="str">
        <f t="shared" si="1"/>
        <v>No</v>
      </c>
      <c r="J33" s="454" t="str">
        <f t="shared" si="1"/>
        <v>No</v>
      </c>
      <c r="K33" s="454" t="str">
        <f t="shared" si="1"/>
        <v>No</v>
      </c>
      <c r="L33" s="454" t="str">
        <f t="shared" si="1"/>
        <v>No</v>
      </c>
      <c r="M33" s="454" t="str">
        <f t="shared" si="1"/>
        <v>No</v>
      </c>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c r="BC33" s="263"/>
      <c r="BD33" s="263"/>
      <c r="BE33" s="263"/>
      <c r="BF33" s="263"/>
      <c r="BG33" s="263"/>
      <c r="BH33" s="263"/>
      <c r="BI33" s="263"/>
      <c r="BJ33" s="263"/>
      <c r="BK33" s="263"/>
      <c r="BL33" s="263"/>
      <c r="BM33" s="263"/>
      <c r="BN33" s="263"/>
      <c r="BO33" s="263"/>
      <c r="BP33" s="263"/>
      <c r="BQ33" s="263"/>
      <c r="BR33" s="263"/>
    </row>
    <row r="34" spans="1:70" s="264" customFormat="1" ht="92.25" customHeight="1" x14ac:dyDescent="0.25">
      <c r="A34" s="455"/>
      <c r="B34" s="456"/>
      <c r="C34" s="457"/>
      <c r="D34" s="458"/>
      <c r="E34" s="458"/>
      <c r="F34" s="454"/>
      <c r="G34" s="454"/>
      <c r="H34" s="454"/>
      <c r="I34" s="454"/>
      <c r="J34" s="454"/>
      <c r="K34" s="454"/>
      <c r="L34" s="454"/>
      <c r="M34" s="454"/>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263"/>
      <c r="BE34" s="263"/>
      <c r="BF34" s="263"/>
      <c r="BG34" s="263"/>
      <c r="BH34" s="263"/>
      <c r="BI34" s="263"/>
      <c r="BJ34" s="263"/>
      <c r="BK34" s="263"/>
      <c r="BL34" s="263"/>
      <c r="BM34" s="263"/>
      <c r="BN34" s="263"/>
      <c r="BO34" s="263"/>
      <c r="BP34" s="263"/>
      <c r="BQ34" s="263"/>
      <c r="BR34" s="263"/>
    </row>
    <row r="35" spans="1:70" s="264" customFormat="1" ht="92.25" customHeight="1" x14ac:dyDescent="0.25">
      <c r="A35" s="455"/>
      <c r="B35" s="456"/>
      <c r="C35" s="457"/>
      <c r="D35" s="458"/>
      <c r="E35" s="458"/>
      <c r="F35" s="454"/>
      <c r="G35" s="454"/>
      <c r="H35" s="454"/>
      <c r="I35" s="454"/>
      <c r="J35" s="454"/>
      <c r="K35" s="454"/>
      <c r="L35" s="454"/>
      <c r="M35" s="454"/>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c r="BC35" s="263"/>
      <c r="BD35" s="263"/>
      <c r="BE35" s="263"/>
      <c r="BF35" s="263"/>
      <c r="BG35" s="263"/>
      <c r="BH35" s="263"/>
      <c r="BI35" s="263"/>
      <c r="BJ35" s="263"/>
      <c r="BK35" s="263"/>
      <c r="BL35" s="263"/>
      <c r="BM35" s="263"/>
      <c r="BN35" s="263"/>
      <c r="BO35" s="263"/>
      <c r="BP35" s="263"/>
      <c r="BQ35" s="263"/>
      <c r="BR35" s="263"/>
    </row>
    <row r="36" spans="1:70" s="264" customFormat="1" ht="92.25" customHeight="1" x14ac:dyDescent="0.25">
      <c r="A36" s="455"/>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58"/>
      <c r="E36" s="458"/>
      <c r="F36" s="454" t="str">
        <f t="shared" si="1"/>
        <v>No</v>
      </c>
      <c r="G36" s="454" t="str">
        <f t="shared" si="1"/>
        <v>No</v>
      </c>
      <c r="H36" s="454" t="str">
        <f t="shared" si="1"/>
        <v>No</v>
      </c>
      <c r="I36" s="454" t="str">
        <f t="shared" si="1"/>
        <v>No</v>
      </c>
      <c r="J36" s="454" t="str">
        <f t="shared" si="1"/>
        <v>No</v>
      </c>
      <c r="K36" s="454" t="str">
        <f t="shared" si="1"/>
        <v>No</v>
      </c>
      <c r="L36" s="454" t="str">
        <f t="shared" si="1"/>
        <v>No</v>
      </c>
      <c r="M36" s="454" t="str">
        <f t="shared" si="1"/>
        <v>No</v>
      </c>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c r="BC36" s="263"/>
      <c r="BD36" s="263"/>
      <c r="BE36" s="263"/>
      <c r="BF36" s="263"/>
      <c r="BG36" s="263"/>
      <c r="BH36" s="263"/>
      <c r="BI36" s="263"/>
      <c r="BJ36" s="263"/>
      <c r="BK36" s="263"/>
      <c r="BL36" s="263"/>
      <c r="BM36" s="263"/>
      <c r="BN36" s="263"/>
      <c r="BO36" s="263"/>
      <c r="BP36" s="263"/>
      <c r="BQ36" s="263"/>
      <c r="BR36" s="263"/>
    </row>
    <row r="37" spans="1:70" s="264" customFormat="1" ht="92.25" customHeight="1" x14ac:dyDescent="0.25">
      <c r="A37" s="455"/>
      <c r="B37" s="456"/>
      <c r="C37" s="457"/>
      <c r="D37" s="458"/>
      <c r="E37" s="458"/>
      <c r="F37" s="454"/>
      <c r="G37" s="454"/>
      <c r="H37" s="454"/>
      <c r="I37" s="454"/>
      <c r="J37" s="454"/>
      <c r="K37" s="454"/>
      <c r="L37" s="454"/>
      <c r="M37" s="454"/>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c r="BC37" s="263"/>
      <c r="BD37" s="263"/>
      <c r="BE37" s="263"/>
      <c r="BF37" s="263"/>
      <c r="BG37" s="263"/>
      <c r="BH37" s="263"/>
      <c r="BI37" s="263"/>
      <c r="BJ37" s="263"/>
      <c r="BK37" s="263"/>
      <c r="BL37" s="263"/>
      <c r="BM37" s="263"/>
      <c r="BN37" s="263"/>
      <c r="BO37" s="263"/>
      <c r="BP37" s="263"/>
      <c r="BQ37" s="263"/>
      <c r="BR37" s="263"/>
    </row>
    <row r="38" spans="1:70" s="264" customFormat="1" ht="92.25" customHeight="1" x14ac:dyDescent="0.25">
      <c r="A38" s="455"/>
      <c r="B38" s="456"/>
      <c r="C38" s="457"/>
      <c r="D38" s="458"/>
      <c r="E38" s="458"/>
      <c r="F38" s="454"/>
      <c r="G38" s="454"/>
      <c r="H38" s="454"/>
      <c r="I38" s="454"/>
      <c r="J38" s="454"/>
      <c r="K38" s="454"/>
      <c r="L38" s="454"/>
      <c r="M38" s="454"/>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c r="BC38" s="263"/>
      <c r="BD38" s="263"/>
      <c r="BE38" s="263"/>
      <c r="BF38" s="263"/>
      <c r="BG38" s="263"/>
      <c r="BH38" s="263"/>
      <c r="BI38" s="263"/>
      <c r="BJ38" s="263"/>
      <c r="BK38" s="263"/>
      <c r="BL38" s="263"/>
      <c r="BM38" s="263"/>
      <c r="BN38" s="263"/>
      <c r="BO38" s="263"/>
      <c r="BP38" s="263"/>
      <c r="BQ38" s="263"/>
      <c r="BR38" s="263"/>
    </row>
    <row r="39" spans="1:70" s="264" customFormat="1" ht="92.25" customHeight="1" x14ac:dyDescent="0.25">
      <c r="A39" s="455"/>
      <c r="B39" s="456" t="str">
        <f>'Mapa final'!$B$38</f>
        <v>TIN_03</v>
      </c>
      <c r="C39" s="457" t="str">
        <f>'Mapa final'!$H$38</f>
        <v>Posibilidad de afectación económica por no disponibilidad de la información clínica  de los usuarios del  HOMIL, debido a falta de respaldo (copias de seguridad) de la información.</v>
      </c>
      <c r="D39" s="458"/>
      <c r="E39" s="458"/>
      <c r="F39" s="454" t="str">
        <f t="shared" si="1"/>
        <v>No</v>
      </c>
      <c r="G39" s="454" t="str">
        <f t="shared" si="1"/>
        <v>No</v>
      </c>
      <c r="H39" s="454" t="str">
        <f t="shared" si="1"/>
        <v>No</v>
      </c>
      <c r="I39" s="454" t="str">
        <f t="shared" si="1"/>
        <v>No</v>
      </c>
      <c r="J39" s="454" t="str">
        <f t="shared" si="1"/>
        <v>No</v>
      </c>
      <c r="K39" s="454" t="str">
        <f t="shared" si="1"/>
        <v>No</v>
      </c>
      <c r="L39" s="454" t="str">
        <f t="shared" si="1"/>
        <v>No</v>
      </c>
      <c r="M39" s="454" t="str">
        <f t="shared" si="1"/>
        <v>No</v>
      </c>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c r="BC39" s="263"/>
      <c r="BD39" s="263"/>
      <c r="BE39" s="263"/>
      <c r="BF39" s="263"/>
      <c r="BG39" s="263"/>
      <c r="BH39" s="263"/>
      <c r="BI39" s="263"/>
      <c r="BJ39" s="263"/>
      <c r="BK39" s="263"/>
      <c r="BL39" s="263"/>
      <c r="BM39" s="263"/>
      <c r="BN39" s="263"/>
      <c r="BO39" s="263"/>
      <c r="BP39" s="263"/>
      <c r="BQ39" s="263"/>
      <c r="BR39" s="263"/>
    </row>
    <row r="40" spans="1:70" s="264" customFormat="1" ht="92.25" customHeight="1" x14ac:dyDescent="0.25">
      <c r="A40" s="455"/>
      <c r="B40" s="456"/>
      <c r="C40" s="457"/>
      <c r="D40" s="458"/>
      <c r="E40" s="458"/>
      <c r="F40" s="454"/>
      <c r="G40" s="454"/>
      <c r="H40" s="454"/>
      <c r="I40" s="454"/>
      <c r="J40" s="454"/>
      <c r="K40" s="454"/>
      <c r="L40" s="454"/>
      <c r="M40" s="454"/>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c r="BC40" s="263"/>
      <c r="BD40" s="263"/>
      <c r="BE40" s="263"/>
      <c r="BF40" s="263"/>
      <c r="BG40" s="263"/>
      <c r="BH40" s="263"/>
      <c r="BI40" s="263"/>
      <c r="BJ40" s="263"/>
      <c r="BK40" s="263"/>
      <c r="BL40" s="263"/>
      <c r="BM40" s="263"/>
      <c r="BN40" s="263"/>
      <c r="BO40" s="263"/>
      <c r="BP40" s="263"/>
      <c r="BQ40" s="263"/>
      <c r="BR40" s="263"/>
    </row>
    <row r="41" spans="1:70" s="264" customFormat="1" ht="92.25" customHeight="1" x14ac:dyDescent="0.25">
      <c r="A41" s="455"/>
      <c r="B41" s="456"/>
      <c r="C41" s="457"/>
      <c r="D41" s="458"/>
      <c r="E41" s="458"/>
      <c r="F41" s="454"/>
      <c r="G41" s="454"/>
      <c r="H41" s="454"/>
      <c r="I41" s="454"/>
      <c r="J41" s="454"/>
      <c r="K41" s="454"/>
      <c r="L41" s="454"/>
      <c r="M41" s="454"/>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3"/>
      <c r="BG41" s="263"/>
      <c r="BH41" s="263"/>
      <c r="BI41" s="263"/>
      <c r="BJ41" s="263"/>
      <c r="BK41" s="263"/>
      <c r="BL41" s="263"/>
      <c r="BM41" s="263"/>
      <c r="BN41" s="263"/>
      <c r="BO41" s="263"/>
      <c r="BP41" s="263"/>
      <c r="BQ41" s="263"/>
      <c r="BR41" s="263"/>
    </row>
    <row r="42" spans="1:70" ht="48.75" customHeight="1" x14ac:dyDescent="0.25">
      <c r="A42" s="455"/>
      <c r="B42" s="456"/>
      <c r="C42" s="457"/>
      <c r="D42" s="458"/>
      <c r="E42" s="458"/>
      <c r="F42" s="454" t="str">
        <f t="shared" ref="F42:M57" si="2">IFERROR(IF($E42="","No",IF($E42="No","No"," "))," ")</f>
        <v>No</v>
      </c>
      <c r="G42" s="454" t="str">
        <f t="shared" si="2"/>
        <v>No</v>
      </c>
      <c r="H42" s="454" t="str">
        <f t="shared" si="2"/>
        <v>No</v>
      </c>
      <c r="I42" s="454" t="str">
        <f t="shared" si="2"/>
        <v>No</v>
      </c>
      <c r="J42" s="454" t="str">
        <f t="shared" si="2"/>
        <v>No</v>
      </c>
      <c r="K42" s="454" t="str">
        <f t="shared" si="2"/>
        <v>No</v>
      </c>
      <c r="L42" s="454" t="str">
        <f t="shared" si="2"/>
        <v>No</v>
      </c>
      <c r="M42" s="454" t="str">
        <f t="shared" si="2"/>
        <v>No</v>
      </c>
      <c r="N42" s="265"/>
      <c r="O42" s="265"/>
      <c r="P42" s="265"/>
      <c r="Q42" s="265"/>
      <c r="R42" s="265"/>
      <c r="S42" s="265"/>
      <c r="T42" s="265"/>
      <c r="U42" s="265"/>
      <c r="V42" s="265"/>
      <c r="W42" s="265"/>
      <c r="X42" s="265"/>
      <c r="Y42" s="265"/>
      <c r="Z42" s="265"/>
      <c r="AA42" s="265"/>
      <c r="AB42" s="265"/>
      <c r="AC42" s="265"/>
      <c r="AD42" s="265"/>
      <c r="AE42" s="265"/>
      <c r="AF42" s="265"/>
      <c r="AG42" s="265"/>
      <c r="AH42" s="265"/>
      <c r="AI42" s="265"/>
      <c r="AJ42" s="265"/>
      <c r="AK42" s="265"/>
      <c r="AL42" s="265"/>
      <c r="AM42" s="265"/>
      <c r="AN42" s="265"/>
      <c r="AO42" s="265"/>
      <c r="AP42" s="265"/>
      <c r="AQ42" s="265"/>
      <c r="AR42" s="265"/>
      <c r="AS42" s="265"/>
      <c r="AT42" s="265"/>
      <c r="AU42" s="265"/>
      <c r="AV42" s="265"/>
      <c r="AW42" s="265"/>
      <c r="AX42" s="265"/>
      <c r="AY42" s="265"/>
      <c r="AZ42" s="265"/>
      <c r="BA42" s="265"/>
      <c r="BB42" s="265"/>
      <c r="BC42" s="265"/>
      <c r="BD42" s="265"/>
      <c r="BE42" s="265"/>
      <c r="BF42" s="265"/>
      <c r="BG42" s="265"/>
      <c r="BH42" s="265"/>
      <c r="BI42" s="265"/>
      <c r="BJ42" s="265"/>
      <c r="BK42" s="265"/>
      <c r="BL42" s="265"/>
      <c r="BM42" s="265"/>
      <c r="BN42" s="265"/>
      <c r="BO42" s="265"/>
      <c r="BP42" s="265"/>
      <c r="BQ42" s="265"/>
      <c r="BR42" s="265"/>
    </row>
    <row r="43" spans="1:70" ht="48.75" customHeight="1" x14ac:dyDescent="0.25">
      <c r="A43" s="455"/>
      <c r="B43" s="456"/>
      <c r="C43" s="457"/>
      <c r="D43" s="458"/>
      <c r="E43" s="458"/>
      <c r="F43" s="454"/>
      <c r="G43" s="454"/>
      <c r="H43" s="454"/>
      <c r="I43" s="454"/>
      <c r="J43" s="454"/>
      <c r="K43" s="454"/>
      <c r="L43" s="454"/>
      <c r="M43" s="454"/>
      <c r="N43" s="265"/>
      <c r="O43" s="265"/>
      <c r="P43" s="265"/>
      <c r="Q43" s="265"/>
      <c r="R43" s="265"/>
      <c r="S43" s="265"/>
      <c r="T43" s="265"/>
      <c r="U43" s="265"/>
      <c r="V43" s="265"/>
      <c r="W43" s="265"/>
      <c r="X43" s="265"/>
      <c r="Y43" s="265"/>
      <c r="Z43" s="265"/>
      <c r="AA43" s="265"/>
      <c r="AB43" s="265"/>
      <c r="AC43" s="265"/>
      <c r="AD43" s="265"/>
      <c r="AE43" s="265"/>
      <c r="AF43" s="265"/>
      <c r="AG43" s="265"/>
      <c r="AH43" s="265"/>
      <c r="AI43" s="265"/>
      <c r="AJ43" s="265"/>
      <c r="AK43" s="265"/>
      <c r="AL43" s="265"/>
      <c r="AM43" s="265"/>
      <c r="AN43" s="265"/>
      <c r="AO43" s="265"/>
      <c r="AP43" s="265"/>
      <c r="AQ43" s="265"/>
      <c r="AR43" s="265"/>
      <c r="AS43" s="265"/>
      <c r="AT43" s="265"/>
      <c r="AU43" s="265"/>
      <c r="AV43" s="265"/>
      <c r="AW43" s="265"/>
      <c r="AX43" s="265"/>
      <c r="AY43" s="265"/>
      <c r="AZ43" s="265"/>
      <c r="BA43" s="265"/>
      <c r="BB43" s="265"/>
      <c r="BC43" s="265"/>
      <c r="BD43" s="265"/>
      <c r="BE43" s="265"/>
      <c r="BF43" s="265"/>
      <c r="BG43" s="265"/>
      <c r="BH43" s="265"/>
      <c r="BI43" s="265"/>
      <c r="BJ43" s="265"/>
      <c r="BK43" s="265"/>
      <c r="BL43" s="265"/>
      <c r="BM43" s="265"/>
      <c r="BN43" s="265"/>
      <c r="BO43" s="265"/>
      <c r="BP43" s="265"/>
      <c r="BQ43" s="265"/>
      <c r="BR43" s="265"/>
    </row>
    <row r="44" spans="1:70" ht="48.75" customHeight="1" x14ac:dyDescent="0.25">
      <c r="A44" s="455"/>
      <c r="B44" s="456"/>
      <c r="C44" s="457"/>
      <c r="D44" s="458"/>
      <c r="E44" s="458"/>
      <c r="F44" s="454"/>
      <c r="G44" s="454"/>
      <c r="H44" s="454"/>
      <c r="I44" s="454"/>
      <c r="J44" s="454"/>
      <c r="K44" s="454"/>
      <c r="L44" s="454"/>
      <c r="M44" s="454"/>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5"/>
      <c r="BB44" s="265"/>
      <c r="BC44" s="265"/>
      <c r="BD44" s="265"/>
      <c r="BE44" s="265"/>
      <c r="BF44" s="265"/>
      <c r="BG44" s="265"/>
      <c r="BH44" s="265"/>
      <c r="BI44" s="265"/>
      <c r="BJ44" s="265"/>
      <c r="BK44" s="265"/>
      <c r="BL44" s="265"/>
      <c r="BM44" s="265"/>
      <c r="BN44" s="265"/>
      <c r="BO44" s="265"/>
      <c r="BP44" s="265"/>
      <c r="BQ44" s="265"/>
      <c r="BR44" s="265"/>
    </row>
    <row r="45" spans="1:70" ht="48.75" customHeight="1" x14ac:dyDescent="0.25">
      <c r="A45" s="455"/>
      <c r="B45" s="456"/>
      <c r="C45" s="457"/>
      <c r="D45" s="458"/>
      <c r="E45" s="458"/>
      <c r="F45" s="454" t="str">
        <f t="shared" si="2"/>
        <v>No</v>
      </c>
      <c r="G45" s="454" t="str">
        <f t="shared" si="2"/>
        <v>No</v>
      </c>
      <c r="H45" s="454" t="str">
        <f t="shared" si="2"/>
        <v>No</v>
      </c>
      <c r="I45" s="454" t="str">
        <f t="shared" si="2"/>
        <v>No</v>
      </c>
      <c r="J45" s="454" t="str">
        <f t="shared" si="2"/>
        <v>No</v>
      </c>
      <c r="K45" s="454" t="str">
        <f t="shared" si="2"/>
        <v>No</v>
      </c>
      <c r="L45" s="454" t="str">
        <f t="shared" si="2"/>
        <v>No</v>
      </c>
      <c r="M45" s="454" t="str">
        <f t="shared" si="2"/>
        <v>No</v>
      </c>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265"/>
      <c r="AR45" s="265"/>
      <c r="AS45" s="265"/>
      <c r="AT45" s="265"/>
      <c r="AU45" s="265"/>
      <c r="AV45" s="265"/>
      <c r="AW45" s="265"/>
      <c r="AX45" s="265"/>
      <c r="AY45" s="265"/>
      <c r="AZ45" s="265"/>
      <c r="BA45" s="265"/>
      <c r="BB45" s="265"/>
      <c r="BC45" s="265"/>
      <c r="BD45" s="265"/>
      <c r="BE45" s="265"/>
      <c r="BF45" s="265"/>
      <c r="BG45" s="265"/>
      <c r="BH45" s="265"/>
      <c r="BI45" s="265"/>
      <c r="BJ45" s="265"/>
      <c r="BK45" s="265"/>
      <c r="BL45" s="265"/>
      <c r="BM45" s="265"/>
      <c r="BN45" s="265"/>
      <c r="BO45" s="265"/>
      <c r="BP45" s="265"/>
      <c r="BQ45" s="265"/>
      <c r="BR45" s="265"/>
    </row>
    <row r="46" spans="1:70" ht="48.75" customHeight="1" x14ac:dyDescent="0.25">
      <c r="A46" s="455"/>
      <c r="B46" s="456"/>
      <c r="C46" s="457"/>
      <c r="D46" s="458"/>
      <c r="E46" s="458"/>
      <c r="F46" s="454"/>
      <c r="G46" s="454"/>
      <c r="H46" s="454"/>
      <c r="I46" s="454"/>
      <c r="J46" s="454"/>
      <c r="K46" s="454"/>
      <c r="L46" s="454"/>
      <c r="M46" s="454"/>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c r="BI46" s="265"/>
      <c r="BJ46" s="265"/>
      <c r="BK46" s="265"/>
      <c r="BL46" s="265"/>
      <c r="BM46" s="265"/>
      <c r="BN46" s="265"/>
      <c r="BO46" s="265"/>
      <c r="BP46" s="265"/>
      <c r="BQ46" s="265"/>
      <c r="BR46" s="265"/>
    </row>
    <row r="47" spans="1:70" ht="48.75" customHeight="1" x14ac:dyDescent="0.25">
      <c r="A47" s="455"/>
      <c r="B47" s="456"/>
      <c r="C47" s="457"/>
      <c r="D47" s="458"/>
      <c r="E47" s="458"/>
      <c r="F47" s="454"/>
      <c r="G47" s="454"/>
      <c r="H47" s="454"/>
      <c r="I47" s="454"/>
      <c r="J47" s="454"/>
      <c r="K47" s="454"/>
      <c r="L47" s="454"/>
      <c r="M47" s="454"/>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c r="BI47" s="265"/>
      <c r="BJ47" s="265"/>
      <c r="BK47" s="265"/>
      <c r="BL47" s="265"/>
      <c r="BM47" s="265"/>
      <c r="BN47" s="265"/>
      <c r="BO47" s="265"/>
      <c r="BP47" s="265"/>
      <c r="BQ47" s="265"/>
      <c r="BR47" s="265"/>
    </row>
    <row r="48" spans="1:70" ht="48.75" customHeight="1" x14ac:dyDescent="0.25">
      <c r="A48" s="455"/>
      <c r="B48" s="456"/>
      <c r="C48" s="457"/>
      <c r="D48" s="458"/>
      <c r="E48" s="458"/>
      <c r="F48" s="454" t="str">
        <f t="shared" si="2"/>
        <v>No</v>
      </c>
      <c r="G48" s="454" t="str">
        <f t="shared" si="2"/>
        <v>No</v>
      </c>
      <c r="H48" s="454" t="str">
        <f t="shared" si="2"/>
        <v>No</v>
      </c>
      <c r="I48" s="454" t="str">
        <f t="shared" si="2"/>
        <v>No</v>
      </c>
      <c r="J48" s="454" t="str">
        <f t="shared" si="2"/>
        <v>No</v>
      </c>
      <c r="K48" s="454" t="str">
        <f t="shared" si="2"/>
        <v>No</v>
      </c>
      <c r="L48" s="454" t="str">
        <f t="shared" si="2"/>
        <v>No</v>
      </c>
      <c r="M48" s="454" t="str">
        <f t="shared" si="2"/>
        <v>No</v>
      </c>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c r="BJ48" s="265"/>
      <c r="BK48" s="265"/>
      <c r="BL48" s="265"/>
      <c r="BM48" s="265"/>
      <c r="BN48" s="265"/>
      <c r="BO48" s="265"/>
      <c r="BP48" s="265"/>
      <c r="BQ48" s="265"/>
      <c r="BR48" s="265"/>
    </row>
    <row r="49" spans="1:70" ht="48.75" customHeight="1" x14ac:dyDescent="0.25">
      <c r="A49" s="455"/>
      <c r="B49" s="456"/>
      <c r="C49" s="457"/>
      <c r="D49" s="458"/>
      <c r="E49" s="458"/>
      <c r="F49" s="454"/>
      <c r="G49" s="454"/>
      <c r="H49" s="454"/>
      <c r="I49" s="454"/>
      <c r="J49" s="454"/>
      <c r="K49" s="454"/>
      <c r="L49" s="454"/>
      <c r="M49" s="454"/>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c r="BJ49" s="265"/>
      <c r="BK49" s="265"/>
      <c r="BL49" s="265"/>
      <c r="BM49" s="265"/>
      <c r="BN49" s="265"/>
      <c r="BO49" s="265"/>
      <c r="BP49" s="265"/>
      <c r="BQ49" s="265"/>
      <c r="BR49" s="265"/>
    </row>
    <row r="50" spans="1:70" ht="48.75" customHeight="1" x14ac:dyDescent="0.25">
      <c r="A50" s="455"/>
      <c r="B50" s="456"/>
      <c r="C50" s="457"/>
      <c r="D50" s="458"/>
      <c r="E50" s="458"/>
      <c r="F50" s="454"/>
      <c r="G50" s="454"/>
      <c r="H50" s="454"/>
      <c r="I50" s="454"/>
      <c r="J50" s="454"/>
      <c r="K50" s="454"/>
      <c r="L50" s="454"/>
      <c r="M50" s="454"/>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c r="BI50" s="265"/>
      <c r="BJ50" s="265"/>
      <c r="BK50" s="265"/>
      <c r="BL50" s="265"/>
      <c r="BM50" s="265"/>
      <c r="BN50" s="265"/>
      <c r="BO50" s="265"/>
      <c r="BP50" s="265"/>
      <c r="BQ50" s="265"/>
      <c r="BR50" s="265"/>
    </row>
    <row r="51" spans="1:70" ht="48.75" customHeight="1" x14ac:dyDescent="0.25">
      <c r="A51" s="455"/>
      <c r="B51" s="456"/>
      <c r="C51" s="457"/>
      <c r="D51" s="458"/>
      <c r="E51" s="458"/>
      <c r="F51" s="454" t="str">
        <f t="shared" si="2"/>
        <v>No</v>
      </c>
      <c r="G51" s="454" t="str">
        <f t="shared" si="2"/>
        <v>No</v>
      </c>
      <c r="H51" s="454" t="str">
        <f t="shared" si="2"/>
        <v>No</v>
      </c>
      <c r="I51" s="454" t="str">
        <f t="shared" si="2"/>
        <v>No</v>
      </c>
      <c r="J51" s="454" t="str">
        <f t="shared" si="2"/>
        <v>No</v>
      </c>
      <c r="K51" s="454" t="str">
        <f t="shared" si="2"/>
        <v>No</v>
      </c>
      <c r="L51" s="454" t="str">
        <f t="shared" si="2"/>
        <v>No</v>
      </c>
      <c r="M51" s="454" t="str">
        <f t="shared" si="2"/>
        <v>No</v>
      </c>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c r="BI51" s="265"/>
      <c r="BJ51" s="265"/>
      <c r="BK51" s="265"/>
      <c r="BL51" s="265"/>
      <c r="BM51" s="265"/>
      <c r="BN51" s="265"/>
      <c r="BO51" s="265"/>
      <c r="BP51" s="265"/>
      <c r="BQ51" s="265"/>
      <c r="BR51" s="265"/>
    </row>
    <row r="52" spans="1:70" ht="48.75" customHeight="1" x14ac:dyDescent="0.25">
      <c r="A52" s="455"/>
      <c r="B52" s="456"/>
      <c r="C52" s="457"/>
      <c r="D52" s="458"/>
      <c r="E52" s="458"/>
      <c r="F52" s="454"/>
      <c r="G52" s="454"/>
      <c r="H52" s="454"/>
      <c r="I52" s="454"/>
      <c r="J52" s="454"/>
      <c r="K52" s="454"/>
      <c r="L52" s="454"/>
      <c r="M52" s="454"/>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c r="BI52" s="265"/>
      <c r="BJ52" s="265"/>
      <c r="BK52" s="265"/>
      <c r="BL52" s="265"/>
      <c r="BM52" s="265"/>
      <c r="BN52" s="265"/>
      <c r="BO52" s="265"/>
      <c r="BP52" s="265"/>
      <c r="BQ52" s="265"/>
      <c r="BR52" s="265"/>
    </row>
    <row r="53" spans="1:70" ht="48.75" customHeight="1" x14ac:dyDescent="0.25">
      <c r="A53" s="455"/>
      <c r="B53" s="456"/>
      <c r="C53" s="457"/>
      <c r="D53" s="458"/>
      <c r="E53" s="458"/>
      <c r="F53" s="454"/>
      <c r="G53" s="454"/>
      <c r="H53" s="454"/>
      <c r="I53" s="454"/>
      <c r="J53" s="454"/>
      <c r="K53" s="454"/>
      <c r="L53" s="454"/>
      <c r="M53" s="454"/>
      <c r="N53" s="265"/>
      <c r="O53" s="265"/>
      <c r="P53" s="265"/>
      <c r="Q53" s="265"/>
      <c r="R53" s="265"/>
      <c r="S53" s="265"/>
      <c r="T53" s="265"/>
      <c r="U53" s="265"/>
      <c r="V53" s="265"/>
      <c r="W53" s="265"/>
      <c r="X53" s="265"/>
      <c r="Y53" s="265"/>
      <c r="Z53" s="265"/>
      <c r="AA53" s="265"/>
      <c r="AB53" s="265"/>
      <c r="AC53" s="265"/>
      <c r="AD53" s="265"/>
      <c r="AE53" s="265"/>
      <c r="AF53" s="265"/>
      <c r="AG53" s="265"/>
      <c r="AH53" s="265"/>
      <c r="AI53" s="265"/>
      <c r="AJ53" s="265"/>
      <c r="AK53" s="265"/>
      <c r="AL53" s="265"/>
      <c r="AM53" s="265"/>
      <c r="AN53" s="265"/>
      <c r="AO53" s="265"/>
      <c r="AP53" s="265"/>
      <c r="AQ53" s="265"/>
      <c r="AR53" s="265"/>
      <c r="AS53" s="265"/>
      <c r="AT53" s="265"/>
      <c r="AU53" s="265"/>
      <c r="AV53" s="265"/>
      <c r="AW53" s="265"/>
      <c r="AX53" s="265"/>
      <c r="AY53" s="265"/>
      <c r="AZ53" s="265"/>
      <c r="BA53" s="265"/>
      <c r="BB53" s="265"/>
      <c r="BC53" s="265"/>
      <c r="BD53" s="265"/>
      <c r="BE53" s="265"/>
      <c r="BF53" s="265"/>
      <c r="BG53" s="265"/>
      <c r="BH53" s="265"/>
      <c r="BI53" s="265"/>
      <c r="BJ53" s="265"/>
      <c r="BK53" s="265"/>
      <c r="BL53" s="265"/>
      <c r="BM53" s="265"/>
      <c r="BN53" s="265"/>
      <c r="BO53" s="265"/>
      <c r="BP53" s="265"/>
      <c r="BQ53" s="265"/>
      <c r="BR53" s="265"/>
    </row>
    <row r="54" spans="1:70" ht="48.75" customHeight="1" x14ac:dyDescent="0.25">
      <c r="A54" s="455"/>
      <c r="B54" s="456"/>
      <c r="C54" s="457"/>
      <c r="D54" s="458"/>
      <c r="E54" s="458"/>
      <c r="F54" s="454" t="str">
        <f t="shared" si="2"/>
        <v>No</v>
      </c>
      <c r="G54" s="454" t="str">
        <f t="shared" si="2"/>
        <v>No</v>
      </c>
      <c r="H54" s="454" t="str">
        <f t="shared" si="2"/>
        <v>No</v>
      </c>
      <c r="I54" s="454" t="str">
        <f t="shared" si="2"/>
        <v>No</v>
      </c>
      <c r="J54" s="454" t="str">
        <f t="shared" si="2"/>
        <v>No</v>
      </c>
      <c r="K54" s="454" t="str">
        <f t="shared" si="2"/>
        <v>No</v>
      </c>
      <c r="L54" s="454" t="str">
        <f t="shared" si="2"/>
        <v>No</v>
      </c>
      <c r="M54" s="454" t="str">
        <f t="shared" si="2"/>
        <v>No</v>
      </c>
      <c r="N54" s="265"/>
      <c r="O54" s="265"/>
      <c r="P54" s="265"/>
      <c r="Q54" s="265"/>
      <c r="R54" s="265"/>
      <c r="S54" s="265"/>
      <c r="T54" s="265"/>
      <c r="U54" s="265"/>
      <c r="V54" s="265"/>
      <c r="W54" s="265"/>
      <c r="X54" s="265"/>
      <c r="Y54" s="265"/>
      <c r="Z54" s="265"/>
      <c r="AA54" s="265"/>
      <c r="AB54" s="265"/>
      <c r="AC54" s="265"/>
      <c r="AD54" s="265"/>
      <c r="AE54" s="265"/>
      <c r="AF54" s="265"/>
      <c r="AG54" s="265"/>
      <c r="AH54" s="265"/>
      <c r="AI54" s="265"/>
      <c r="AJ54" s="265"/>
      <c r="AK54" s="265"/>
      <c r="AL54" s="265"/>
      <c r="AM54" s="265"/>
      <c r="AN54" s="265"/>
      <c r="AO54" s="265"/>
      <c r="AP54" s="265"/>
      <c r="AQ54" s="265"/>
      <c r="AR54" s="265"/>
      <c r="AS54" s="265"/>
      <c r="AT54" s="265"/>
      <c r="AU54" s="265"/>
      <c r="AV54" s="265"/>
      <c r="AW54" s="265"/>
      <c r="AX54" s="265"/>
      <c r="AY54" s="265"/>
      <c r="AZ54" s="265"/>
      <c r="BA54" s="265"/>
      <c r="BB54" s="265"/>
      <c r="BC54" s="265"/>
      <c r="BD54" s="265"/>
      <c r="BE54" s="265"/>
      <c r="BF54" s="265"/>
      <c r="BG54" s="265"/>
      <c r="BH54" s="265"/>
      <c r="BI54" s="265"/>
      <c r="BJ54" s="265"/>
      <c r="BK54" s="265"/>
      <c r="BL54" s="265"/>
      <c r="BM54" s="265"/>
      <c r="BN54" s="265"/>
      <c r="BO54" s="265"/>
      <c r="BP54" s="265"/>
      <c r="BQ54" s="265"/>
      <c r="BR54" s="265"/>
    </row>
    <row r="55" spans="1:70" ht="48.75" customHeight="1" x14ac:dyDescent="0.25">
      <c r="A55" s="455"/>
      <c r="B55" s="456"/>
      <c r="C55" s="457"/>
      <c r="D55" s="458"/>
      <c r="E55" s="458"/>
      <c r="F55" s="454"/>
      <c r="G55" s="454"/>
      <c r="H55" s="454"/>
      <c r="I55" s="454"/>
      <c r="J55" s="454"/>
      <c r="K55" s="454"/>
      <c r="L55" s="454"/>
      <c r="M55" s="454"/>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65"/>
      <c r="BD55" s="265"/>
      <c r="BE55" s="265"/>
      <c r="BF55" s="265"/>
      <c r="BG55" s="265"/>
      <c r="BH55" s="265"/>
      <c r="BI55" s="265"/>
      <c r="BJ55" s="265"/>
      <c r="BK55" s="265"/>
      <c r="BL55" s="265"/>
      <c r="BM55" s="265"/>
      <c r="BN55" s="265"/>
      <c r="BO55" s="265"/>
      <c r="BP55" s="265"/>
      <c r="BQ55" s="265"/>
      <c r="BR55" s="265"/>
    </row>
    <row r="56" spans="1:70" ht="48.75" customHeight="1" x14ac:dyDescent="0.25">
      <c r="A56" s="455"/>
      <c r="B56" s="456"/>
      <c r="C56" s="457"/>
      <c r="D56" s="458"/>
      <c r="E56" s="458"/>
      <c r="F56" s="454"/>
      <c r="G56" s="454"/>
      <c r="H56" s="454"/>
      <c r="I56" s="454"/>
      <c r="J56" s="454"/>
      <c r="K56" s="454"/>
      <c r="L56" s="454"/>
      <c r="M56" s="454"/>
      <c r="N56" s="265"/>
      <c r="O56" s="265"/>
      <c r="P56" s="265"/>
      <c r="Q56" s="265"/>
      <c r="R56" s="265"/>
      <c r="S56" s="265"/>
      <c r="T56" s="265"/>
      <c r="U56" s="265"/>
      <c r="V56" s="265"/>
      <c r="W56" s="265"/>
      <c r="X56" s="265"/>
      <c r="Y56" s="265"/>
      <c r="Z56" s="265"/>
      <c r="AA56" s="265"/>
      <c r="AB56" s="265"/>
      <c r="AC56" s="265"/>
      <c r="AD56" s="265"/>
      <c r="AE56" s="265"/>
      <c r="AF56" s="265"/>
      <c r="AG56" s="265"/>
      <c r="AH56" s="265"/>
      <c r="AI56" s="265"/>
      <c r="AJ56" s="265"/>
      <c r="AK56" s="265"/>
      <c r="AL56" s="265"/>
      <c r="AM56" s="265"/>
      <c r="AN56" s="265"/>
      <c r="AO56" s="265"/>
      <c r="AP56" s="265"/>
      <c r="AQ56" s="265"/>
      <c r="AR56" s="265"/>
      <c r="AS56" s="265"/>
      <c r="AT56" s="265"/>
      <c r="AU56" s="265"/>
      <c r="AV56" s="265"/>
      <c r="AW56" s="265"/>
      <c r="AX56" s="265"/>
      <c r="AY56" s="265"/>
      <c r="AZ56" s="265"/>
      <c r="BA56" s="265"/>
      <c r="BB56" s="265"/>
      <c r="BC56" s="265"/>
      <c r="BD56" s="265"/>
      <c r="BE56" s="265"/>
      <c r="BF56" s="265"/>
      <c r="BG56" s="265"/>
      <c r="BH56" s="265"/>
      <c r="BI56" s="265"/>
      <c r="BJ56" s="265"/>
      <c r="BK56" s="265"/>
      <c r="BL56" s="265"/>
      <c r="BM56" s="265"/>
      <c r="BN56" s="265"/>
      <c r="BO56" s="265"/>
      <c r="BP56" s="265"/>
      <c r="BQ56" s="265"/>
      <c r="BR56" s="265"/>
    </row>
    <row r="57" spans="1:70" ht="48.75" customHeight="1" x14ac:dyDescent="0.25">
      <c r="A57" s="455"/>
      <c r="B57" s="456"/>
      <c r="C57" s="457"/>
      <c r="D57" s="458"/>
      <c r="E57" s="458"/>
      <c r="F57" s="454" t="str">
        <f t="shared" si="2"/>
        <v>No</v>
      </c>
      <c r="G57" s="454" t="str">
        <f t="shared" si="2"/>
        <v>No</v>
      </c>
      <c r="H57" s="454" t="str">
        <f t="shared" si="2"/>
        <v>No</v>
      </c>
      <c r="I57" s="454" t="str">
        <f t="shared" si="2"/>
        <v>No</v>
      </c>
      <c r="J57" s="454" t="str">
        <f t="shared" si="2"/>
        <v>No</v>
      </c>
      <c r="K57" s="454" t="str">
        <f t="shared" si="2"/>
        <v>No</v>
      </c>
      <c r="L57" s="454" t="str">
        <f t="shared" si="2"/>
        <v>No</v>
      </c>
      <c r="M57" s="454" t="str">
        <f t="shared" si="2"/>
        <v>No</v>
      </c>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5"/>
      <c r="AM57" s="265"/>
      <c r="AN57" s="265"/>
      <c r="AO57" s="265"/>
      <c r="AP57" s="265"/>
      <c r="AQ57" s="265"/>
      <c r="AR57" s="265"/>
      <c r="AS57" s="265"/>
      <c r="AT57" s="265"/>
      <c r="AU57" s="265"/>
      <c r="AV57" s="265"/>
      <c r="AW57" s="265"/>
      <c r="AX57" s="265"/>
      <c r="AY57" s="265"/>
      <c r="AZ57" s="265"/>
      <c r="BA57" s="265"/>
      <c r="BB57" s="265"/>
      <c r="BC57" s="265"/>
      <c r="BD57" s="265"/>
      <c r="BE57" s="265"/>
      <c r="BF57" s="265"/>
      <c r="BG57" s="265"/>
      <c r="BH57" s="265"/>
      <c r="BI57" s="265"/>
      <c r="BJ57" s="265"/>
      <c r="BK57" s="265"/>
      <c r="BL57" s="265"/>
      <c r="BM57" s="265"/>
      <c r="BN57" s="265"/>
      <c r="BO57" s="265"/>
      <c r="BP57" s="265"/>
      <c r="BQ57" s="265"/>
      <c r="BR57" s="265"/>
    </row>
    <row r="58" spans="1:70" ht="48.75" customHeight="1" x14ac:dyDescent="0.25">
      <c r="A58" s="455"/>
      <c r="B58" s="456"/>
      <c r="C58" s="457"/>
      <c r="D58" s="458"/>
      <c r="E58" s="458"/>
      <c r="F58" s="454"/>
      <c r="G58" s="454"/>
      <c r="H58" s="454"/>
      <c r="I58" s="454"/>
      <c r="J58" s="454"/>
      <c r="K58" s="454"/>
      <c r="L58" s="454"/>
      <c r="M58" s="454"/>
      <c r="N58" s="265"/>
      <c r="O58" s="265"/>
      <c r="P58" s="265"/>
      <c r="Q58" s="265"/>
      <c r="R58" s="265"/>
      <c r="S58" s="265"/>
      <c r="T58" s="265"/>
      <c r="U58" s="265"/>
      <c r="V58" s="265"/>
      <c r="W58" s="265"/>
      <c r="X58" s="265"/>
      <c r="Y58" s="265"/>
      <c r="Z58" s="265"/>
      <c r="AA58" s="265"/>
      <c r="AB58" s="265"/>
      <c r="AC58" s="265"/>
      <c r="AD58" s="265"/>
      <c r="AE58" s="265"/>
      <c r="AF58" s="265"/>
      <c r="AG58" s="265"/>
      <c r="AH58" s="265"/>
      <c r="AI58" s="265"/>
      <c r="AJ58" s="265"/>
      <c r="AK58" s="265"/>
      <c r="AL58" s="265"/>
      <c r="AM58" s="265"/>
      <c r="AN58" s="265"/>
      <c r="AO58" s="265"/>
      <c r="AP58" s="265"/>
      <c r="AQ58" s="265"/>
      <c r="AR58" s="265"/>
      <c r="AS58" s="265"/>
      <c r="AT58" s="265"/>
      <c r="AU58" s="265"/>
      <c r="AV58" s="265"/>
      <c r="AW58" s="265"/>
      <c r="AX58" s="265"/>
      <c r="AY58" s="265"/>
      <c r="AZ58" s="265"/>
      <c r="BA58" s="265"/>
      <c r="BB58" s="265"/>
      <c r="BC58" s="265"/>
      <c r="BD58" s="265"/>
      <c r="BE58" s="265"/>
      <c r="BF58" s="265"/>
      <c r="BG58" s="265"/>
      <c r="BH58" s="265"/>
      <c r="BI58" s="265"/>
      <c r="BJ58" s="265"/>
      <c r="BK58" s="265"/>
      <c r="BL58" s="265"/>
      <c r="BM58" s="265"/>
      <c r="BN58" s="265"/>
      <c r="BO58" s="265"/>
      <c r="BP58" s="265"/>
      <c r="BQ58" s="265"/>
      <c r="BR58" s="265"/>
    </row>
    <row r="59" spans="1:70" ht="48.75" customHeight="1" x14ac:dyDescent="0.25">
      <c r="A59" s="455"/>
      <c r="B59" s="456"/>
      <c r="C59" s="457"/>
      <c r="D59" s="458"/>
      <c r="E59" s="458"/>
      <c r="F59" s="454"/>
      <c r="G59" s="454"/>
      <c r="H59" s="454"/>
      <c r="I59" s="454"/>
      <c r="J59" s="454"/>
      <c r="K59" s="454"/>
      <c r="L59" s="454"/>
      <c r="M59" s="454"/>
      <c r="N59" s="265"/>
      <c r="O59" s="265"/>
      <c r="P59" s="265"/>
      <c r="Q59" s="265"/>
      <c r="R59" s="265"/>
      <c r="S59" s="265"/>
      <c r="T59" s="265"/>
      <c r="U59" s="265"/>
      <c r="V59" s="265"/>
      <c r="W59" s="265"/>
      <c r="X59" s="265"/>
      <c r="Y59" s="265"/>
      <c r="Z59" s="265"/>
      <c r="AA59" s="265"/>
      <c r="AB59" s="265"/>
      <c r="AC59" s="265"/>
      <c r="AD59" s="265"/>
      <c r="AE59" s="265"/>
      <c r="AF59" s="265"/>
      <c r="AG59" s="265"/>
      <c r="AH59" s="265"/>
      <c r="AI59" s="265"/>
      <c r="AJ59" s="265"/>
      <c r="AK59" s="265"/>
      <c r="AL59" s="265"/>
      <c r="AM59" s="265"/>
      <c r="AN59" s="265"/>
      <c r="AO59" s="265"/>
      <c r="AP59" s="265"/>
      <c r="AQ59" s="265"/>
      <c r="AR59" s="265"/>
      <c r="AS59" s="265"/>
      <c r="AT59" s="265"/>
      <c r="AU59" s="265"/>
      <c r="AV59" s="265"/>
      <c r="AW59" s="265"/>
      <c r="AX59" s="265"/>
      <c r="AY59" s="265"/>
      <c r="AZ59" s="265"/>
      <c r="BA59" s="265"/>
      <c r="BB59" s="265"/>
      <c r="BC59" s="265"/>
      <c r="BD59" s="265"/>
      <c r="BE59" s="265"/>
      <c r="BF59" s="265"/>
      <c r="BG59" s="265"/>
      <c r="BH59" s="265"/>
      <c r="BI59" s="265"/>
      <c r="BJ59" s="265"/>
      <c r="BK59" s="265"/>
      <c r="BL59" s="265"/>
      <c r="BM59" s="265"/>
      <c r="BN59" s="265"/>
      <c r="BO59" s="265"/>
      <c r="BP59" s="265"/>
      <c r="BQ59" s="265"/>
      <c r="BR59" s="265"/>
    </row>
    <row r="60" spans="1:70" ht="48.75" customHeight="1" x14ac:dyDescent="0.25">
      <c r="A60" s="455"/>
      <c r="B60" s="456"/>
      <c r="C60" s="457"/>
      <c r="D60" s="458"/>
      <c r="E60" s="458"/>
      <c r="F60" s="454" t="str">
        <f t="shared" ref="F60:F69" si="3">IFERROR(IF($E60="","No",IF($E60="No","No"," "))," ")</f>
        <v>No</v>
      </c>
      <c r="G60" s="454" t="str">
        <f t="shared" ref="G60:M60" si="4">IFERROR(IF($E60="","No",IF($E60="No","No"," "))," ")</f>
        <v>No</v>
      </c>
      <c r="H60" s="454" t="str">
        <f t="shared" si="4"/>
        <v>No</v>
      </c>
      <c r="I60" s="454" t="str">
        <f t="shared" si="4"/>
        <v>No</v>
      </c>
      <c r="J60" s="454" t="str">
        <f t="shared" si="4"/>
        <v>No</v>
      </c>
      <c r="K60" s="454" t="str">
        <f t="shared" si="4"/>
        <v>No</v>
      </c>
      <c r="L60" s="454" t="str">
        <f t="shared" si="4"/>
        <v>No</v>
      </c>
      <c r="M60" s="454" t="str">
        <f t="shared" si="4"/>
        <v>No</v>
      </c>
      <c r="N60" s="265"/>
      <c r="O60" s="265"/>
      <c r="P60" s="265"/>
      <c r="Q60" s="265"/>
      <c r="R60" s="265"/>
      <c r="S60" s="265"/>
      <c r="T60" s="265"/>
      <c r="U60" s="265"/>
      <c r="V60" s="265"/>
      <c r="W60" s="265"/>
      <c r="X60" s="265"/>
      <c r="Y60" s="265"/>
      <c r="Z60" s="265"/>
      <c r="AA60" s="265"/>
      <c r="AB60" s="265"/>
      <c r="AC60" s="265"/>
      <c r="AD60" s="265"/>
      <c r="AE60" s="265"/>
      <c r="AF60" s="265"/>
      <c r="AG60" s="265"/>
      <c r="AH60" s="265"/>
      <c r="AI60" s="265"/>
      <c r="AJ60" s="265"/>
      <c r="AK60" s="265"/>
      <c r="AL60" s="265"/>
      <c r="AM60" s="265"/>
      <c r="AN60" s="265"/>
      <c r="AO60" s="265"/>
      <c r="AP60" s="265"/>
      <c r="AQ60" s="265"/>
      <c r="AR60" s="265"/>
      <c r="AS60" s="265"/>
      <c r="AT60" s="265"/>
      <c r="AU60" s="265"/>
      <c r="AV60" s="265"/>
      <c r="AW60" s="265"/>
      <c r="AX60" s="265"/>
      <c r="AY60" s="265"/>
      <c r="AZ60" s="265"/>
      <c r="BA60" s="265"/>
      <c r="BB60" s="265"/>
      <c r="BC60" s="265"/>
      <c r="BD60" s="265"/>
      <c r="BE60" s="265"/>
      <c r="BF60" s="265"/>
      <c r="BG60" s="265"/>
      <c r="BH60" s="265"/>
      <c r="BI60" s="265"/>
      <c r="BJ60" s="265"/>
      <c r="BK60" s="265"/>
      <c r="BL60" s="265"/>
      <c r="BM60" s="265"/>
      <c r="BN60" s="265"/>
      <c r="BO60" s="265"/>
      <c r="BP60" s="265"/>
      <c r="BQ60" s="265"/>
      <c r="BR60" s="265"/>
    </row>
    <row r="61" spans="1:70" ht="48.75" customHeight="1" x14ac:dyDescent="0.25">
      <c r="A61" s="455"/>
      <c r="B61" s="456"/>
      <c r="C61" s="457"/>
      <c r="D61" s="458"/>
      <c r="E61" s="458"/>
      <c r="F61" s="454"/>
      <c r="G61" s="454"/>
      <c r="H61" s="454"/>
      <c r="I61" s="454"/>
      <c r="J61" s="454"/>
      <c r="K61" s="454"/>
      <c r="L61" s="454"/>
      <c r="M61" s="454"/>
      <c r="N61" s="265"/>
      <c r="O61" s="265"/>
      <c r="P61" s="265"/>
      <c r="Q61" s="265"/>
      <c r="R61" s="265"/>
      <c r="S61" s="265"/>
      <c r="T61" s="265"/>
      <c r="U61" s="265"/>
      <c r="V61" s="265"/>
      <c r="W61" s="265"/>
      <c r="X61" s="265"/>
      <c r="Y61" s="265"/>
      <c r="Z61" s="265"/>
      <c r="AA61" s="265"/>
      <c r="AB61" s="265"/>
      <c r="AC61" s="265"/>
      <c r="AD61" s="265"/>
      <c r="AE61" s="265"/>
      <c r="AF61" s="265"/>
      <c r="AG61" s="265"/>
      <c r="AH61" s="265"/>
      <c r="AI61" s="265"/>
      <c r="AJ61" s="265"/>
      <c r="AK61" s="265"/>
      <c r="AL61" s="265"/>
      <c r="AM61" s="265"/>
      <c r="AN61" s="265"/>
      <c r="AO61" s="265"/>
      <c r="AP61" s="265"/>
      <c r="AQ61" s="265"/>
      <c r="AR61" s="265"/>
      <c r="AS61" s="265"/>
      <c r="AT61" s="265"/>
      <c r="AU61" s="265"/>
      <c r="AV61" s="265"/>
      <c r="AW61" s="265"/>
      <c r="AX61" s="265"/>
      <c r="AY61" s="265"/>
      <c r="AZ61" s="265"/>
      <c r="BA61" s="265"/>
      <c r="BB61" s="265"/>
      <c r="BC61" s="265"/>
      <c r="BD61" s="265"/>
      <c r="BE61" s="265"/>
      <c r="BF61" s="265"/>
      <c r="BG61" s="265"/>
      <c r="BH61" s="265"/>
      <c r="BI61" s="265"/>
      <c r="BJ61" s="265"/>
      <c r="BK61" s="265"/>
      <c r="BL61" s="265"/>
      <c r="BM61" s="265"/>
      <c r="BN61" s="265"/>
      <c r="BO61" s="265"/>
      <c r="BP61" s="265"/>
      <c r="BQ61" s="265"/>
      <c r="BR61" s="265"/>
    </row>
    <row r="62" spans="1:70" ht="48.75" customHeight="1" x14ac:dyDescent="0.25">
      <c r="A62" s="455"/>
      <c r="B62" s="456"/>
      <c r="C62" s="457"/>
      <c r="D62" s="458"/>
      <c r="E62" s="458"/>
      <c r="F62" s="454"/>
      <c r="G62" s="454"/>
      <c r="H62" s="454"/>
      <c r="I62" s="454"/>
      <c r="J62" s="454"/>
      <c r="K62" s="454"/>
      <c r="L62" s="454"/>
      <c r="M62" s="454"/>
      <c r="N62" s="265"/>
      <c r="O62" s="265"/>
      <c r="P62" s="265"/>
      <c r="Q62" s="265"/>
      <c r="R62" s="265"/>
      <c r="S62" s="265"/>
      <c r="T62" s="265"/>
      <c r="U62" s="265"/>
      <c r="V62" s="265"/>
      <c r="W62" s="265"/>
      <c r="X62" s="265"/>
      <c r="Y62" s="265"/>
      <c r="Z62" s="265"/>
      <c r="AA62" s="265"/>
      <c r="AB62" s="265"/>
      <c r="AC62" s="265"/>
      <c r="AD62" s="265"/>
      <c r="AE62" s="265"/>
      <c r="AF62" s="265"/>
      <c r="AG62" s="265"/>
      <c r="AH62" s="265"/>
      <c r="AI62" s="265"/>
      <c r="AJ62" s="265"/>
      <c r="AK62" s="265"/>
      <c r="AL62" s="265"/>
      <c r="AM62" s="265"/>
      <c r="AN62" s="265"/>
      <c r="AO62" s="265"/>
      <c r="AP62" s="265"/>
      <c r="AQ62" s="265"/>
      <c r="AR62" s="265"/>
      <c r="AS62" s="265"/>
      <c r="AT62" s="265"/>
      <c r="AU62" s="265"/>
      <c r="AV62" s="265"/>
      <c r="AW62" s="265"/>
      <c r="AX62" s="265"/>
      <c r="AY62" s="265"/>
      <c r="AZ62" s="265"/>
      <c r="BA62" s="265"/>
      <c r="BB62" s="265"/>
      <c r="BC62" s="265"/>
      <c r="BD62" s="265"/>
      <c r="BE62" s="265"/>
      <c r="BF62" s="265"/>
      <c r="BG62" s="265"/>
      <c r="BH62" s="265"/>
      <c r="BI62" s="265"/>
      <c r="BJ62" s="265"/>
      <c r="BK62" s="265"/>
      <c r="BL62" s="265"/>
      <c r="BM62" s="265"/>
      <c r="BN62" s="265"/>
      <c r="BO62" s="265"/>
      <c r="BP62" s="265"/>
      <c r="BQ62" s="265"/>
      <c r="BR62" s="265"/>
    </row>
    <row r="63" spans="1:70" ht="48.75" customHeight="1" x14ac:dyDescent="0.25">
      <c r="A63" s="455"/>
      <c r="B63" s="456"/>
      <c r="C63" s="457"/>
      <c r="D63" s="458"/>
      <c r="E63" s="458"/>
      <c r="F63" s="454" t="str">
        <f t="shared" si="3"/>
        <v>No</v>
      </c>
      <c r="G63" s="454" t="str">
        <f t="shared" ref="G63:M63" si="5">IFERROR(IF($E63="","No",IF($E63="No","No"," "))," ")</f>
        <v>No</v>
      </c>
      <c r="H63" s="454" t="str">
        <f t="shared" si="5"/>
        <v>No</v>
      </c>
      <c r="I63" s="454" t="str">
        <f t="shared" si="5"/>
        <v>No</v>
      </c>
      <c r="J63" s="454" t="str">
        <f t="shared" si="5"/>
        <v>No</v>
      </c>
      <c r="K63" s="454" t="str">
        <f t="shared" si="5"/>
        <v>No</v>
      </c>
      <c r="L63" s="454" t="str">
        <f t="shared" si="5"/>
        <v>No</v>
      </c>
      <c r="M63" s="454" t="str">
        <f t="shared" si="5"/>
        <v>No</v>
      </c>
      <c r="N63" s="265"/>
      <c r="O63" s="265"/>
      <c r="P63" s="265"/>
      <c r="Q63" s="265"/>
      <c r="R63" s="265"/>
      <c r="S63" s="265"/>
      <c r="T63" s="265"/>
      <c r="U63" s="265"/>
      <c r="V63" s="265"/>
      <c r="W63" s="265"/>
      <c r="X63" s="265"/>
      <c r="Y63" s="265"/>
      <c r="Z63" s="265"/>
      <c r="AA63" s="265"/>
      <c r="AB63" s="265"/>
      <c r="AC63" s="265"/>
      <c r="AD63" s="265"/>
      <c r="AE63" s="265"/>
      <c r="AF63" s="265"/>
      <c r="AG63" s="265"/>
      <c r="AH63" s="265"/>
      <c r="AI63" s="265"/>
      <c r="AJ63" s="265"/>
      <c r="AK63" s="265"/>
      <c r="AL63" s="265"/>
      <c r="AM63" s="265"/>
      <c r="AN63" s="265"/>
      <c r="AO63" s="265"/>
      <c r="AP63" s="265"/>
      <c r="AQ63" s="265"/>
      <c r="AR63" s="265"/>
      <c r="AS63" s="265"/>
      <c r="AT63" s="265"/>
      <c r="AU63" s="265"/>
      <c r="AV63" s="265"/>
      <c r="AW63" s="265"/>
      <c r="AX63" s="265"/>
      <c r="AY63" s="265"/>
      <c r="AZ63" s="265"/>
      <c r="BA63" s="265"/>
      <c r="BB63" s="265"/>
      <c r="BC63" s="265"/>
      <c r="BD63" s="265"/>
      <c r="BE63" s="265"/>
      <c r="BF63" s="265"/>
      <c r="BG63" s="265"/>
      <c r="BH63" s="265"/>
      <c r="BI63" s="265"/>
      <c r="BJ63" s="265"/>
      <c r="BK63" s="265"/>
      <c r="BL63" s="265"/>
      <c r="BM63" s="265"/>
      <c r="BN63" s="265"/>
      <c r="BO63" s="265"/>
      <c r="BP63" s="265"/>
      <c r="BQ63" s="265"/>
      <c r="BR63" s="265"/>
    </row>
    <row r="64" spans="1:70" ht="48.75" customHeight="1" x14ac:dyDescent="0.25">
      <c r="A64" s="455"/>
      <c r="B64" s="456"/>
      <c r="C64" s="457"/>
      <c r="D64" s="458"/>
      <c r="E64" s="458"/>
      <c r="F64" s="454"/>
      <c r="G64" s="454"/>
      <c r="H64" s="454"/>
      <c r="I64" s="454"/>
      <c r="J64" s="454"/>
      <c r="K64" s="454"/>
      <c r="L64" s="454"/>
      <c r="M64" s="454"/>
      <c r="N64" s="265"/>
      <c r="O64" s="265"/>
      <c r="P64" s="265"/>
      <c r="Q64" s="265"/>
      <c r="R64" s="265"/>
      <c r="S64" s="265"/>
      <c r="T64" s="265"/>
      <c r="U64" s="265"/>
      <c r="V64" s="265"/>
      <c r="W64" s="265"/>
      <c r="X64" s="265"/>
      <c r="Y64" s="265"/>
      <c r="Z64" s="265"/>
      <c r="AA64" s="265"/>
      <c r="AB64" s="265"/>
      <c r="AC64" s="265"/>
      <c r="AD64" s="265"/>
      <c r="AE64" s="265"/>
      <c r="AF64" s="265"/>
      <c r="AG64" s="265"/>
      <c r="AH64" s="265"/>
      <c r="AI64" s="265"/>
      <c r="AJ64" s="265"/>
      <c r="AK64" s="265"/>
      <c r="AL64" s="265"/>
      <c r="AM64" s="265"/>
      <c r="AN64" s="265"/>
      <c r="AO64" s="265"/>
      <c r="AP64" s="265"/>
      <c r="AQ64" s="265"/>
      <c r="AR64" s="265"/>
      <c r="AS64" s="265"/>
      <c r="AT64" s="265"/>
      <c r="AU64" s="265"/>
      <c r="AV64" s="265"/>
      <c r="AW64" s="265"/>
      <c r="AX64" s="265"/>
      <c r="AY64" s="265"/>
      <c r="AZ64" s="265"/>
      <c r="BA64" s="265"/>
      <c r="BB64" s="265"/>
      <c r="BC64" s="265"/>
      <c r="BD64" s="265"/>
      <c r="BE64" s="265"/>
      <c r="BF64" s="265"/>
      <c r="BG64" s="265"/>
      <c r="BH64" s="265"/>
      <c r="BI64" s="265"/>
      <c r="BJ64" s="265"/>
      <c r="BK64" s="265"/>
      <c r="BL64" s="265"/>
      <c r="BM64" s="265"/>
      <c r="BN64" s="265"/>
      <c r="BO64" s="265"/>
      <c r="BP64" s="265"/>
      <c r="BQ64" s="265"/>
      <c r="BR64" s="265"/>
    </row>
    <row r="65" spans="1:70" ht="48.75" customHeight="1" x14ac:dyDescent="0.25">
      <c r="A65" s="455"/>
      <c r="B65" s="456"/>
      <c r="C65" s="457"/>
      <c r="D65" s="458"/>
      <c r="E65" s="458"/>
      <c r="F65" s="454"/>
      <c r="G65" s="454"/>
      <c r="H65" s="454"/>
      <c r="I65" s="454"/>
      <c r="J65" s="454"/>
      <c r="K65" s="454"/>
      <c r="L65" s="454"/>
      <c r="M65" s="454"/>
      <c r="N65" s="265"/>
      <c r="O65" s="265"/>
      <c r="P65" s="265"/>
      <c r="Q65" s="265"/>
      <c r="R65" s="265"/>
      <c r="S65" s="265"/>
      <c r="T65" s="265"/>
      <c r="U65" s="265"/>
      <c r="V65" s="265"/>
      <c r="W65" s="265"/>
      <c r="X65" s="265"/>
      <c r="Y65" s="265"/>
      <c r="Z65" s="265"/>
      <c r="AA65" s="265"/>
      <c r="AB65" s="265"/>
      <c r="AC65" s="265"/>
      <c r="AD65" s="265"/>
      <c r="AE65" s="265"/>
      <c r="AF65" s="265"/>
      <c r="AG65" s="265"/>
      <c r="AH65" s="265"/>
      <c r="AI65" s="265"/>
      <c r="AJ65" s="265"/>
      <c r="AK65" s="265"/>
      <c r="AL65" s="265"/>
      <c r="AM65" s="265"/>
      <c r="AN65" s="265"/>
      <c r="AO65" s="265"/>
      <c r="AP65" s="265"/>
      <c r="AQ65" s="265"/>
      <c r="AR65" s="265"/>
      <c r="AS65" s="265"/>
      <c r="AT65" s="265"/>
      <c r="AU65" s="265"/>
      <c r="AV65" s="265"/>
      <c r="AW65" s="265"/>
      <c r="AX65" s="265"/>
      <c r="AY65" s="265"/>
      <c r="AZ65" s="265"/>
      <c r="BA65" s="265"/>
      <c r="BB65" s="265"/>
      <c r="BC65" s="265"/>
      <c r="BD65" s="265"/>
      <c r="BE65" s="265"/>
      <c r="BF65" s="265"/>
      <c r="BG65" s="265"/>
      <c r="BH65" s="265"/>
      <c r="BI65" s="265"/>
      <c r="BJ65" s="265"/>
      <c r="BK65" s="265"/>
      <c r="BL65" s="265"/>
      <c r="BM65" s="265"/>
      <c r="BN65" s="265"/>
      <c r="BO65" s="265"/>
      <c r="BP65" s="265"/>
      <c r="BQ65" s="265"/>
      <c r="BR65" s="265"/>
    </row>
    <row r="66" spans="1:70" ht="48.75" customHeight="1" x14ac:dyDescent="0.25">
      <c r="A66" s="455"/>
      <c r="B66" s="456"/>
      <c r="C66" s="457"/>
      <c r="D66" s="458"/>
      <c r="E66" s="458"/>
      <c r="F66" s="454" t="str">
        <f t="shared" si="3"/>
        <v>No</v>
      </c>
      <c r="G66" s="454" t="str">
        <f t="shared" ref="G66:M66" si="6">IFERROR(IF($E66="","No",IF($E66="No","No"," "))," ")</f>
        <v>No</v>
      </c>
      <c r="H66" s="454" t="str">
        <f t="shared" si="6"/>
        <v>No</v>
      </c>
      <c r="I66" s="454" t="str">
        <f t="shared" si="6"/>
        <v>No</v>
      </c>
      <c r="J66" s="454" t="str">
        <f t="shared" si="6"/>
        <v>No</v>
      </c>
      <c r="K66" s="454" t="str">
        <f t="shared" si="6"/>
        <v>No</v>
      </c>
      <c r="L66" s="454" t="str">
        <f t="shared" si="6"/>
        <v>No</v>
      </c>
      <c r="M66" s="454" t="str">
        <f t="shared" si="6"/>
        <v>No</v>
      </c>
      <c r="N66" s="265"/>
      <c r="O66" s="265"/>
      <c r="P66" s="265"/>
      <c r="Q66" s="265"/>
      <c r="R66" s="265"/>
      <c r="S66" s="265"/>
      <c r="T66" s="265"/>
      <c r="U66" s="265"/>
      <c r="V66" s="265"/>
      <c r="W66" s="265"/>
      <c r="X66" s="265"/>
      <c r="Y66" s="265"/>
      <c r="Z66" s="265"/>
      <c r="AA66" s="265"/>
      <c r="AB66" s="265"/>
      <c r="AC66" s="265"/>
      <c r="AD66" s="265"/>
      <c r="AE66" s="265"/>
      <c r="AF66" s="265"/>
      <c r="AG66" s="265"/>
      <c r="AH66" s="265"/>
      <c r="AI66" s="265"/>
      <c r="AJ66" s="265"/>
      <c r="AK66" s="265"/>
      <c r="AL66" s="265"/>
      <c r="AM66" s="265"/>
      <c r="AN66" s="265"/>
      <c r="AO66" s="265"/>
      <c r="AP66" s="265"/>
      <c r="AQ66" s="265"/>
      <c r="AR66" s="265"/>
      <c r="AS66" s="265"/>
      <c r="AT66" s="265"/>
      <c r="AU66" s="265"/>
      <c r="AV66" s="265"/>
      <c r="AW66" s="265"/>
      <c r="AX66" s="265"/>
      <c r="AY66" s="265"/>
      <c r="AZ66" s="265"/>
      <c r="BA66" s="265"/>
      <c r="BB66" s="265"/>
      <c r="BC66" s="265"/>
      <c r="BD66" s="265"/>
      <c r="BE66" s="265"/>
      <c r="BF66" s="265"/>
      <c r="BG66" s="265"/>
      <c r="BH66" s="265"/>
      <c r="BI66" s="265"/>
      <c r="BJ66" s="265"/>
      <c r="BK66" s="265"/>
      <c r="BL66" s="265"/>
      <c r="BM66" s="265"/>
      <c r="BN66" s="265"/>
      <c r="BO66" s="265"/>
      <c r="BP66" s="265"/>
      <c r="BQ66" s="265"/>
      <c r="BR66" s="265"/>
    </row>
    <row r="67" spans="1:70" ht="48.75" customHeight="1" x14ac:dyDescent="0.25">
      <c r="A67" s="455"/>
      <c r="B67" s="456"/>
      <c r="C67" s="457"/>
      <c r="D67" s="458"/>
      <c r="E67" s="458"/>
      <c r="F67" s="454"/>
      <c r="G67" s="454"/>
      <c r="H67" s="454"/>
      <c r="I67" s="454"/>
      <c r="J67" s="454"/>
      <c r="K67" s="454"/>
      <c r="L67" s="454"/>
      <c r="M67" s="454"/>
      <c r="N67" s="265"/>
      <c r="O67" s="265"/>
      <c r="P67" s="265"/>
      <c r="Q67" s="265"/>
      <c r="R67" s="265"/>
      <c r="S67" s="265"/>
      <c r="T67" s="265"/>
      <c r="U67" s="265"/>
      <c r="V67" s="265"/>
      <c r="W67" s="265"/>
      <c r="X67" s="265"/>
      <c r="Y67" s="265"/>
      <c r="Z67" s="265"/>
      <c r="AA67" s="265"/>
      <c r="AB67" s="265"/>
      <c r="AC67" s="265"/>
      <c r="AD67" s="265"/>
      <c r="AE67" s="265"/>
      <c r="AF67" s="265"/>
      <c r="AG67" s="265"/>
      <c r="AH67" s="265"/>
      <c r="AI67" s="265"/>
      <c r="AJ67" s="265"/>
      <c r="AK67" s="265"/>
      <c r="AL67" s="265"/>
      <c r="AM67" s="265"/>
      <c r="AN67" s="265"/>
      <c r="AO67" s="265"/>
      <c r="AP67" s="265"/>
      <c r="AQ67" s="265"/>
      <c r="AR67" s="265"/>
      <c r="AS67" s="265"/>
      <c r="AT67" s="265"/>
      <c r="AU67" s="265"/>
      <c r="AV67" s="265"/>
      <c r="AW67" s="265"/>
      <c r="AX67" s="265"/>
      <c r="AY67" s="265"/>
      <c r="AZ67" s="265"/>
      <c r="BA67" s="265"/>
      <c r="BB67" s="265"/>
      <c r="BC67" s="265"/>
      <c r="BD67" s="265"/>
      <c r="BE67" s="265"/>
      <c r="BF67" s="265"/>
      <c r="BG67" s="265"/>
      <c r="BH67" s="265"/>
      <c r="BI67" s="265"/>
      <c r="BJ67" s="265"/>
      <c r="BK67" s="265"/>
      <c r="BL67" s="265"/>
      <c r="BM67" s="265"/>
      <c r="BN67" s="265"/>
      <c r="BO67" s="265"/>
      <c r="BP67" s="265"/>
      <c r="BQ67" s="265"/>
      <c r="BR67" s="265"/>
    </row>
    <row r="68" spans="1:70" ht="48.75" customHeight="1" x14ac:dyDescent="0.25">
      <c r="A68" s="455"/>
      <c r="B68" s="456"/>
      <c r="C68" s="457"/>
      <c r="D68" s="458"/>
      <c r="E68" s="458"/>
      <c r="F68" s="454"/>
      <c r="G68" s="454"/>
      <c r="H68" s="454"/>
      <c r="I68" s="454"/>
      <c r="J68" s="454"/>
      <c r="K68" s="454"/>
      <c r="L68" s="454"/>
      <c r="M68" s="454"/>
      <c r="N68" s="265"/>
      <c r="O68" s="265"/>
      <c r="P68" s="265"/>
      <c r="Q68" s="265"/>
      <c r="R68" s="265"/>
      <c r="S68" s="265"/>
      <c r="T68" s="265"/>
      <c r="U68" s="265"/>
      <c r="V68" s="265"/>
      <c r="W68" s="265"/>
      <c r="X68" s="265"/>
      <c r="Y68" s="265"/>
      <c r="Z68" s="265"/>
      <c r="AA68" s="265"/>
      <c r="AB68" s="265"/>
      <c r="AC68" s="265"/>
      <c r="AD68" s="265"/>
      <c r="AE68" s="265"/>
      <c r="AF68" s="265"/>
      <c r="AG68" s="265"/>
      <c r="AH68" s="265"/>
      <c r="AI68" s="265"/>
      <c r="AJ68" s="265"/>
      <c r="AK68" s="265"/>
      <c r="AL68" s="265"/>
      <c r="AM68" s="265"/>
      <c r="AN68" s="265"/>
      <c r="AO68" s="265"/>
      <c r="AP68" s="265"/>
      <c r="AQ68" s="265"/>
      <c r="AR68" s="265"/>
      <c r="AS68" s="265"/>
      <c r="AT68" s="265"/>
      <c r="AU68" s="265"/>
      <c r="AV68" s="265"/>
      <c r="AW68" s="265"/>
      <c r="AX68" s="265"/>
      <c r="AY68" s="265"/>
      <c r="AZ68" s="265"/>
      <c r="BA68" s="265"/>
      <c r="BB68" s="265"/>
      <c r="BC68" s="265"/>
      <c r="BD68" s="265"/>
      <c r="BE68" s="265"/>
      <c r="BF68" s="265"/>
      <c r="BG68" s="265"/>
      <c r="BH68" s="265"/>
      <c r="BI68" s="265"/>
      <c r="BJ68" s="265"/>
      <c r="BK68" s="265"/>
      <c r="BL68" s="265"/>
      <c r="BM68" s="265"/>
      <c r="BN68" s="265"/>
      <c r="BO68" s="265"/>
      <c r="BP68" s="265"/>
      <c r="BQ68" s="265"/>
      <c r="BR68" s="265"/>
    </row>
    <row r="69" spans="1:70" ht="48.75" customHeight="1" x14ac:dyDescent="0.25">
      <c r="A69" s="455"/>
      <c r="B69" s="456"/>
      <c r="C69" s="457"/>
      <c r="D69" s="458"/>
      <c r="E69" s="458"/>
      <c r="F69" s="454" t="str">
        <f t="shared" si="3"/>
        <v>No</v>
      </c>
      <c r="G69" s="454" t="str">
        <f t="shared" ref="G69:M69" si="7">IFERROR(IF($E69="","No",IF($E69="No","No"," "))," ")</f>
        <v>No</v>
      </c>
      <c r="H69" s="454" t="str">
        <f t="shared" si="7"/>
        <v>No</v>
      </c>
      <c r="I69" s="454" t="str">
        <f t="shared" si="7"/>
        <v>No</v>
      </c>
      <c r="J69" s="454" t="str">
        <f t="shared" si="7"/>
        <v>No</v>
      </c>
      <c r="K69" s="454" t="str">
        <f t="shared" si="7"/>
        <v>No</v>
      </c>
      <c r="L69" s="454" t="str">
        <f t="shared" si="7"/>
        <v>No</v>
      </c>
      <c r="M69" s="454" t="str">
        <f t="shared" si="7"/>
        <v>No</v>
      </c>
      <c r="N69" s="265"/>
      <c r="O69" s="265"/>
      <c r="P69" s="265"/>
      <c r="Q69" s="265"/>
      <c r="R69" s="265"/>
      <c r="S69" s="265"/>
      <c r="T69" s="265"/>
      <c r="U69" s="265"/>
      <c r="V69" s="265"/>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row>
    <row r="70" spans="1:70" ht="48.75" customHeight="1" x14ac:dyDescent="0.25">
      <c r="A70" s="455"/>
      <c r="B70" s="456"/>
      <c r="C70" s="457"/>
      <c r="D70" s="458"/>
      <c r="E70" s="458"/>
      <c r="F70" s="454"/>
      <c r="G70" s="454"/>
      <c r="H70" s="454"/>
      <c r="I70" s="454"/>
      <c r="J70" s="454"/>
      <c r="K70" s="454"/>
      <c r="L70" s="454"/>
      <c r="M70" s="454"/>
      <c r="N70" s="265"/>
      <c r="O70" s="265"/>
      <c r="P70" s="265"/>
      <c r="Q70" s="265"/>
      <c r="R70" s="265"/>
      <c r="S70" s="265"/>
      <c r="T70" s="265"/>
      <c r="U70" s="265"/>
      <c r="V70" s="265"/>
      <c r="W70" s="265"/>
      <c r="X70" s="265"/>
      <c r="Y70" s="265"/>
      <c r="Z70" s="265"/>
      <c r="AA70" s="265"/>
      <c r="AB70" s="265"/>
      <c r="AC70" s="265"/>
      <c r="AD70" s="265"/>
      <c r="AE70" s="265"/>
      <c r="AF70" s="265"/>
      <c r="AG70" s="265"/>
      <c r="AH70" s="265"/>
      <c r="AI70" s="265"/>
      <c r="AJ70" s="265"/>
      <c r="AK70" s="265"/>
      <c r="AL70" s="265"/>
      <c r="AM70" s="265"/>
      <c r="AN70" s="265"/>
      <c r="AO70" s="265"/>
      <c r="AP70" s="265"/>
      <c r="AQ70" s="265"/>
      <c r="AR70" s="265"/>
      <c r="AS70" s="265"/>
      <c r="AT70" s="265"/>
      <c r="AU70" s="265"/>
      <c r="AV70" s="265"/>
      <c r="AW70" s="265"/>
      <c r="AX70" s="265"/>
      <c r="AY70" s="265"/>
      <c r="AZ70" s="265"/>
      <c r="BA70" s="265"/>
      <c r="BB70" s="265"/>
      <c r="BC70" s="265"/>
      <c r="BD70" s="265"/>
      <c r="BE70" s="265"/>
      <c r="BF70" s="265"/>
      <c r="BG70" s="265"/>
      <c r="BH70" s="265"/>
      <c r="BI70" s="265"/>
      <c r="BJ70" s="265"/>
      <c r="BK70" s="265"/>
      <c r="BL70" s="265"/>
      <c r="BM70" s="265"/>
      <c r="BN70" s="265"/>
      <c r="BO70" s="265"/>
      <c r="BP70" s="265"/>
      <c r="BQ70" s="265"/>
      <c r="BR70" s="265"/>
    </row>
    <row r="71" spans="1:70" ht="48.75" customHeight="1" x14ac:dyDescent="0.25">
      <c r="A71" s="455"/>
      <c r="B71" s="456"/>
      <c r="C71" s="457"/>
      <c r="D71" s="458"/>
      <c r="E71" s="458"/>
      <c r="F71" s="454"/>
      <c r="G71" s="454"/>
      <c r="H71" s="454"/>
      <c r="I71" s="454"/>
      <c r="J71" s="454"/>
      <c r="K71" s="454"/>
      <c r="L71" s="454"/>
      <c r="M71" s="454"/>
      <c r="N71" s="265"/>
      <c r="O71" s="265"/>
      <c r="P71" s="265"/>
      <c r="Q71" s="265"/>
      <c r="R71" s="265"/>
      <c r="S71" s="265"/>
      <c r="T71" s="265"/>
      <c r="U71" s="265"/>
      <c r="V71" s="265"/>
      <c r="W71" s="265"/>
      <c r="X71" s="265"/>
      <c r="Y71" s="265"/>
      <c r="Z71" s="265"/>
      <c r="AA71" s="265"/>
      <c r="AB71" s="265"/>
      <c r="AC71" s="265"/>
      <c r="AD71" s="265"/>
      <c r="AE71" s="265"/>
      <c r="AF71" s="265"/>
      <c r="AG71" s="265"/>
      <c r="AH71" s="265"/>
      <c r="AI71" s="265"/>
      <c r="AJ71" s="265"/>
      <c r="AK71" s="265"/>
      <c r="AL71" s="265"/>
      <c r="AM71" s="265"/>
      <c r="AN71" s="265"/>
      <c r="AO71" s="265"/>
      <c r="AP71" s="265"/>
      <c r="AQ71" s="265"/>
      <c r="AR71" s="265"/>
      <c r="AS71" s="265"/>
      <c r="AT71" s="265"/>
      <c r="AU71" s="265"/>
      <c r="AV71" s="265"/>
      <c r="AW71" s="265"/>
      <c r="AX71" s="265"/>
      <c r="AY71" s="265"/>
      <c r="AZ71" s="265"/>
      <c r="BA71" s="265"/>
      <c r="BB71" s="265"/>
      <c r="BC71" s="265"/>
      <c r="BD71" s="265"/>
      <c r="BE71" s="265"/>
      <c r="BF71" s="265"/>
      <c r="BG71" s="265"/>
      <c r="BH71" s="265"/>
      <c r="BI71" s="265"/>
      <c r="BJ71" s="265"/>
      <c r="BK71" s="265"/>
      <c r="BL71" s="265"/>
      <c r="BM71" s="265"/>
      <c r="BN71" s="265"/>
      <c r="BO71" s="265"/>
      <c r="BP71" s="265"/>
      <c r="BQ71" s="265"/>
      <c r="BR71" s="265"/>
    </row>
  </sheetData>
  <sheetProtection algorithmName="SHA-512" hashValue="U2yRvc1yDl20GqBPDmiGzIjd9wiCNLZ/kY1zr2x15+NU/A3PB4FDjZcOQzDGT01p5Jqu4j35jQThWDH8P+z+PQ==" saltValue="zmBxh8MPtwrTrykBZDa/Ew=="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4"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N12" sqref="A12:XFD4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64"/>
      <c r="B1" s="164"/>
      <c r="C1" s="164"/>
      <c r="D1" s="164"/>
      <c r="E1" s="164"/>
      <c r="F1" s="164"/>
      <c r="G1" s="164"/>
      <c r="H1" s="164"/>
      <c r="I1" s="164"/>
      <c r="J1" s="164"/>
      <c r="K1" s="164"/>
      <c r="L1" s="164"/>
      <c r="M1" s="164"/>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506" t="s">
        <v>60</v>
      </c>
      <c r="B2" s="507"/>
      <c r="C2" s="507"/>
      <c r="D2" s="491" t="s">
        <v>106</v>
      </c>
      <c r="E2" s="492"/>
      <c r="F2" s="492"/>
      <c r="G2" s="492"/>
      <c r="H2" s="492"/>
      <c r="I2" s="492"/>
      <c r="J2" s="492"/>
      <c r="K2" s="492"/>
      <c r="L2" s="493"/>
      <c r="M2" s="508" t="s">
        <v>107</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510"/>
      <c r="B3" s="511"/>
      <c r="C3" s="511"/>
      <c r="D3" s="494" t="s">
        <v>63</v>
      </c>
      <c r="E3" s="495"/>
      <c r="F3" s="495"/>
      <c r="G3" s="495"/>
      <c r="H3" s="495"/>
      <c r="I3" s="495"/>
      <c r="J3" s="495"/>
      <c r="K3" s="495"/>
      <c r="L3" s="496"/>
      <c r="M3" s="509"/>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510"/>
      <c r="B4" s="511"/>
      <c r="C4" s="511"/>
      <c r="D4" s="497"/>
      <c r="E4" s="498"/>
      <c r="F4" s="498"/>
      <c r="G4" s="498"/>
      <c r="H4" s="498"/>
      <c r="I4" s="498"/>
      <c r="J4" s="498"/>
      <c r="K4" s="498"/>
      <c r="L4" s="499"/>
      <c r="M4" s="165"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510"/>
      <c r="B5" s="511"/>
      <c r="C5" s="511"/>
      <c r="D5" s="500" t="s">
        <v>65</v>
      </c>
      <c r="E5" s="501"/>
      <c r="F5" s="501"/>
      <c r="G5" s="501"/>
      <c r="H5" s="501"/>
      <c r="I5" s="501"/>
      <c r="J5" s="501"/>
      <c r="K5" s="501"/>
      <c r="L5" s="502"/>
      <c r="M5" s="165" t="s">
        <v>108</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510"/>
      <c r="B6" s="511"/>
      <c r="C6" s="511"/>
      <c r="D6" s="503" t="s">
        <v>67</v>
      </c>
      <c r="E6" s="504"/>
      <c r="F6" s="504"/>
      <c r="G6" s="504"/>
      <c r="H6" s="504"/>
      <c r="I6" s="504"/>
      <c r="J6" s="504"/>
      <c r="K6" s="504"/>
      <c r="L6" s="505"/>
      <c r="M6" s="165"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512"/>
      <c r="B7" s="513"/>
      <c r="C7" s="513"/>
      <c r="D7" s="513"/>
      <c r="E7" s="513"/>
      <c r="F7" s="513"/>
      <c r="G7" s="513"/>
      <c r="H7" s="513"/>
      <c r="I7" s="513"/>
      <c r="J7" s="513"/>
      <c r="K7" s="513"/>
      <c r="L7" s="513"/>
      <c r="M7" s="514"/>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66"/>
      <c r="B8" s="167"/>
      <c r="C8" s="168"/>
      <c r="D8" s="168"/>
      <c r="E8" s="168"/>
      <c r="F8" s="168"/>
      <c r="G8" s="168"/>
      <c r="H8" s="168"/>
      <c r="I8" s="168"/>
      <c r="J8" s="168"/>
      <c r="K8" s="168"/>
      <c r="L8" s="168"/>
      <c r="M8" s="16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515" t="s">
        <v>938</v>
      </c>
      <c r="B9" s="516"/>
      <c r="C9" s="516"/>
      <c r="D9" s="516"/>
      <c r="E9" s="516"/>
      <c r="F9" s="516"/>
      <c r="G9" s="516"/>
      <c r="H9" s="516"/>
      <c r="I9" s="516"/>
      <c r="J9" s="516"/>
      <c r="K9" s="516"/>
      <c r="L9" s="516"/>
      <c r="M9" s="516"/>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517" t="s">
        <v>109</v>
      </c>
      <c r="B10" s="517" t="s">
        <v>110</v>
      </c>
      <c r="C10" s="517"/>
      <c r="D10" s="517" t="s">
        <v>122</v>
      </c>
      <c r="E10" s="517" t="s">
        <v>112</v>
      </c>
      <c r="F10" s="517" t="s">
        <v>113</v>
      </c>
      <c r="G10" s="517"/>
      <c r="H10" s="517"/>
      <c r="I10" s="517"/>
      <c r="J10" s="517"/>
      <c r="K10" s="517"/>
      <c r="L10" s="517"/>
      <c r="M10" s="517"/>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517"/>
      <c r="B11" s="170" t="s">
        <v>114</v>
      </c>
      <c r="C11" s="170" t="s">
        <v>21</v>
      </c>
      <c r="D11" s="517"/>
      <c r="E11" s="517"/>
      <c r="F11" s="170" t="s">
        <v>115</v>
      </c>
      <c r="G11" s="170" t="s">
        <v>123</v>
      </c>
      <c r="H11" s="170" t="s">
        <v>117</v>
      </c>
      <c r="I11" s="170" t="s">
        <v>118</v>
      </c>
      <c r="J11" s="170" t="s">
        <v>124</v>
      </c>
      <c r="K11" s="170" t="s">
        <v>93</v>
      </c>
      <c r="L11" s="170" t="s">
        <v>120</v>
      </c>
      <c r="M11" s="170" t="s">
        <v>121</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117.75" customHeight="1" x14ac:dyDescent="0.3">
      <c r="A12" s="518" t="s">
        <v>125</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117.75" customHeight="1" x14ac:dyDescent="0.3">
      <c r="A13" s="518"/>
      <c r="B13" s="456"/>
      <c r="C13" s="457"/>
      <c r="D13" s="489"/>
      <c r="E13" s="490"/>
      <c r="F13" s="486"/>
      <c r="G13" s="486"/>
      <c r="H13" s="486"/>
      <c r="I13" s="486"/>
      <c r="J13" s="486"/>
      <c r="K13" s="486"/>
      <c r="L13" s="486"/>
      <c r="M13" s="486"/>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117.75" customHeight="1" x14ac:dyDescent="0.3">
      <c r="A14" s="518"/>
      <c r="B14" s="456"/>
      <c r="C14" s="457"/>
      <c r="D14" s="489"/>
      <c r="E14" s="490"/>
      <c r="F14" s="486"/>
      <c r="G14" s="486"/>
      <c r="H14" s="486"/>
      <c r="I14" s="486"/>
      <c r="J14" s="486"/>
      <c r="K14" s="486"/>
      <c r="L14" s="486"/>
      <c r="M14" s="486"/>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117.75" customHeight="1" x14ac:dyDescent="0.3">
      <c r="A15" s="518"/>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117.75" customHeight="1" x14ac:dyDescent="0.3">
      <c r="A16" s="518"/>
      <c r="B16" s="456"/>
      <c r="C16" s="457"/>
      <c r="D16" s="489"/>
      <c r="E16" s="490"/>
      <c r="F16" s="486"/>
      <c r="G16" s="486"/>
      <c r="H16" s="486"/>
      <c r="I16" s="486"/>
      <c r="J16" s="486"/>
      <c r="K16" s="486"/>
      <c r="L16" s="486"/>
      <c r="M16" s="486"/>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117.75" customHeight="1" x14ac:dyDescent="0.3">
      <c r="A17" s="518"/>
      <c r="B17" s="456"/>
      <c r="C17" s="457"/>
      <c r="D17" s="489"/>
      <c r="E17" s="490"/>
      <c r="F17" s="486"/>
      <c r="G17" s="486"/>
      <c r="H17" s="486"/>
      <c r="I17" s="486"/>
      <c r="J17" s="486"/>
      <c r="K17" s="486"/>
      <c r="L17" s="486"/>
      <c r="M17" s="486"/>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117.75" customHeight="1" x14ac:dyDescent="0.3">
      <c r="A18" s="518"/>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ref="F18" si="2">IFERROR(IF($E18="","No",IF($E18="No","No"," "))," ")</f>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117.75" customHeight="1" x14ac:dyDescent="0.3">
      <c r="A19" s="518"/>
      <c r="B19" s="456"/>
      <c r="C19" s="457"/>
      <c r="D19" s="489"/>
      <c r="E19" s="490"/>
      <c r="F19" s="486"/>
      <c r="G19" s="486"/>
      <c r="H19" s="486"/>
      <c r="I19" s="486"/>
      <c r="J19" s="486"/>
      <c r="K19" s="486"/>
      <c r="L19" s="486"/>
      <c r="M19" s="486"/>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117.75" customHeight="1" x14ac:dyDescent="0.3">
      <c r="A20" s="518"/>
      <c r="B20" s="456"/>
      <c r="C20" s="457"/>
      <c r="D20" s="489"/>
      <c r="E20" s="490"/>
      <c r="F20" s="486"/>
      <c r="G20" s="486"/>
      <c r="H20" s="486"/>
      <c r="I20" s="486"/>
      <c r="J20" s="486"/>
      <c r="K20" s="486"/>
      <c r="L20" s="486"/>
      <c r="M20" s="486"/>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117.75" customHeight="1" x14ac:dyDescent="0.3">
      <c r="A21" s="518"/>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ref="F21" si="3">IFERROR(IF($E21="","No",IF($E21="No","No"," "))," ")</f>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117.75" customHeight="1" x14ac:dyDescent="0.3">
      <c r="A22" s="518"/>
      <c r="B22" s="456"/>
      <c r="C22" s="457"/>
      <c r="D22" s="489"/>
      <c r="E22" s="490"/>
      <c r="F22" s="486"/>
      <c r="G22" s="486"/>
      <c r="H22" s="486"/>
      <c r="I22" s="486"/>
      <c r="J22" s="486"/>
      <c r="K22" s="486"/>
      <c r="L22" s="486"/>
      <c r="M22" s="486"/>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117.75" customHeight="1" x14ac:dyDescent="0.3">
      <c r="A23" s="518"/>
      <c r="B23" s="456"/>
      <c r="C23" s="457"/>
      <c r="D23" s="489"/>
      <c r="E23" s="490"/>
      <c r="F23" s="486"/>
      <c r="G23" s="486"/>
      <c r="H23" s="486"/>
      <c r="I23" s="486"/>
      <c r="J23" s="486"/>
      <c r="K23" s="486"/>
      <c r="L23" s="486"/>
      <c r="M23" s="486"/>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117.75" customHeight="1" x14ac:dyDescent="0.3">
      <c r="A24" s="518"/>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ref="F24" si="4">IFERROR(IF($E24="","No",IF($E24="No","No"," "))," ")</f>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117.75" customHeight="1" x14ac:dyDescent="0.3">
      <c r="A25" s="518"/>
      <c r="B25" s="456"/>
      <c r="C25" s="457"/>
      <c r="D25" s="489"/>
      <c r="E25" s="490"/>
      <c r="F25" s="486"/>
      <c r="G25" s="486"/>
      <c r="H25" s="486"/>
      <c r="I25" s="486"/>
      <c r="J25" s="486"/>
      <c r="K25" s="486"/>
      <c r="L25" s="486"/>
      <c r="M25" s="486"/>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117.75" customHeight="1" x14ac:dyDescent="0.3">
      <c r="A26" s="518"/>
      <c r="B26" s="456"/>
      <c r="C26" s="457"/>
      <c r="D26" s="489"/>
      <c r="E26" s="490"/>
      <c r="F26" s="486"/>
      <c r="G26" s="486"/>
      <c r="H26" s="486"/>
      <c r="I26" s="486"/>
      <c r="J26" s="486"/>
      <c r="K26" s="486"/>
      <c r="L26" s="486"/>
      <c r="M26" s="486"/>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117.75" customHeight="1" x14ac:dyDescent="0.3">
      <c r="A27" s="518"/>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ref="F27" si="5">IFERROR(IF($E27="","No",IF($E27="No","No"," "))," ")</f>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117.75" customHeight="1" x14ac:dyDescent="0.3">
      <c r="A28" s="518"/>
      <c r="B28" s="456"/>
      <c r="C28" s="457"/>
      <c r="D28" s="489"/>
      <c r="E28" s="490"/>
      <c r="F28" s="486"/>
      <c r="G28" s="486"/>
      <c r="H28" s="486"/>
      <c r="I28" s="486"/>
      <c r="J28" s="486"/>
      <c r="K28" s="486"/>
      <c r="L28" s="486"/>
      <c r="M28" s="486"/>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117.75" customHeight="1" x14ac:dyDescent="0.3">
      <c r="A29" s="518"/>
      <c r="B29" s="456"/>
      <c r="C29" s="457"/>
      <c r="D29" s="489"/>
      <c r="E29" s="490"/>
      <c r="F29" s="486"/>
      <c r="G29" s="486"/>
      <c r="H29" s="486"/>
      <c r="I29" s="486"/>
      <c r="J29" s="486"/>
      <c r="K29" s="486"/>
      <c r="L29" s="486"/>
      <c r="M29" s="486"/>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117.75" customHeight="1" x14ac:dyDescent="0.3">
      <c r="A30" s="518"/>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ref="F30" si="6">IFERROR(IF($E30="","No",IF($E30="No","No"," "))," ")</f>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117.75" customHeight="1" x14ac:dyDescent="0.3">
      <c r="A31" s="518"/>
      <c r="B31" s="456"/>
      <c r="C31" s="457"/>
      <c r="D31" s="489"/>
      <c r="E31" s="490"/>
      <c r="F31" s="486"/>
      <c r="G31" s="486"/>
      <c r="H31" s="486"/>
      <c r="I31" s="486"/>
      <c r="J31" s="486"/>
      <c r="K31" s="486"/>
      <c r="L31" s="486"/>
      <c r="M31" s="486"/>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117.75" customHeight="1" x14ac:dyDescent="0.3">
      <c r="A32" s="518"/>
      <c r="B32" s="456"/>
      <c r="C32" s="457"/>
      <c r="D32" s="489"/>
      <c r="E32" s="490"/>
      <c r="F32" s="486"/>
      <c r="G32" s="486"/>
      <c r="H32" s="486"/>
      <c r="I32" s="486"/>
      <c r="J32" s="486"/>
      <c r="K32" s="486"/>
      <c r="L32" s="486"/>
      <c r="M32" s="486"/>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117.75" customHeight="1" x14ac:dyDescent="0.3">
      <c r="A33" s="518"/>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ref="F33" si="7">IFERROR(IF($E33="","No",IF($E33="No","No"," "))," ")</f>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117.75" customHeight="1" x14ac:dyDescent="0.3">
      <c r="A34" s="518"/>
      <c r="B34" s="456"/>
      <c r="C34" s="457"/>
      <c r="D34" s="489"/>
      <c r="E34" s="490"/>
      <c r="F34" s="486"/>
      <c r="G34" s="486"/>
      <c r="H34" s="486"/>
      <c r="I34" s="486"/>
      <c r="J34" s="486"/>
      <c r="K34" s="486"/>
      <c r="L34" s="486"/>
      <c r="M34" s="486"/>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117.75" customHeight="1" x14ac:dyDescent="0.3">
      <c r="A35" s="518"/>
      <c r="B35" s="456"/>
      <c r="C35" s="457"/>
      <c r="D35" s="489"/>
      <c r="E35" s="490"/>
      <c r="F35" s="486"/>
      <c r="G35" s="486"/>
      <c r="H35" s="486"/>
      <c r="I35" s="486"/>
      <c r="J35" s="486"/>
      <c r="K35" s="486"/>
      <c r="L35" s="486"/>
      <c r="M35" s="486"/>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117.75" customHeight="1" x14ac:dyDescent="0.3">
      <c r="A36" s="518"/>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ref="F36" si="8">IFERROR(IF($E36="","No",IF($E36="No","No"," "))," ")</f>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117.75" customHeight="1" x14ac:dyDescent="0.3">
      <c r="A37" s="518"/>
      <c r="B37" s="456"/>
      <c r="C37" s="457"/>
      <c r="D37" s="489"/>
      <c r="E37" s="490"/>
      <c r="F37" s="486"/>
      <c r="G37" s="486"/>
      <c r="H37" s="486"/>
      <c r="I37" s="486"/>
      <c r="J37" s="486"/>
      <c r="K37" s="486"/>
      <c r="L37" s="486"/>
      <c r="M37" s="486"/>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117.75" customHeight="1" x14ac:dyDescent="0.3">
      <c r="A38" s="518"/>
      <c r="B38" s="456"/>
      <c r="C38" s="457"/>
      <c r="D38" s="489"/>
      <c r="E38" s="490"/>
      <c r="F38" s="486"/>
      <c r="G38" s="486"/>
      <c r="H38" s="486"/>
      <c r="I38" s="486"/>
      <c r="J38" s="486"/>
      <c r="K38" s="486"/>
      <c r="L38" s="486"/>
      <c r="M38" s="486"/>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117.75" customHeight="1" x14ac:dyDescent="0.3">
      <c r="A39" s="518"/>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ref="F39" si="9">IFERROR(IF($E39="","No",IF($E39="No","No"," "))," ")</f>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117.75" customHeight="1" x14ac:dyDescent="0.3">
      <c r="A40" s="518"/>
      <c r="B40" s="456"/>
      <c r="C40" s="457"/>
      <c r="D40" s="489"/>
      <c r="E40" s="490"/>
      <c r="F40" s="486"/>
      <c r="G40" s="486"/>
      <c r="H40" s="486"/>
      <c r="I40" s="486"/>
      <c r="J40" s="486"/>
      <c r="K40" s="486"/>
      <c r="L40" s="486"/>
      <c r="M40" s="486"/>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117.75" customHeight="1" x14ac:dyDescent="0.3">
      <c r="A41" s="518"/>
      <c r="B41" s="456"/>
      <c r="C41" s="457"/>
      <c r="D41" s="489"/>
      <c r="E41" s="490"/>
      <c r="F41" s="486"/>
      <c r="G41" s="486"/>
      <c r="H41" s="486"/>
      <c r="I41" s="486"/>
      <c r="J41" s="486"/>
      <c r="K41" s="486"/>
      <c r="L41" s="486"/>
      <c r="M41" s="486"/>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518"/>
      <c r="B42" s="487"/>
      <c r="C42" s="488"/>
      <c r="D42" s="489"/>
      <c r="E42" s="490"/>
      <c r="F42" s="486" t="str">
        <f t="shared" ref="F42:M69" si="10">IFERROR(IF($E42="","No",IF($E42="No","No"," "))," ")</f>
        <v>No</v>
      </c>
      <c r="G42" s="486" t="str">
        <f t="shared" si="10"/>
        <v>No</v>
      </c>
      <c r="H42" s="486" t="str">
        <f t="shared" si="10"/>
        <v>No</v>
      </c>
      <c r="I42" s="486" t="str">
        <f t="shared" si="10"/>
        <v>No</v>
      </c>
      <c r="J42" s="486" t="str">
        <f t="shared" si="10"/>
        <v>No</v>
      </c>
      <c r="K42" s="486" t="str">
        <f t="shared" si="10"/>
        <v>No</v>
      </c>
      <c r="L42" s="486" t="str">
        <f t="shared" si="10"/>
        <v>No</v>
      </c>
      <c r="M42" s="486"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518"/>
      <c r="B43" s="487"/>
      <c r="C43" s="488"/>
      <c r="D43" s="489"/>
      <c r="E43" s="490"/>
      <c r="F43" s="486"/>
      <c r="G43" s="486"/>
      <c r="H43" s="486"/>
      <c r="I43" s="486"/>
      <c r="J43" s="486"/>
      <c r="K43" s="486"/>
      <c r="L43" s="486"/>
      <c r="M43" s="486"/>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518"/>
      <c r="B44" s="487"/>
      <c r="C44" s="488"/>
      <c r="D44" s="489"/>
      <c r="E44" s="490"/>
      <c r="F44" s="486"/>
      <c r="G44" s="486"/>
      <c r="H44" s="486"/>
      <c r="I44" s="486"/>
      <c r="J44" s="486"/>
      <c r="K44" s="486"/>
      <c r="L44" s="486"/>
      <c r="M44" s="486"/>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518"/>
      <c r="B45" s="487"/>
      <c r="C45" s="488"/>
      <c r="D45" s="489"/>
      <c r="E45" s="490"/>
      <c r="F45" s="486" t="str">
        <f t="shared" si="10"/>
        <v>No</v>
      </c>
      <c r="G45" s="486" t="str">
        <f t="shared" si="10"/>
        <v>No</v>
      </c>
      <c r="H45" s="486" t="str">
        <f t="shared" si="10"/>
        <v>No</v>
      </c>
      <c r="I45" s="486" t="str">
        <f t="shared" si="10"/>
        <v>No</v>
      </c>
      <c r="J45" s="486" t="str">
        <f t="shared" si="10"/>
        <v>No</v>
      </c>
      <c r="K45" s="486" t="str">
        <f t="shared" si="10"/>
        <v>No</v>
      </c>
      <c r="L45" s="486" t="str">
        <f t="shared" si="10"/>
        <v>No</v>
      </c>
      <c r="M45" s="486"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518"/>
      <c r="B46" s="487"/>
      <c r="C46" s="488"/>
      <c r="D46" s="489"/>
      <c r="E46" s="490"/>
      <c r="F46" s="486"/>
      <c r="G46" s="486"/>
      <c r="H46" s="486"/>
      <c r="I46" s="486"/>
      <c r="J46" s="486"/>
      <c r="K46" s="486"/>
      <c r="L46" s="486"/>
      <c r="M46" s="486"/>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518"/>
      <c r="B47" s="487"/>
      <c r="C47" s="488"/>
      <c r="D47" s="489"/>
      <c r="E47" s="490"/>
      <c r="F47" s="486"/>
      <c r="G47" s="486"/>
      <c r="H47" s="486"/>
      <c r="I47" s="486"/>
      <c r="J47" s="486"/>
      <c r="K47" s="486"/>
      <c r="L47" s="486"/>
      <c r="M47" s="486"/>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518"/>
      <c r="B48" s="487"/>
      <c r="C48" s="488"/>
      <c r="D48" s="489"/>
      <c r="E48" s="490"/>
      <c r="F48" s="486" t="str">
        <f t="shared" si="10"/>
        <v>No</v>
      </c>
      <c r="G48" s="486" t="str">
        <f t="shared" si="10"/>
        <v>No</v>
      </c>
      <c r="H48" s="486" t="str">
        <f t="shared" si="10"/>
        <v>No</v>
      </c>
      <c r="I48" s="486" t="str">
        <f t="shared" si="10"/>
        <v>No</v>
      </c>
      <c r="J48" s="486" t="str">
        <f t="shared" si="10"/>
        <v>No</v>
      </c>
      <c r="K48" s="486" t="str">
        <f t="shared" si="10"/>
        <v>No</v>
      </c>
      <c r="L48" s="486" t="str">
        <f t="shared" si="10"/>
        <v>No</v>
      </c>
      <c r="M48" s="486"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518"/>
      <c r="B49" s="487"/>
      <c r="C49" s="488"/>
      <c r="D49" s="489"/>
      <c r="E49" s="490"/>
      <c r="F49" s="486"/>
      <c r="G49" s="486"/>
      <c r="H49" s="486"/>
      <c r="I49" s="486"/>
      <c r="J49" s="486"/>
      <c r="K49" s="486"/>
      <c r="L49" s="486"/>
      <c r="M49" s="486"/>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518"/>
      <c r="B50" s="487"/>
      <c r="C50" s="488"/>
      <c r="D50" s="489"/>
      <c r="E50" s="490"/>
      <c r="F50" s="486"/>
      <c r="G50" s="486"/>
      <c r="H50" s="486"/>
      <c r="I50" s="486"/>
      <c r="J50" s="486"/>
      <c r="K50" s="486"/>
      <c r="L50" s="486"/>
      <c r="M50" s="486"/>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518"/>
      <c r="B51" s="487"/>
      <c r="C51" s="488"/>
      <c r="D51" s="489"/>
      <c r="E51" s="490"/>
      <c r="F51" s="486" t="str">
        <f t="shared" si="10"/>
        <v>No</v>
      </c>
      <c r="G51" s="486" t="str">
        <f t="shared" si="10"/>
        <v>No</v>
      </c>
      <c r="H51" s="486" t="str">
        <f t="shared" si="10"/>
        <v>No</v>
      </c>
      <c r="I51" s="486" t="str">
        <f t="shared" si="10"/>
        <v>No</v>
      </c>
      <c r="J51" s="486" t="str">
        <f t="shared" si="10"/>
        <v>No</v>
      </c>
      <c r="K51" s="486" t="str">
        <f t="shared" si="10"/>
        <v>No</v>
      </c>
      <c r="L51" s="486" t="str">
        <f t="shared" si="10"/>
        <v>No</v>
      </c>
      <c r="M51" s="486"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518"/>
      <c r="B52" s="487"/>
      <c r="C52" s="488"/>
      <c r="D52" s="489"/>
      <c r="E52" s="490"/>
      <c r="F52" s="486"/>
      <c r="G52" s="486"/>
      <c r="H52" s="486"/>
      <c r="I52" s="486"/>
      <c r="J52" s="486"/>
      <c r="K52" s="486"/>
      <c r="L52" s="486"/>
      <c r="M52" s="486"/>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518"/>
      <c r="B53" s="487"/>
      <c r="C53" s="488"/>
      <c r="D53" s="489"/>
      <c r="E53" s="490"/>
      <c r="F53" s="486"/>
      <c r="G53" s="486"/>
      <c r="H53" s="486"/>
      <c r="I53" s="486"/>
      <c r="J53" s="486"/>
      <c r="K53" s="486"/>
      <c r="L53" s="486"/>
      <c r="M53" s="486"/>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518"/>
      <c r="B54" s="487"/>
      <c r="C54" s="488"/>
      <c r="D54" s="489"/>
      <c r="E54" s="490"/>
      <c r="F54" s="486" t="str">
        <f t="shared" si="10"/>
        <v>No</v>
      </c>
      <c r="G54" s="486" t="str">
        <f t="shared" si="10"/>
        <v>No</v>
      </c>
      <c r="H54" s="486" t="str">
        <f t="shared" si="10"/>
        <v>No</v>
      </c>
      <c r="I54" s="486" t="str">
        <f t="shared" si="10"/>
        <v>No</v>
      </c>
      <c r="J54" s="486" t="str">
        <f t="shared" si="10"/>
        <v>No</v>
      </c>
      <c r="K54" s="486" t="str">
        <f t="shared" si="10"/>
        <v>No</v>
      </c>
      <c r="L54" s="486" t="str">
        <f t="shared" si="10"/>
        <v>No</v>
      </c>
      <c r="M54" s="486"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518"/>
      <c r="B55" s="487"/>
      <c r="C55" s="488"/>
      <c r="D55" s="489"/>
      <c r="E55" s="490"/>
      <c r="F55" s="486"/>
      <c r="G55" s="486"/>
      <c r="H55" s="486"/>
      <c r="I55" s="486"/>
      <c r="J55" s="486"/>
      <c r="K55" s="486"/>
      <c r="L55" s="486"/>
      <c r="M55" s="486"/>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518"/>
      <c r="B56" s="487"/>
      <c r="C56" s="488"/>
      <c r="D56" s="489"/>
      <c r="E56" s="490"/>
      <c r="F56" s="486"/>
      <c r="G56" s="486"/>
      <c r="H56" s="486"/>
      <c r="I56" s="486"/>
      <c r="J56" s="486"/>
      <c r="K56" s="486"/>
      <c r="L56" s="486"/>
      <c r="M56" s="486"/>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518"/>
      <c r="B57" s="487"/>
      <c r="C57" s="488"/>
      <c r="D57" s="489"/>
      <c r="E57" s="490"/>
      <c r="F57" s="486" t="str">
        <f t="shared" si="10"/>
        <v>No</v>
      </c>
      <c r="G57" s="486" t="str">
        <f t="shared" si="10"/>
        <v>No</v>
      </c>
      <c r="H57" s="486" t="str">
        <f t="shared" si="10"/>
        <v>No</v>
      </c>
      <c r="I57" s="486" t="str">
        <f t="shared" si="10"/>
        <v>No</v>
      </c>
      <c r="J57" s="486" t="str">
        <f t="shared" si="10"/>
        <v>No</v>
      </c>
      <c r="K57" s="486" t="str">
        <f t="shared" si="10"/>
        <v>No</v>
      </c>
      <c r="L57" s="486" t="str">
        <f t="shared" si="10"/>
        <v>No</v>
      </c>
      <c r="M57" s="486"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518"/>
      <c r="B58" s="487"/>
      <c r="C58" s="488"/>
      <c r="D58" s="489"/>
      <c r="E58" s="490"/>
      <c r="F58" s="486"/>
      <c r="G58" s="486"/>
      <c r="H58" s="486"/>
      <c r="I58" s="486"/>
      <c r="J58" s="486"/>
      <c r="K58" s="486"/>
      <c r="L58" s="486"/>
      <c r="M58" s="486"/>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518"/>
      <c r="B59" s="487"/>
      <c r="C59" s="488"/>
      <c r="D59" s="489"/>
      <c r="E59" s="490"/>
      <c r="F59" s="486"/>
      <c r="G59" s="486"/>
      <c r="H59" s="486"/>
      <c r="I59" s="486"/>
      <c r="J59" s="486"/>
      <c r="K59" s="486"/>
      <c r="L59" s="486"/>
      <c r="M59" s="486"/>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518"/>
      <c r="B60" s="487"/>
      <c r="C60" s="488"/>
      <c r="D60" s="489"/>
      <c r="E60" s="490"/>
      <c r="F60" s="486" t="str">
        <f t="shared" si="10"/>
        <v>No</v>
      </c>
      <c r="G60" s="486" t="str">
        <f t="shared" si="10"/>
        <v>No</v>
      </c>
      <c r="H60" s="486" t="str">
        <f t="shared" si="10"/>
        <v>No</v>
      </c>
      <c r="I60" s="486" t="str">
        <f t="shared" si="10"/>
        <v>No</v>
      </c>
      <c r="J60" s="486" t="str">
        <f t="shared" si="10"/>
        <v>No</v>
      </c>
      <c r="K60" s="486" t="str">
        <f t="shared" si="10"/>
        <v>No</v>
      </c>
      <c r="L60" s="486" t="str">
        <f t="shared" si="10"/>
        <v>No</v>
      </c>
      <c r="M60" s="486"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518"/>
      <c r="B61" s="487"/>
      <c r="C61" s="488"/>
      <c r="D61" s="489"/>
      <c r="E61" s="490"/>
      <c r="F61" s="486"/>
      <c r="G61" s="486"/>
      <c r="H61" s="486"/>
      <c r="I61" s="486"/>
      <c r="J61" s="486"/>
      <c r="K61" s="486"/>
      <c r="L61" s="486"/>
      <c r="M61" s="486"/>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518"/>
      <c r="B62" s="487"/>
      <c r="C62" s="488"/>
      <c r="D62" s="489"/>
      <c r="E62" s="490"/>
      <c r="F62" s="486"/>
      <c r="G62" s="486"/>
      <c r="H62" s="486"/>
      <c r="I62" s="486"/>
      <c r="J62" s="486"/>
      <c r="K62" s="486"/>
      <c r="L62" s="486"/>
      <c r="M62" s="486"/>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518"/>
      <c r="B63" s="487"/>
      <c r="C63" s="488"/>
      <c r="D63" s="489"/>
      <c r="E63" s="490"/>
      <c r="F63" s="486" t="str">
        <f t="shared" si="10"/>
        <v>No</v>
      </c>
      <c r="G63" s="486" t="str">
        <f t="shared" si="10"/>
        <v>No</v>
      </c>
      <c r="H63" s="486" t="str">
        <f t="shared" si="10"/>
        <v>No</v>
      </c>
      <c r="I63" s="486" t="str">
        <f t="shared" si="10"/>
        <v>No</v>
      </c>
      <c r="J63" s="486" t="str">
        <f t="shared" si="10"/>
        <v>No</v>
      </c>
      <c r="K63" s="486" t="str">
        <f t="shared" si="10"/>
        <v>No</v>
      </c>
      <c r="L63" s="486" t="str">
        <f t="shared" si="10"/>
        <v>No</v>
      </c>
      <c r="M63" s="486"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518"/>
      <c r="B64" s="487"/>
      <c r="C64" s="488"/>
      <c r="D64" s="489"/>
      <c r="E64" s="490"/>
      <c r="F64" s="486"/>
      <c r="G64" s="486"/>
      <c r="H64" s="486"/>
      <c r="I64" s="486"/>
      <c r="J64" s="486"/>
      <c r="K64" s="486"/>
      <c r="L64" s="486"/>
      <c r="M64" s="486"/>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518"/>
      <c r="B65" s="487"/>
      <c r="C65" s="488"/>
      <c r="D65" s="489"/>
      <c r="E65" s="490"/>
      <c r="F65" s="486"/>
      <c r="G65" s="486"/>
      <c r="H65" s="486"/>
      <c r="I65" s="486"/>
      <c r="J65" s="486"/>
      <c r="K65" s="486"/>
      <c r="L65" s="486"/>
      <c r="M65" s="486"/>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518"/>
      <c r="B66" s="487"/>
      <c r="C66" s="488"/>
      <c r="D66" s="489"/>
      <c r="E66" s="490"/>
      <c r="F66" s="486" t="str">
        <f t="shared" si="10"/>
        <v>No</v>
      </c>
      <c r="G66" s="486" t="str">
        <f t="shared" si="10"/>
        <v>No</v>
      </c>
      <c r="H66" s="486" t="str">
        <f t="shared" si="10"/>
        <v>No</v>
      </c>
      <c r="I66" s="486" t="str">
        <f t="shared" si="10"/>
        <v>No</v>
      </c>
      <c r="J66" s="486" t="str">
        <f t="shared" si="10"/>
        <v>No</v>
      </c>
      <c r="K66" s="486" t="str">
        <f t="shared" si="10"/>
        <v>No</v>
      </c>
      <c r="L66" s="486" t="str">
        <f t="shared" si="10"/>
        <v>No</v>
      </c>
      <c r="M66" s="486"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518"/>
      <c r="B67" s="487"/>
      <c r="C67" s="488"/>
      <c r="D67" s="489"/>
      <c r="E67" s="490"/>
      <c r="F67" s="486"/>
      <c r="G67" s="486"/>
      <c r="H67" s="486"/>
      <c r="I67" s="486"/>
      <c r="J67" s="486"/>
      <c r="K67" s="486"/>
      <c r="L67" s="486"/>
      <c r="M67" s="486"/>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518"/>
      <c r="B68" s="487"/>
      <c r="C68" s="488"/>
      <c r="D68" s="489"/>
      <c r="E68" s="490"/>
      <c r="F68" s="486"/>
      <c r="G68" s="486"/>
      <c r="H68" s="486"/>
      <c r="I68" s="486"/>
      <c r="J68" s="486"/>
      <c r="K68" s="486"/>
      <c r="L68" s="486"/>
      <c r="M68" s="486"/>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518"/>
      <c r="B69" s="487"/>
      <c r="C69" s="488"/>
      <c r="D69" s="489"/>
      <c r="E69" s="490"/>
      <c r="F69" s="486" t="str">
        <f t="shared" si="10"/>
        <v>No</v>
      </c>
      <c r="G69" s="486" t="str">
        <f t="shared" si="10"/>
        <v>No</v>
      </c>
      <c r="H69" s="486" t="str">
        <f t="shared" si="10"/>
        <v>No</v>
      </c>
      <c r="I69" s="486" t="str">
        <f t="shared" si="10"/>
        <v>No</v>
      </c>
      <c r="J69" s="486" t="str">
        <f t="shared" si="10"/>
        <v>No</v>
      </c>
      <c r="K69" s="486" t="str">
        <f t="shared" si="10"/>
        <v>No</v>
      </c>
      <c r="L69" s="486" t="str">
        <f t="shared" si="10"/>
        <v>No</v>
      </c>
      <c r="M69" s="486"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518"/>
      <c r="B70" s="487"/>
      <c r="C70" s="488"/>
      <c r="D70" s="489"/>
      <c r="E70" s="490"/>
      <c r="F70" s="486"/>
      <c r="G70" s="486"/>
      <c r="H70" s="486"/>
      <c r="I70" s="486"/>
      <c r="J70" s="486"/>
      <c r="K70" s="486"/>
      <c r="L70" s="486"/>
      <c r="M70" s="486"/>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518"/>
      <c r="B71" s="487"/>
      <c r="C71" s="488"/>
      <c r="D71" s="489"/>
      <c r="E71" s="490"/>
      <c r="F71" s="486"/>
      <c r="G71" s="486"/>
      <c r="H71" s="486"/>
      <c r="I71" s="486"/>
      <c r="J71" s="486"/>
      <c r="K71" s="486"/>
      <c r="L71" s="486"/>
      <c r="M71" s="486"/>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69"/>
      <c r="B85" s="16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69"/>
      <c r="B86" s="16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69"/>
      <c r="B87" s="16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mzAB48vnWa6z7a3uklZkEKoQ8oItLcO4duMZiIoX94MeAHqWaitxd7N5leb6k/ge0ZKDQVHQCmT7DpFFCPbxwA==" saltValue="HEhi33VFC+pUpVPwk0KQDQ=="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3"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7" zoomScale="40" zoomScaleNormal="10" zoomScaleSheetLayoutView="40" workbookViewId="0">
      <selection activeCell="N12" sqref="A12:XFD4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546" t="s">
        <v>939</v>
      </c>
      <c r="B9" s="547"/>
      <c r="C9" s="547"/>
      <c r="D9" s="547"/>
      <c r="E9" s="547"/>
      <c r="F9" s="547"/>
      <c r="G9" s="547"/>
      <c r="H9" s="547"/>
      <c r="I9" s="547"/>
      <c r="J9" s="547"/>
      <c r="K9" s="547"/>
      <c r="L9" s="547"/>
      <c r="M9" s="547"/>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521" t="s">
        <v>109</v>
      </c>
      <c r="B10" s="521" t="s">
        <v>110</v>
      </c>
      <c r="C10" s="521"/>
      <c r="D10" s="521" t="s">
        <v>122</v>
      </c>
      <c r="E10" s="521" t="s">
        <v>112</v>
      </c>
      <c r="F10" s="521" t="s">
        <v>113</v>
      </c>
      <c r="G10" s="521"/>
      <c r="H10" s="521"/>
      <c r="I10" s="521"/>
      <c r="J10" s="521"/>
      <c r="K10" s="521"/>
      <c r="L10" s="521"/>
      <c r="M10" s="521"/>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521"/>
      <c r="B11" s="154" t="s">
        <v>114</v>
      </c>
      <c r="C11" s="154" t="s">
        <v>21</v>
      </c>
      <c r="D11" s="521"/>
      <c r="E11" s="521"/>
      <c r="F11" s="154" t="s">
        <v>115</v>
      </c>
      <c r="G11" s="154" t="s">
        <v>116</v>
      </c>
      <c r="H11" s="154" t="s">
        <v>126</v>
      </c>
      <c r="I11" s="154" t="s">
        <v>118</v>
      </c>
      <c r="J11" s="154" t="s">
        <v>124</v>
      </c>
      <c r="K11" s="154" t="s">
        <v>93</v>
      </c>
      <c r="L11" s="154" t="s">
        <v>120</v>
      </c>
      <c r="M11" s="154"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120.75" customHeight="1" x14ac:dyDescent="0.3">
      <c r="A12" s="548" t="str">
        <f>A9</f>
        <v>MATRIZ DE MONITOREO DE RIESGOS III TRIMESTRE
 (JULIO - SEPTIEMBRE)</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120.75" customHeight="1" x14ac:dyDescent="0.3">
      <c r="A13" s="548"/>
      <c r="B13" s="456"/>
      <c r="C13" s="457"/>
      <c r="D13" s="489"/>
      <c r="E13" s="490"/>
      <c r="F13" s="486"/>
      <c r="G13" s="486"/>
      <c r="H13" s="486"/>
      <c r="I13" s="486"/>
      <c r="J13" s="486"/>
      <c r="K13" s="486"/>
      <c r="L13" s="486"/>
      <c r="M13" s="486"/>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120.75" customHeight="1" x14ac:dyDescent="0.3">
      <c r="A14" s="548"/>
      <c r="B14" s="456"/>
      <c r="C14" s="457"/>
      <c r="D14" s="489"/>
      <c r="E14" s="490"/>
      <c r="F14" s="486"/>
      <c r="G14" s="486"/>
      <c r="H14" s="486"/>
      <c r="I14" s="486"/>
      <c r="J14" s="486"/>
      <c r="K14" s="486"/>
      <c r="L14" s="486"/>
      <c r="M14" s="486"/>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120.75" customHeight="1" x14ac:dyDescent="0.3">
      <c r="A15" s="548"/>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120.75" customHeight="1" x14ac:dyDescent="0.3">
      <c r="A16" s="548"/>
      <c r="B16" s="456"/>
      <c r="C16" s="457"/>
      <c r="D16" s="489"/>
      <c r="E16" s="490"/>
      <c r="F16" s="486"/>
      <c r="G16" s="486"/>
      <c r="H16" s="486"/>
      <c r="I16" s="486"/>
      <c r="J16" s="486"/>
      <c r="K16" s="486"/>
      <c r="L16" s="486"/>
      <c r="M16" s="486"/>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120.75" customHeight="1" x14ac:dyDescent="0.3">
      <c r="A17" s="548"/>
      <c r="B17" s="456"/>
      <c r="C17" s="457"/>
      <c r="D17" s="489"/>
      <c r="E17" s="490"/>
      <c r="F17" s="486"/>
      <c r="G17" s="486"/>
      <c r="H17" s="486"/>
      <c r="I17" s="486"/>
      <c r="J17" s="486"/>
      <c r="K17" s="486"/>
      <c r="L17" s="486"/>
      <c r="M17" s="486"/>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120.75" customHeight="1" x14ac:dyDescent="0.3">
      <c r="A18" s="548"/>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ref="F18" si="2">IFERROR(IF($E18="","No",IF($E18="No","No"," "))," ")</f>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120.75" customHeight="1" x14ac:dyDescent="0.3">
      <c r="A19" s="548"/>
      <c r="B19" s="456"/>
      <c r="C19" s="457"/>
      <c r="D19" s="489"/>
      <c r="E19" s="490"/>
      <c r="F19" s="486"/>
      <c r="G19" s="486"/>
      <c r="H19" s="486"/>
      <c r="I19" s="486"/>
      <c r="J19" s="486"/>
      <c r="K19" s="486"/>
      <c r="L19" s="486"/>
      <c r="M19" s="486"/>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120.75" customHeight="1" x14ac:dyDescent="0.3">
      <c r="A20" s="548"/>
      <c r="B20" s="456"/>
      <c r="C20" s="457"/>
      <c r="D20" s="489"/>
      <c r="E20" s="490"/>
      <c r="F20" s="486"/>
      <c r="G20" s="486"/>
      <c r="H20" s="486"/>
      <c r="I20" s="486"/>
      <c r="J20" s="486"/>
      <c r="K20" s="486"/>
      <c r="L20" s="486"/>
      <c r="M20" s="486"/>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120.75" customHeight="1" x14ac:dyDescent="0.3">
      <c r="A21" s="548"/>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ref="F21" si="3">IFERROR(IF($E21="","No",IF($E21="No","No"," "))," ")</f>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120.75" customHeight="1" x14ac:dyDescent="0.3">
      <c r="A22" s="548"/>
      <c r="B22" s="456"/>
      <c r="C22" s="457"/>
      <c r="D22" s="489"/>
      <c r="E22" s="490"/>
      <c r="F22" s="486"/>
      <c r="G22" s="486"/>
      <c r="H22" s="486"/>
      <c r="I22" s="486"/>
      <c r="J22" s="486"/>
      <c r="K22" s="486"/>
      <c r="L22" s="486"/>
      <c r="M22" s="486"/>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120.75" customHeight="1" x14ac:dyDescent="0.3">
      <c r="A23" s="548"/>
      <c r="B23" s="456"/>
      <c r="C23" s="457"/>
      <c r="D23" s="489"/>
      <c r="E23" s="490"/>
      <c r="F23" s="486"/>
      <c r="G23" s="486"/>
      <c r="H23" s="486"/>
      <c r="I23" s="486"/>
      <c r="J23" s="486"/>
      <c r="K23" s="486"/>
      <c r="L23" s="486"/>
      <c r="M23" s="486"/>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120.75" customHeight="1" x14ac:dyDescent="0.3">
      <c r="A24" s="548"/>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ref="F24" si="4">IFERROR(IF($E24="","No",IF($E24="No","No"," "))," ")</f>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120.75" customHeight="1" x14ac:dyDescent="0.3">
      <c r="A25" s="548"/>
      <c r="B25" s="456"/>
      <c r="C25" s="457"/>
      <c r="D25" s="489"/>
      <c r="E25" s="490"/>
      <c r="F25" s="486"/>
      <c r="G25" s="486"/>
      <c r="H25" s="486"/>
      <c r="I25" s="486"/>
      <c r="J25" s="486"/>
      <c r="K25" s="486"/>
      <c r="L25" s="486"/>
      <c r="M25" s="486"/>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120.75" customHeight="1" x14ac:dyDescent="0.3">
      <c r="A26" s="548"/>
      <c r="B26" s="456"/>
      <c r="C26" s="457"/>
      <c r="D26" s="489"/>
      <c r="E26" s="490"/>
      <c r="F26" s="486"/>
      <c r="G26" s="486"/>
      <c r="H26" s="486"/>
      <c r="I26" s="486"/>
      <c r="J26" s="486"/>
      <c r="K26" s="486"/>
      <c r="L26" s="486"/>
      <c r="M26" s="486"/>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120.75" customHeight="1" x14ac:dyDescent="0.3">
      <c r="A27" s="548"/>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ref="F27" si="5">IFERROR(IF($E27="","No",IF($E27="No","No"," "))," ")</f>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120.75" customHeight="1" x14ac:dyDescent="0.3">
      <c r="A28" s="548"/>
      <c r="B28" s="456"/>
      <c r="C28" s="457"/>
      <c r="D28" s="489"/>
      <c r="E28" s="490"/>
      <c r="F28" s="486"/>
      <c r="G28" s="486"/>
      <c r="H28" s="486"/>
      <c r="I28" s="486"/>
      <c r="J28" s="486"/>
      <c r="K28" s="486"/>
      <c r="L28" s="486"/>
      <c r="M28" s="486"/>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120.75" customHeight="1" x14ac:dyDescent="0.3">
      <c r="A29" s="548"/>
      <c r="B29" s="456"/>
      <c r="C29" s="457"/>
      <c r="D29" s="489"/>
      <c r="E29" s="490"/>
      <c r="F29" s="486"/>
      <c r="G29" s="486"/>
      <c r="H29" s="486"/>
      <c r="I29" s="486"/>
      <c r="J29" s="486"/>
      <c r="K29" s="486"/>
      <c r="L29" s="486"/>
      <c r="M29" s="486"/>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120.75" customHeight="1" x14ac:dyDescent="0.3">
      <c r="A30" s="548"/>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ref="F30" si="6">IFERROR(IF($E30="","No",IF($E30="No","No"," "))," ")</f>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120.75" customHeight="1" x14ac:dyDescent="0.3">
      <c r="A31" s="548"/>
      <c r="B31" s="456"/>
      <c r="C31" s="457"/>
      <c r="D31" s="489"/>
      <c r="E31" s="490"/>
      <c r="F31" s="486"/>
      <c r="G31" s="486"/>
      <c r="H31" s="486"/>
      <c r="I31" s="486"/>
      <c r="J31" s="486"/>
      <c r="K31" s="486"/>
      <c r="L31" s="486"/>
      <c r="M31" s="486"/>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120.75" customHeight="1" x14ac:dyDescent="0.3">
      <c r="A32" s="548"/>
      <c r="B32" s="456"/>
      <c r="C32" s="457"/>
      <c r="D32" s="489"/>
      <c r="E32" s="490"/>
      <c r="F32" s="486"/>
      <c r="G32" s="486"/>
      <c r="H32" s="486"/>
      <c r="I32" s="486"/>
      <c r="J32" s="486"/>
      <c r="K32" s="486"/>
      <c r="L32" s="486"/>
      <c r="M32" s="486"/>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120.75" customHeight="1" x14ac:dyDescent="0.3">
      <c r="A33" s="548"/>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ref="F33" si="7">IFERROR(IF($E33="","No",IF($E33="No","No"," "))," ")</f>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120.75" customHeight="1" x14ac:dyDescent="0.3">
      <c r="A34" s="548"/>
      <c r="B34" s="456"/>
      <c r="C34" s="457"/>
      <c r="D34" s="489"/>
      <c r="E34" s="490"/>
      <c r="F34" s="486"/>
      <c r="G34" s="486"/>
      <c r="H34" s="486"/>
      <c r="I34" s="486"/>
      <c r="J34" s="486"/>
      <c r="K34" s="486"/>
      <c r="L34" s="486"/>
      <c r="M34" s="486"/>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120.75" customHeight="1" x14ac:dyDescent="0.3">
      <c r="A35" s="548"/>
      <c r="B35" s="456"/>
      <c r="C35" s="457"/>
      <c r="D35" s="489"/>
      <c r="E35" s="490"/>
      <c r="F35" s="486"/>
      <c r="G35" s="486"/>
      <c r="H35" s="486"/>
      <c r="I35" s="486"/>
      <c r="J35" s="486"/>
      <c r="K35" s="486"/>
      <c r="L35" s="486"/>
      <c r="M35" s="486"/>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120.75" customHeight="1" x14ac:dyDescent="0.3">
      <c r="A36" s="548"/>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ref="F36" si="8">IFERROR(IF($E36="","No",IF($E36="No","No"," "))," ")</f>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120.75" customHeight="1" x14ac:dyDescent="0.3">
      <c r="A37" s="548"/>
      <c r="B37" s="456"/>
      <c r="C37" s="457"/>
      <c r="D37" s="489"/>
      <c r="E37" s="490"/>
      <c r="F37" s="486"/>
      <c r="G37" s="486"/>
      <c r="H37" s="486"/>
      <c r="I37" s="486"/>
      <c r="J37" s="486"/>
      <c r="K37" s="486"/>
      <c r="L37" s="486"/>
      <c r="M37" s="486"/>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120.75" customHeight="1" x14ac:dyDescent="0.3">
      <c r="A38" s="548"/>
      <c r="B38" s="456"/>
      <c r="C38" s="457"/>
      <c r="D38" s="489"/>
      <c r="E38" s="490"/>
      <c r="F38" s="486"/>
      <c r="G38" s="486"/>
      <c r="H38" s="486"/>
      <c r="I38" s="486"/>
      <c r="J38" s="486"/>
      <c r="K38" s="486"/>
      <c r="L38" s="486"/>
      <c r="M38" s="486"/>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120.75" customHeight="1" x14ac:dyDescent="0.3">
      <c r="A39" s="548"/>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ref="F39" si="9">IFERROR(IF($E39="","No",IF($E39="No","No"," "))," ")</f>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120.75" customHeight="1" x14ac:dyDescent="0.3">
      <c r="A40" s="548"/>
      <c r="B40" s="456"/>
      <c r="C40" s="457"/>
      <c r="D40" s="489"/>
      <c r="E40" s="490"/>
      <c r="F40" s="486"/>
      <c r="G40" s="486"/>
      <c r="H40" s="486"/>
      <c r="I40" s="486"/>
      <c r="J40" s="486"/>
      <c r="K40" s="486"/>
      <c r="L40" s="486"/>
      <c r="M40" s="486"/>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120.75" customHeight="1" x14ac:dyDescent="0.3">
      <c r="A41" s="548"/>
      <c r="B41" s="456"/>
      <c r="C41" s="457"/>
      <c r="D41" s="489"/>
      <c r="E41" s="490"/>
      <c r="F41" s="486"/>
      <c r="G41" s="486"/>
      <c r="H41" s="486"/>
      <c r="I41" s="486"/>
      <c r="J41" s="486"/>
      <c r="K41" s="486"/>
      <c r="L41" s="486"/>
      <c r="M41" s="486"/>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548"/>
      <c r="B42" s="519"/>
      <c r="C42" s="520"/>
      <c r="D42" s="489"/>
      <c r="E42" s="490"/>
      <c r="F42" s="486" t="str">
        <f t="shared" ref="F42:M69" si="10">IFERROR(IF($E42="","No",IF($E42="No","No"," "))," ")</f>
        <v>No</v>
      </c>
      <c r="G42" s="486" t="str">
        <f t="shared" si="10"/>
        <v>No</v>
      </c>
      <c r="H42" s="486" t="str">
        <f t="shared" si="10"/>
        <v>No</v>
      </c>
      <c r="I42" s="486" t="str">
        <f t="shared" si="10"/>
        <v>No</v>
      </c>
      <c r="J42" s="486" t="str">
        <f t="shared" si="10"/>
        <v>No</v>
      </c>
      <c r="K42" s="486" t="str">
        <f t="shared" si="10"/>
        <v>No</v>
      </c>
      <c r="L42" s="486" t="str">
        <f t="shared" si="10"/>
        <v>No</v>
      </c>
      <c r="M42" s="486"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548"/>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548"/>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548"/>
      <c r="B45" s="519"/>
      <c r="C45" s="520"/>
      <c r="D45" s="489"/>
      <c r="E45" s="490"/>
      <c r="F45" s="486" t="str">
        <f t="shared" si="10"/>
        <v>No</v>
      </c>
      <c r="G45" s="486" t="str">
        <f t="shared" si="10"/>
        <v>No</v>
      </c>
      <c r="H45" s="486" t="str">
        <f t="shared" si="10"/>
        <v>No</v>
      </c>
      <c r="I45" s="486" t="str">
        <f t="shared" si="10"/>
        <v>No</v>
      </c>
      <c r="J45" s="486" t="str">
        <f t="shared" si="10"/>
        <v>No</v>
      </c>
      <c r="K45" s="486" t="str">
        <f t="shared" si="10"/>
        <v>No</v>
      </c>
      <c r="L45" s="486" t="str">
        <f t="shared" si="10"/>
        <v>No</v>
      </c>
      <c r="M45" s="486"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548"/>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548"/>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548"/>
      <c r="B48" s="519"/>
      <c r="C48" s="520"/>
      <c r="D48" s="489"/>
      <c r="E48" s="490"/>
      <c r="F48" s="486" t="str">
        <f t="shared" si="10"/>
        <v>No</v>
      </c>
      <c r="G48" s="486" t="str">
        <f t="shared" si="10"/>
        <v>No</v>
      </c>
      <c r="H48" s="486" t="str">
        <f t="shared" si="10"/>
        <v>No</v>
      </c>
      <c r="I48" s="486" t="str">
        <f t="shared" si="10"/>
        <v>No</v>
      </c>
      <c r="J48" s="486" t="str">
        <f t="shared" si="10"/>
        <v>No</v>
      </c>
      <c r="K48" s="486" t="str">
        <f t="shared" si="10"/>
        <v>No</v>
      </c>
      <c r="L48" s="486" t="str">
        <f t="shared" si="10"/>
        <v>No</v>
      </c>
      <c r="M48" s="486"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548"/>
      <c r="B49" s="519"/>
      <c r="C49" s="520"/>
      <c r="D49" s="489"/>
      <c r="E49" s="490"/>
      <c r="F49" s="486"/>
      <c r="G49" s="486"/>
      <c r="H49" s="486"/>
      <c r="I49" s="486"/>
      <c r="J49" s="486"/>
      <c r="K49" s="486"/>
      <c r="L49" s="486"/>
      <c r="M49" s="48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548"/>
      <c r="B50" s="519"/>
      <c r="C50" s="520"/>
      <c r="D50" s="489"/>
      <c r="E50" s="490"/>
      <c r="F50" s="486"/>
      <c r="G50" s="486"/>
      <c r="H50" s="486"/>
      <c r="I50" s="486"/>
      <c r="J50" s="486"/>
      <c r="K50" s="486"/>
      <c r="L50" s="486"/>
      <c r="M50" s="48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548"/>
      <c r="B51" s="519"/>
      <c r="C51" s="520"/>
      <c r="D51" s="489"/>
      <c r="E51" s="490"/>
      <c r="F51" s="486" t="str">
        <f t="shared" si="10"/>
        <v>No</v>
      </c>
      <c r="G51" s="486" t="str">
        <f t="shared" si="10"/>
        <v>No</v>
      </c>
      <c r="H51" s="486" t="str">
        <f t="shared" si="10"/>
        <v>No</v>
      </c>
      <c r="I51" s="486" t="str">
        <f t="shared" si="10"/>
        <v>No</v>
      </c>
      <c r="J51" s="486" t="str">
        <f t="shared" si="10"/>
        <v>No</v>
      </c>
      <c r="K51" s="486" t="str">
        <f t="shared" si="10"/>
        <v>No</v>
      </c>
      <c r="L51" s="486" t="str">
        <f t="shared" si="10"/>
        <v>No</v>
      </c>
      <c r="M51" s="486"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548"/>
      <c r="B52" s="519"/>
      <c r="C52" s="520"/>
      <c r="D52" s="489"/>
      <c r="E52" s="490"/>
      <c r="F52" s="486"/>
      <c r="G52" s="486"/>
      <c r="H52" s="486"/>
      <c r="I52" s="486"/>
      <c r="J52" s="486"/>
      <c r="K52" s="486"/>
      <c r="L52" s="486"/>
      <c r="M52" s="48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548"/>
      <c r="B53" s="519"/>
      <c r="C53" s="520"/>
      <c r="D53" s="489"/>
      <c r="E53" s="490"/>
      <c r="F53" s="486"/>
      <c r="G53" s="486"/>
      <c r="H53" s="486"/>
      <c r="I53" s="486"/>
      <c r="J53" s="486"/>
      <c r="K53" s="486"/>
      <c r="L53" s="486"/>
      <c r="M53" s="48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548"/>
      <c r="B54" s="519"/>
      <c r="C54" s="520"/>
      <c r="D54" s="489"/>
      <c r="E54" s="490"/>
      <c r="F54" s="486" t="str">
        <f t="shared" si="10"/>
        <v>No</v>
      </c>
      <c r="G54" s="486" t="str">
        <f t="shared" si="10"/>
        <v>No</v>
      </c>
      <c r="H54" s="486" t="str">
        <f t="shared" si="10"/>
        <v>No</v>
      </c>
      <c r="I54" s="486" t="str">
        <f t="shared" si="10"/>
        <v>No</v>
      </c>
      <c r="J54" s="486" t="str">
        <f t="shared" si="10"/>
        <v>No</v>
      </c>
      <c r="K54" s="486" t="str">
        <f t="shared" si="10"/>
        <v>No</v>
      </c>
      <c r="L54" s="486" t="str">
        <f t="shared" si="10"/>
        <v>No</v>
      </c>
      <c r="M54" s="486"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548"/>
      <c r="B55" s="519"/>
      <c r="C55" s="520"/>
      <c r="D55" s="489"/>
      <c r="E55" s="490"/>
      <c r="F55" s="486"/>
      <c r="G55" s="486"/>
      <c r="H55" s="486"/>
      <c r="I55" s="486"/>
      <c r="J55" s="486"/>
      <c r="K55" s="486"/>
      <c r="L55" s="486"/>
      <c r="M55" s="48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548"/>
      <c r="B56" s="519"/>
      <c r="C56" s="520"/>
      <c r="D56" s="489"/>
      <c r="E56" s="490"/>
      <c r="F56" s="486"/>
      <c r="G56" s="486"/>
      <c r="H56" s="486"/>
      <c r="I56" s="486"/>
      <c r="J56" s="486"/>
      <c r="K56" s="486"/>
      <c r="L56" s="486"/>
      <c r="M56" s="48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548"/>
      <c r="B57" s="519"/>
      <c r="C57" s="520"/>
      <c r="D57" s="489"/>
      <c r="E57" s="490"/>
      <c r="F57" s="486" t="str">
        <f t="shared" si="10"/>
        <v>No</v>
      </c>
      <c r="G57" s="486" t="str">
        <f t="shared" si="10"/>
        <v>No</v>
      </c>
      <c r="H57" s="486" t="str">
        <f t="shared" si="10"/>
        <v>No</v>
      </c>
      <c r="I57" s="486" t="str">
        <f t="shared" si="10"/>
        <v>No</v>
      </c>
      <c r="J57" s="486" t="str">
        <f t="shared" si="10"/>
        <v>No</v>
      </c>
      <c r="K57" s="486" t="str">
        <f t="shared" si="10"/>
        <v>No</v>
      </c>
      <c r="L57" s="486" t="str">
        <f t="shared" si="10"/>
        <v>No</v>
      </c>
      <c r="M57" s="486"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548"/>
      <c r="B58" s="519"/>
      <c r="C58" s="520"/>
      <c r="D58" s="489"/>
      <c r="E58" s="490"/>
      <c r="F58" s="486"/>
      <c r="G58" s="486"/>
      <c r="H58" s="486"/>
      <c r="I58" s="486"/>
      <c r="J58" s="486"/>
      <c r="K58" s="486"/>
      <c r="L58" s="486"/>
      <c r="M58" s="48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548"/>
      <c r="B59" s="519"/>
      <c r="C59" s="520"/>
      <c r="D59" s="489"/>
      <c r="E59" s="490"/>
      <c r="F59" s="486"/>
      <c r="G59" s="486"/>
      <c r="H59" s="486"/>
      <c r="I59" s="486"/>
      <c r="J59" s="486"/>
      <c r="K59" s="486"/>
      <c r="L59" s="486"/>
      <c r="M59" s="48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548"/>
      <c r="B60" s="519"/>
      <c r="C60" s="520"/>
      <c r="D60" s="489"/>
      <c r="E60" s="490"/>
      <c r="F60" s="486" t="str">
        <f t="shared" si="10"/>
        <v>No</v>
      </c>
      <c r="G60" s="486" t="str">
        <f t="shared" si="10"/>
        <v>No</v>
      </c>
      <c r="H60" s="486" t="str">
        <f t="shared" si="10"/>
        <v>No</v>
      </c>
      <c r="I60" s="486" t="str">
        <f t="shared" si="10"/>
        <v>No</v>
      </c>
      <c r="J60" s="486" t="str">
        <f t="shared" si="10"/>
        <v>No</v>
      </c>
      <c r="K60" s="486" t="str">
        <f t="shared" si="10"/>
        <v>No</v>
      </c>
      <c r="L60" s="486" t="str">
        <f t="shared" si="10"/>
        <v>No</v>
      </c>
      <c r="M60" s="486"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548"/>
      <c r="B61" s="519"/>
      <c r="C61" s="520"/>
      <c r="D61" s="489"/>
      <c r="E61" s="490"/>
      <c r="F61" s="486"/>
      <c r="G61" s="486"/>
      <c r="H61" s="486"/>
      <c r="I61" s="486"/>
      <c r="J61" s="486"/>
      <c r="K61" s="486"/>
      <c r="L61" s="486"/>
      <c r="M61" s="48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548"/>
      <c r="B62" s="519"/>
      <c r="C62" s="520"/>
      <c r="D62" s="489"/>
      <c r="E62" s="490"/>
      <c r="F62" s="486"/>
      <c r="G62" s="486"/>
      <c r="H62" s="486"/>
      <c r="I62" s="486"/>
      <c r="J62" s="486"/>
      <c r="K62" s="486"/>
      <c r="L62" s="486"/>
      <c r="M62" s="48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548"/>
      <c r="B63" s="519"/>
      <c r="C63" s="520"/>
      <c r="D63" s="489"/>
      <c r="E63" s="490"/>
      <c r="F63" s="486" t="str">
        <f t="shared" si="10"/>
        <v>No</v>
      </c>
      <c r="G63" s="486" t="str">
        <f t="shared" si="10"/>
        <v>No</v>
      </c>
      <c r="H63" s="486" t="str">
        <f t="shared" si="10"/>
        <v>No</v>
      </c>
      <c r="I63" s="486" t="str">
        <f t="shared" si="10"/>
        <v>No</v>
      </c>
      <c r="J63" s="486" t="str">
        <f t="shared" si="10"/>
        <v>No</v>
      </c>
      <c r="K63" s="486" t="str">
        <f t="shared" si="10"/>
        <v>No</v>
      </c>
      <c r="L63" s="486" t="str">
        <f t="shared" si="10"/>
        <v>No</v>
      </c>
      <c r="M63" s="486"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548"/>
      <c r="B64" s="519"/>
      <c r="C64" s="520"/>
      <c r="D64" s="489"/>
      <c r="E64" s="490"/>
      <c r="F64" s="486"/>
      <c r="G64" s="486"/>
      <c r="H64" s="486"/>
      <c r="I64" s="486"/>
      <c r="J64" s="486"/>
      <c r="K64" s="486"/>
      <c r="L64" s="486"/>
      <c r="M64" s="48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548"/>
      <c r="B65" s="519"/>
      <c r="C65" s="520"/>
      <c r="D65" s="489"/>
      <c r="E65" s="490"/>
      <c r="F65" s="486"/>
      <c r="G65" s="486"/>
      <c r="H65" s="486"/>
      <c r="I65" s="486"/>
      <c r="J65" s="486"/>
      <c r="K65" s="486"/>
      <c r="L65" s="486"/>
      <c r="M65" s="48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548"/>
      <c r="B66" s="519"/>
      <c r="C66" s="520"/>
      <c r="D66" s="489"/>
      <c r="E66" s="490"/>
      <c r="F66" s="486" t="str">
        <f t="shared" si="10"/>
        <v>No</v>
      </c>
      <c r="G66" s="486" t="str">
        <f t="shared" si="10"/>
        <v>No</v>
      </c>
      <c r="H66" s="486" t="str">
        <f t="shared" si="10"/>
        <v>No</v>
      </c>
      <c r="I66" s="486" t="str">
        <f t="shared" si="10"/>
        <v>No</v>
      </c>
      <c r="J66" s="486" t="str">
        <f t="shared" si="10"/>
        <v>No</v>
      </c>
      <c r="K66" s="486" t="str">
        <f t="shared" si="10"/>
        <v>No</v>
      </c>
      <c r="L66" s="486" t="str">
        <f t="shared" si="10"/>
        <v>No</v>
      </c>
      <c r="M66" s="486"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548"/>
      <c r="B67" s="519"/>
      <c r="C67" s="520"/>
      <c r="D67" s="489"/>
      <c r="E67" s="490"/>
      <c r="F67" s="486"/>
      <c r="G67" s="486"/>
      <c r="H67" s="486"/>
      <c r="I67" s="486"/>
      <c r="J67" s="486"/>
      <c r="K67" s="486"/>
      <c r="L67" s="486"/>
      <c r="M67" s="48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548"/>
      <c r="B68" s="519"/>
      <c r="C68" s="520"/>
      <c r="D68" s="489"/>
      <c r="E68" s="490"/>
      <c r="F68" s="486"/>
      <c r="G68" s="486"/>
      <c r="H68" s="486"/>
      <c r="I68" s="486"/>
      <c r="J68" s="486"/>
      <c r="K68" s="486"/>
      <c r="L68" s="486"/>
      <c r="M68" s="48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548"/>
      <c r="B69" s="519"/>
      <c r="C69" s="520"/>
      <c r="D69" s="489"/>
      <c r="E69" s="490"/>
      <c r="F69" s="486" t="str">
        <f t="shared" si="10"/>
        <v>No</v>
      </c>
      <c r="G69" s="486" t="str">
        <f t="shared" si="10"/>
        <v>No</v>
      </c>
      <c r="H69" s="486" t="str">
        <f t="shared" si="10"/>
        <v>No</v>
      </c>
      <c r="I69" s="486" t="str">
        <f t="shared" si="10"/>
        <v>No</v>
      </c>
      <c r="J69" s="486" t="str">
        <f t="shared" si="10"/>
        <v>No</v>
      </c>
      <c r="K69" s="486" t="str">
        <f t="shared" si="10"/>
        <v>No</v>
      </c>
      <c r="L69" s="486" t="str">
        <f t="shared" si="10"/>
        <v>No</v>
      </c>
      <c r="M69" s="486"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548"/>
      <c r="B70" s="519"/>
      <c r="C70" s="520"/>
      <c r="D70" s="489"/>
      <c r="E70" s="490"/>
      <c r="F70" s="486"/>
      <c r="G70" s="486"/>
      <c r="H70" s="486"/>
      <c r="I70" s="486"/>
      <c r="J70" s="486"/>
      <c r="K70" s="486"/>
      <c r="L70" s="486"/>
      <c r="M70" s="48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548"/>
      <c r="B71" s="519"/>
      <c r="C71" s="520"/>
      <c r="D71" s="489"/>
      <c r="E71" s="490"/>
      <c r="F71" s="486"/>
      <c r="G71" s="486"/>
      <c r="H71" s="486"/>
      <c r="I71" s="486"/>
      <c r="J71" s="486"/>
      <c r="K71" s="486"/>
      <c r="L71" s="486"/>
      <c r="M71" s="48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EgiMjHiaP0BQiOVWl69icRb0arvWuvMt6Ht12N3zSZkpORIs9Q3ZDG/xLMKLz7wEdfC/dFJA5aWxfFggr/NeJQ==" saltValue="pwoQO/+XEV+ThwJkYs0FwQ=="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2"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634" t="s">
        <v>127</v>
      </c>
      <c r="C2" s="634"/>
      <c r="D2" s="634"/>
      <c r="E2" s="634"/>
      <c r="F2" s="634"/>
      <c r="G2" s="634"/>
      <c r="H2" s="634"/>
      <c r="I2" s="634"/>
      <c r="J2" s="608" t="s">
        <v>15</v>
      </c>
      <c r="K2" s="608"/>
      <c r="L2" s="608"/>
      <c r="M2" s="608"/>
      <c r="N2" s="608"/>
      <c r="O2" s="608"/>
      <c r="P2" s="608"/>
      <c r="Q2" s="608"/>
      <c r="R2" s="608"/>
      <c r="S2" s="608"/>
      <c r="T2" s="608"/>
      <c r="U2" s="608"/>
      <c r="V2" s="608"/>
      <c r="W2" s="608"/>
      <c r="X2" s="608"/>
      <c r="Y2" s="608"/>
      <c r="Z2" s="608"/>
      <c r="AA2" s="608"/>
      <c r="AB2" s="608"/>
      <c r="AC2" s="608"/>
      <c r="AD2" s="608"/>
      <c r="AE2" s="608"/>
      <c r="AF2" s="608"/>
      <c r="AG2" s="608"/>
      <c r="AH2" s="608"/>
      <c r="AI2" s="608"/>
      <c r="AJ2" s="608"/>
      <c r="AK2" s="608"/>
      <c r="AL2" s="608"/>
      <c r="AM2" s="608"/>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634"/>
      <c r="C3" s="634"/>
      <c r="D3" s="634"/>
      <c r="E3" s="634"/>
      <c r="F3" s="634"/>
      <c r="G3" s="634"/>
      <c r="H3" s="634"/>
      <c r="I3" s="634"/>
      <c r="J3" s="608"/>
      <c r="K3" s="608"/>
      <c r="L3" s="608"/>
      <c r="M3" s="608"/>
      <c r="N3" s="608"/>
      <c r="O3" s="608"/>
      <c r="P3" s="608"/>
      <c r="Q3" s="608"/>
      <c r="R3" s="608"/>
      <c r="S3" s="608"/>
      <c r="T3" s="608"/>
      <c r="U3" s="608"/>
      <c r="V3" s="608"/>
      <c r="W3" s="608"/>
      <c r="X3" s="608"/>
      <c r="Y3" s="608"/>
      <c r="Z3" s="608"/>
      <c r="AA3" s="608"/>
      <c r="AB3" s="608"/>
      <c r="AC3" s="608"/>
      <c r="AD3" s="608"/>
      <c r="AE3" s="608"/>
      <c r="AF3" s="608"/>
      <c r="AG3" s="608"/>
      <c r="AH3" s="608"/>
      <c r="AI3" s="608"/>
      <c r="AJ3" s="608"/>
      <c r="AK3" s="608"/>
      <c r="AL3" s="608"/>
      <c r="AM3" s="608"/>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634"/>
      <c r="C4" s="634"/>
      <c r="D4" s="634"/>
      <c r="E4" s="634"/>
      <c r="F4" s="634"/>
      <c r="G4" s="634"/>
      <c r="H4" s="634"/>
      <c r="I4" s="634"/>
      <c r="J4" s="608"/>
      <c r="K4" s="608"/>
      <c r="L4" s="608"/>
      <c r="M4" s="608"/>
      <c r="N4" s="608"/>
      <c r="O4" s="608"/>
      <c r="P4" s="608"/>
      <c r="Q4" s="608"/>
      <c r="R4" s="608"/>
      <c r="S4" s="608"/>
      <c r="T4" s="608"/>
      <c r="U4" s="608"/>
      <c r="V4" s="608"/>
      <c r="W4" s="608"/>
      <c r="X4" s="608"/>
      <c r="Y4" s="608"/>
      <c r="Z4" s="608"/>
      <c r="AA4" s="608"/>
      <c r="AB4" s="608"/>
      <c r="AC4" s="608"/>
      <c r="AD4" s="608"/>
      <c r="AE4" s="608"/>
      <c r="AF4" s="608"/>
      <c r="AG4" s="608"/>
      <c r="AH4" s="608"/>
      <c r="AI4" s="608"/>
      <c r="AJ4" s="608"/>
      <c r="AK4" s="608"/>
      <c r="AL4" s="608"/>
      <c r="AM4" s="608"/>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60" t="s">
        <v>128</v>
      </c>
      <c r="C6" s="560"/>
      <c r="D6" s="561"/>
      <c r="E6" s="549" t="s">
        <v>129</v>
      </c>
      <c r="F6" s="550"/>
      <c r="G6" s="550"/>
      <c r="H6" s="550"/>
      <c r="I6" s="551"/>
      <c r="J6" s="604" t="str">
        <f ca="1">IF(AND('Mapa final'!$P$13="Muy Alta",'Mapa final'!$T$13="Leve"),CONCATENATE("R",'Mapa final'!$A$13),"")</f>
        <v/>
      </c>
      <c r="K6" s="605"/>
      <c r="L6" s="605" t="str">
        <f ca="1">IF(AND('Mapa final'!$P$15="Muy Alta",'Mapa final'!$T$15="Leve"),CONCATENATE("R",'Mapa final'!$A$15),"")</f>
        <v/>
      </c>
      <c r="M6" s="605"/>
      <c r="N6" s="605" t="str">
        <f ca="1">IF(AND('Mapa final'!$P$17="Muy Alta",'Mapa final'!$T$17="Leve"),CONCATENATE("R",'Mapa final'!$A$17),"")</f>
        <v/>
      </c>
      <c r="O6" s="607"/>
      <c r="P6" s="604" t="str">
        <f ca="1">IF(AND('Mapa final'!$P$13="Muy Alta",'Mapa final'!$T$13="Menor"),CONCATENATE("R",'Mapa final'!$A$13),"")</f>
        <v/>
      </c>
      <c r="Q6" s="605"/>
      <c r="R6" s="605" t="str">
        <f ca="1">IF(AND('Mapa final'!$P$15="Muy Alta",'Mapa final'!$T$15="Menor"),CONCATENATE("R",'Mapa final'!$A$15),"")</f>
        <v/>
      </c>
      <c r="S6" s="605"/>
      <c r="T6" s="605" t="str">
        <f ca="1">IF(AND('Mapa final'!$P$17="Muy Alta",'Mapa final'!$T$17="Menor"),CONCATENATE("R",'Mapa final'!$A$17),"")</f>
        <v/>
      </c>
      <c r="U6" s="607"/>
      <c r="V6" s="604" t="str">
        <f ca="1">IF(AND('Mapa final'!$P$13="Muy Alta",'Mapa final'!$T$13="Moderado"),CONCATENATE("R",'Mapa final'!$A$13),"")</f>
        <v/>
      </c>
      <c r="W6" s="605"/>
      <c r="X6" s="605" t="str">
        <f ca="1">IF(AND('Mapa final'!$P$15="Muy Alta",'Mapa final'!$T$15="Moderado"),CONCATENATE("R",'Mapa final'!$A$15),"")</f>
        <v/>
      </c>
      <c r="Y6" s="605"/>
      <c r="Z6" s="605" t="str">
        <f ca="1">IF(AND('Mapa final'!$P$17="Muy Alta",'Mapa final'!$T$17="Moderado"),CONCATENATE("R",'Mapa final'!$A$17),"")</f>
        <v/>
      </c>
      <c r="AA6" s="607"/>
      <c r="AB6" s="604" t="str">
        <f ca="1">IF(AND('Mapa final'!$P$13="Muy Alta",'Mapa final'!$T$13="Mayor"),CONCATENATE("R",'Mapa final'!$A$13),"")</f>
        <v/>
      </c>
      <c r="AC6" s="605"/>
      <c r="AD6" s="605" t="str">
        <f ca="1">IF(AND('Mapa final'!$P$15="Muy Alta",'Mapa final'!$T$15="Mayor"),CONCATENATE("R",'Mapa final'!$A$15),"")</f>
        <v/>
      </c>
      <c r="AE6" s="605"/>
      <c r="AF6" s="605" t="str">
        <f ca="1">IF(AND('Mapa final'!$P$17="Muy Alta",'Mapa final'!$T$17="Mayor"),CONCATENATE("R",'Mapa final'!$A$17),"")</f>
        <v/>
      </c>
      <c r="AG6" s="607"/>
      <c r="AH6" s="619" t="str">
        <f ca="1">IF(AND('Mapa final'!$P$13="Muy Alta",'Mapa final'!$T$13="Catastrófico"),CONCATENATE("R",'Mapa final'!$A$13),"")</f>
        <v/>
      </c>
      <c r="AI6" s="620"/>
      <c r="AJ6" s="620" t="str">
        <f ca="1">IF(AND('Mapa final'!$P$15="Muy Alta",'Mapa final'!$T$15="Catastrófico"),CONCATENATE("R",'Mapa final'!$A$15),"")</f>
        <v/>
      </c>
      <c r="AK6" s="620"/>
      <c r="AL6" s="620" t="str">
        <f ca="1">IF(AND('Mapa final'!$P$17="Muy Alta",'Mapa final'!$T$17="Catastrófico"),CONCATENATE("R",'Mapa final'!$A$17),"")</f>
        <v/>
      </c>
      <c r="AM6" s="621"/>
      <c r="AO6" s="568" t="s">
        <v>130</v>
      </c>
      <c r="AP6" s="569"/>
      <c r="AQ6" s="569"/>
      <c r="AR6" s="569"/>
      <c r="AS6" s="569"/>
      <c r="AT6" s="570"/>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60"/>
      <c r="C7" s="560"/>
      <c r="D7" s="561"/>
      <c r="E7" s="552"/>
      <c r="F7" s="553"/>
      <c r="G7" s="553"/>
      <c r="H7" s="553"/>
      <c r="I7" s="554"/>
      <c r="J7" s="606"/>
      <c r="K7" s="558"/>
      <c r="L7" s="558"/>
      <c r="M7" s="558"/>
      <c r="N7" s="558"/>
      <c r="O7" s="559"/>
      <c r="P7" s="606"/>
      <c r="Q7" s="558"/>
      <c r="R7" s="558"/>
      <c r="S7" s="558"/>
      <c r="T7" s="558"/>
      <c r="U7" s="559"/>
      <c r="V7" s="606"/>
      <c r="W7" s="558"/>
      <c r="X7" s="558"/>
      <c r="Y7" s="558"/>
      <c r="Z7" s="558"/>
      <c r="AA7" s="559"/>
      <c r="AB7" s="606"/>
      <c r="AC7" s="558"/>
      <c r="AD7" s="558"/>
      <c r="AE7" s="558"/>
      <c r="AF7" s="558"/>
      <c r="AG7" s="559"/>
      <c r="AH7" s="613"/>
      <c r="AI7" s="614"/>
      <c r="AJ7" s="614"/>
      <c r="AK7" s="614"/>
      <c r="AL7" s="614"/>
      <c r="AM7" s="615"/>
      <c r="AN7" s="69"/>
      <c r="AO7" s="571"/>
      <c r="AP7" s="572"/>
      <c r="AQ7" s="572"/>
      <c r="AR7" s="572"/>
      <c r="AS7" s="572"/>
      <c r="AT7" s="573"/>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60"/>
      <c r="C8" s="560"/>
      <c r="D8" s="561"/>
      <c r="E8" s="552"/>
      <c r="F8" s="553"/>
      <c r="G8" s="553"/>
      <c r="H8" s="553"/>
      <c r="I8" s="554"/>
      <c r="J8" s="606" t="str">
        <f ca="1">IF(AND('Mapa final'!$P$20="Muy Alta",'Mapa final'!$T$20="Leve"),CONCATENATE("R",'Mapa final'!$A$20),"")</f>
        <v/>
      </c>
      <c r="K8" s="558"/>
      <c r="L8" s="558" t="str">
        <f ca="1">IF(AND('Mapa final'!$P$22="Muy Alta",'Mapa final'!$T$22="Leve"),CONCATENATE("R",'Mapa final'!$A$22),"")</f>
        <v/>
      </c>
      <c r="M8" s="558"/>
      <c r="N8" s="558" t="str">
        <f ca="1">IF(AND('Mapa final'!$P$25="Muy Alta",'Mapa final'!$T$25="Leve"),CONCATENATE("R",'Mapa final'!$A$25),"")</f>
        <v/>
      </c>
      <c r="O8" s="559"/>
      <c r="P8" s="606" t="str">
        <f ca="1">IF(AND('Mapa final'!$P$20="Muy Alta",'Mapa final'!$T$20="Menor"),CONCATENATE("R",'Mapa final'!$A$20),"")</f>
        <v/>
      </c>
      <c r="Q8" s="558"/>
      <c r="R8" s="558" t="str">
        <f ca="1">IF(AND('Mapa final'!$P$22="Muy Alta",'Mapa final'!$T$22="Menor"),CONCATENATE("R",'Mapa final'!$A$22),"")</f>
        <v/>
      </c>
      <c r="S8" s="558"/>
      <c r="T8" s="558" t="str">
        <f ca="1">IF(AND('Mapa final'!$P$25="Muy Alta",'Mapa final'!$T$25="Menor"),CONCATENATE("R",'Mapa final'!$A$25),"")</f>
        <v/>
      </c>
      <c r="U8" s="559"/>
      <c r="V8" s="606" t="str">
        <f ca="1">IF(AND('Mapa final'!$P$20="Muy Alta",'Mapa final'!$T$20="Moderado"),CONCATENATE("R",'Mapa final'!$A$20),"")</f>
        <v/>
      </c>
      <c r="W8" s="558"/>
      <c r="X8" s="558" t="str">
        <f ca="1">IF(AND('Mapa final'!$P$22="Muy Alta",'Mapa final'!$T$22="Moderado"),CONCATENATE("R",'Mapa final'!$A$22),"")</f>
        <v/>
      </c>
      <c r="Y8" s="558"/>
      <c r="Z8" s="558" t="str">
        <f ca="1">IF(AND('Mapa final'!$P$25="Muy Alta",'Mapa final'!$T$25="Moderado"),CONCATENATE("R",'Mapa final'!$A$25),"")</f>
        <v/>
      </c>
      <c r="AA8" s="559"/>
      <c r="AB8" s="606" t="str">
        <f ca="1">IF(AND('Mapa final'!$P$20="Muy Alta",'Mapa final'!$T$20="Mayor"),CONCATENATE("R",'Mapa final'!$A$20),"")</f>
        <v/>
      </c>
      <c r="AC8" s="558"/>
      <c r="AD8" s="558" t="str">
        <f ca="1">IF(AND('Mapa final'!$P$22="Muy Alta",'Mapa final'!$T$22="Mayor"),CONCATENATE("R",'Mapa final'!$A$22),"")</f>
        <v/>
      </c>
      <c r="AE8" s="558"/>
      <c r="AF8" s="558" t="str">
        <f ca="1">IF(AND('Mapa final'!$P$25="Muy Alta",'Mapa final'!$T$25="Mayor"),CONCATENATE("R",'Mapa final'!$A$25),"")</f>
        <v/>
      </c>
      <c r="AG8" s="559"/>
      <c r="AH8" s="613" t="str">
        <f ca="1">IF(AND('Mapa final'!$P$20="Muy Alta",'Mapa final'!$T$20="Catastrófico"),CONCATENATE("R",'Mapa final'!$A$20),"")</f>
        <v/>
      </c>
      <c r="AI8" s="614"/>
      <c r="AJ8" s="614" t="str">
        <f ca="1">IF(AND('Mapa final'!$P$22="Muy Alta",'Mapa final'!$T$22="Catastrófico"),CONCATENATE("R",'Mapa final'!$A$22),"")</f>
        <v/>
      </c>
      <c r="AK8" s="614"/>
      <c r="AL8" s="614" t="str">
        <f ca="1">IF(AND('Mapa final'!$P$25="Muy Alta",'Mapa final'!$T$25="Catastrófico"),CONCATENATE("R",'Mapa final'!$A$25),"")</f>
        <v/>
      </c>
      <c r="AM8" s="615"/>
      <c r="AN8" s="69"/>
      <c r="AO8" s="571"/>
      <c r="AP8" s="572"/>
      <c r="AQ8" s="572"/>
      <c r="AR8" s="572"/>
      <c r="AS8" s="572"/>
      <c r="AT8" s="573"/>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60"/>
      <c r="C9" s="560"/>
      <c r="D9" s="561"/>
      <c r="E9" s="552"/>
      <c r="F9" s="553"/>
      <c r="G9" s="553"/>
      <c r="H9" s="553"/>
      <c r="I9" s="554"/>
      <c r="J9" s="606"/>
      <c r="K9" s="558"/>
      <c r="L9" s="558"/>
      <c r="M9" s="558"/>
      <c r="N9" s="558"/>
      <c r="O9" s="559"/>
      <c r="P9" s="606"/>
      <c r="Q9" s="558"/>
      <c r="R9" s="558"/>
      <c r="S9" s="558"/>
      <c r="T9" s="558"/>
      <c r="U9" s="559"/>
      <c r="V9" s="606"/>
      <c r="W9" s="558"/>
      <c r="X9" s="558"/>
      <c r="Y9" s="558"/>
      <c r="Z9" s="558"/>
      <c r="AA9" s="559"/>
      <c r="AB9" s="606"/>
      <c r="AC9" s="558"/>
      <c r="AD9" s="558"/>
      <c r="AE9" s="558"/>
      <c r="AF9" s="558"/>
      <c r="AG9" s="559"/>
      <c r="AH9" s="613"/>
      <c r="AI9" s="614"/>
      <c r="AJ9" s="614"/>
      <c r="AK9" s="614"/>
      <c r="AL9" s="614"/>
      <c r="AM9" s="615"/>
      <c r="AN9" s="69"/>
      <c r="AO9" s="571"/>
      <c r="AP9" s="572"/>
      <c r="AQ9" s="572"/>
      <c r="AR9" s="572"/>
      <c r="AS9" s="572"/>
      <c r="AT9" s="573"/>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60"/>
      <c r="C10" s="560"/>
      <c r="D10" s="561"/>
      <c r="E10" s="552"/>
      <c r="F10" s="553"/>
      <c r="G10" s="553"/>
      <c r="H10" s="553"/>
      <c r="I10" s="554"/>
      <c r="J10" s="606" t="str">
        <f ca="1">IF(AND('Mapa final'!$P$27="Muy Alta",'Mapa final'!$T$27="Leve"),CONCATENATE("R",'Mapa final'!$B$27),"")</f>
        <v/>
      </c>
      <c r="K10" s="558"/>
      <c r="L10" s="558" t="str">
        <f ca="1">IF(AND('Mapa final'!$P$29="Muy Alta",'Mapa final'!$T$29="Leve"),CONCATENATE("R",'Mapa final'!$A$29),"")</f>
        <v/>
      </c>
      <c r="M10" s="558"/>
      <c r="N10" s="558" t="str">
        <f ca="1">IF(AND('Mapa final'!$P$33="Muy Alta",'Mapa final'!$T$33="Leve"),CONCATENATE("R",'Mapa final'!$A$33),"")</f>
        <v/>
      </c>
      <c r="O10" s="559"/>
      <c r="P10" s="606" t="str">
        <f ca="1">IF(AND('Mapa final'!$P$27="Muy Alta",'Mapa final'!$T$27="Menor"),CONCATENATE("R",'Mapa final'!$B$27),"")</f>
        <v/>
      </c>
      <c r="Q10" s="558"/>
      <c r="R10" s="558" t="str">
        <f ca="1">IF(AND('Mapa final'!$P$29="Muy Alta",'Mapa final'!$T$29="Menor"),CONCATENATE("R",'Mapa final'!$A$29),"")</f>
        <v/>
      </c>
      <c r="S10" s="558"/>
      <c r="T10" s="558" t="str">
        <f ca="1">IF(AND('Mapa final'!$P$33="Muy Alta",'Mapa final'!$T$33="Menor"),CONCATENATE("R",'Mapa final'!$A$33),"")</f>
        <v/>
      </c>
      <c r="U10" s="559"/>
      <c r="V10" s="606" t="str">
        <f ca="1">IF(AND('Mapa final'!$P$27="Muy Alta",'Mapa final'!$T$27="Moderado"),CONCATENATE("R",'Mapa final'!$B$27),"")</f>
        <v/>
      </c>
      <c r="W10" s="558"/>
      <c r="X10" s="558" t="str">
        <f ca="1">IF(AND('Mapa final'!$P$29="Muy Alta",'Mapa final'!$T$29="Moderado"),CONCATENATE("R",'Mapa final'!$A$29),"")</f>
        <v>R8</v>
      </c>
      <c r="Y10" s="558"/>
      <c r="Z10" s="558" t="str">
        <f ca="1">IF(AND('Mapa final'!$P$33="Muy Alta",'Mapa final'!$T$33="Moderado"),CONCATENATE("R",'Mapa final'!$A$33),"")</f>
        <v/>
      </c>
      <c r="AA10" s="559"/>
      <c r="AB10" s="606" t="str">
        <f ca="1">IF(AND('Mapa final'!$P$27="Muy Alta",'Mapa final'!$T$27="Mayor"),CONCATENATE("R",'Mapa final'!$B$27),"")</f>
        <v/>
      </c>
      <c r="AC10" s="558"/>
      <c r="AD10" s="558" t="str">
        <f ca="1">IF(AND('Mapa final'!$P$29="Muy Alta",'Mapa final'!$T$29="Mayor"),CONCATENATE("R",'Mapa final'!$A$29),"")</f>
        <v/>
      </c>
      <c r="AE10" s="558"/>
      <c r="AF10" s="558" t="str">
        <f ca="1">IF(AND('Mapa final'!$P$33="Muy Alta",'Mapa final'!$T$33="Mayor"),CONCATENATE("R",'Mapa final'!$A$33),"")</f>
        <v/>
      </c>
      <c r="AG10" s="559"/>
      <c r="AH10" s="613" t="str">
        <f ca="1">IF(AND('Mapa final'!$P$27="Muy Alta",'Mapa final'!$T$27="Catastrófico"),CONCATENATE("R",'Mapa final'!$B$27),"")</f>
        <v/>
      </c>
      <c r="AI10" s="614"/>
      <c r="AJ10" s="614" t="str">
        <f ca="1">IF(AND('Mapa final'!$P$29="Muy Alta",'Mapa final'!$T$29="Catastrófico"),CONCATENATE("R",'Mapa final'!$A$29),"")</f>
        <v/>
      </c>
      <c r="AK10" s="614"/>
      <c r="AL10" s="614" t="str">
        <f ca="1">IF(AND('Mapa final'!$P$33="Muy Alta",'Mapa final'!$T$33="Catastrófico"),CONCATENATE("R",'Mapa final'!$A$33),"")</f>
        <v/>
      </c>
      <c r="AM10" s="615"/>
      <c r="AN10" s="69"/>
      <c r="AO10" s="571"/>
      <c r="AP10" s="572"/>
      <c r="AQ10" s="572"/>
      <c r="AR10" s="572"/>
      <c r="AS10" s="572"/>
      <c r="AT10" s="573"/>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60"/>
      <c r="C11" s="560"/>
      <c r="D11" s="561"/>
      <c r="E11" s="552"/>
      <c r="F11" s="553"/>
      <c r="G11" s="553"/>
      <c r="H11" s="553"/>
      <c r="I11" s="554"/>
      <c r="J11" s="606"/>
      <c r="K11" s="558"/>
      <c r="L11" s="558"/>
      <c r="M11" s="558"/>
      <c r="N11" s="558"/>
      <c r="O11" s="559"/>
      <c r="P11" s="606"/>
      <c r="Q11" s="558"/>
      <c r="R11" s="558"/>
      <c r="S11" s="558"/>
      <c r="T11" s="558"/>
      <c r="U11" s="559"/>
      <c r="V11" s="606"/>
      <c r="W11" s="558"/>
      <c r="X11" s="558"/>
      <c r="Y11" s="558"/>
      <c r="Z11" s="558"/>
      <c r="AA11" s="559"/>
      <c r="AB11" s="606"/>
      <c r="AC11" s="558"/>
      <c r="AD11" s="558"/>
      <c r="AE11" s="558"/>
      <c r="AF11" s="558"/>
      <c r="AG11" s="559"/>
      <c r="AH11" s="613"/>
      <c r="AI11" s="614"/>
      <c r="AJ11" s="614"/>
      <c r="AK11" s="614"/>
      <c r="AL11" s="614"/>
      <c r="AM11" s="615"/>
      <c r="AN11" s="69"/>
      <c r="AO11" s="571"/>
      <c r="AP11" s="572"/>
      <c r="AQ11" s="572"/>
      <c r="AR11" s="572"/>
      <c r="AS11" s="572"/>
      <c r="AT11" s="573"/>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60"/>
      <c r="C12" s="560"/>
      <c r="D12" s="561"/>
      <c r="E12" s="552"/>
      <c r="F12" s="553"/>
      <c r="G12" s="553"/>
      <c r="H12" s="553"/>
      <c r="I12" s="554"/>
      <c r="J12" s="606" t="str">
        <f ca="1">IF(AND('Mapa final'!$P$38="Muy Alta",'Mapa final'!$T$38="Leve"),CONCATENATE("R",'Mapa final'!$A$38),"")</f>
        <v/>
      </c>
      <c r="K12" s="558"/>
      <c r="L12" s="558" t="str">
        <f>IF(AND('Mapa final'!$P$251="Muy Alta",'Mapa final'!$T$251="Leve"),CONCATENATE("R",'Mapa final'!$A$251),"")</f>
        <v/>
      </c>
      <c r="M12" s="558"/>
      <c r="N12" s="558" t="str">
        <f>IF(AND('Mapa final'!$P$257="Muy Alta",'Mapa final'!$T$257="Leve"),CONCATENATE("R",'Mapa final'!$A$257),"")</f>
        <v/>
      </c>
      <c r="O12" s="559"/>
      <c r="P12" s="606" t="str">
        <f ca="1">IF(AND('Mapa final'!$P$38="Muy Alta",'Mapa final'!$T$38="Menor"),CONCATENATE("R",'Mapa final'!$A$38),"")</f>
        <v/>
      </c>
      <c r="Q12" s="558"/>
      <c r="R12" s="558" t="str">
        <f>IF(AND('Mapa final'!$P$251="Muy Alta",'Mapa final'!$T$251="Menor"),CONCATENATE("R",'Mapa final'!$A$251),"")</f>
        <v/>
      </c>
      <c r="S12" s="558"/>
      <c r="T12" s="558" t="str">
        <f>IF(AND('Mapa final'!$P$257="Muy Alta",'Mapa final'!$T$257="Menor"),CONCATENATE("R",'Mapa final'!$A$257),"")</f>
        <v/>
      </c>
      <c r="U12" s="559"/>
      <c r="V12" s="606" t="str">
        <f ca="1">IF(AND('Mapa final'!$P$38="Muy Alta",'Mapa final'!$T$38="Moderado"),CONCATENATE("R",'Mapa final'!$A$38),"")</f>
        <v/>
      </c>
      <c r="W12" s="558"/>
      <c r="X12" s="558" t="str">
        <f>IF(AND('Mapa final'!$P$251="Muy Alta",'Mapa final'!$T$251="Moderado"),CONCATENATE("R",'Mapa final'!$A$251),"")</f>
        <v/>
      </c>
      <c r="Y12" s="558"/>
      <c r="Z12" s="558" t="str">
        <f>IF(AND('Mapa final'!$P$257="Muy Alta",'Mapa final'!$T$257="Moderado"),CONCATENATE("R",'Mapa final'!$A$257),"")</f>
        <v/>
      </c>
      <c r="AA12" s="559"/>
      <c r="AB12" s="606" t="str">
        <f ca="1">IF(AND('Mapa final'!$P$38="Muy Alta",'Mapa final'!$T$38="Mayor"),CONCATENATE("R",'Mapa final'!$A$38),"")</f>
        <v>R10</v>
      </c>
      <c r="AC12" s="558"/>
      <c r="AD12" s="558" t="str">
        <f>IF(AND('Mapa final'!$P$251="Muy Alta",'Mapa final'!$T$251="Mayor"),CONCATENATE("R",'Mapa final'!$A$251),"")</f>
        <v/>
      </c>
      <c r="AE12" s="558"/>
      <c r="AF12" s="558" t="str">
        <f>IF(AND('Mapa final'!$P$257="Muy Alta",'Mapa final'!$T$257="Mayor"),CONCATENATE("R",'Mapa final'!$A$257),"")</f>
        <v/>
      </c>
      <c r="AG12" s="559"/>
      <c r="AH12" s="613" t="str">
        <f ca="1">IF(AND('Mapa final'!$P$38="Muy Alta",'Mapa final'!$T$38="Catastrófico"),CONCATENATE("R",'Mapa final'!$A$38),"")</f>
        <v/>
      </c>
      <c r="AI12" s="614"/>
      <c r="AJ12" s="614" t="str">
        <f>IF(AND('Mapa final'!$P$251="Muy Alta",'Mapa final'!$T$251="Catastrófico"),CONCATENATE("R",'Mapa final'!$A$251),"")</f>
        <v/>
      </c>
      <c r="AK12" s="614"/>
      <c r="AL12" s="614" t="str">
        <f>IF(AND('Mapa final'!$P$257="Muy Alta",'Mapa final'!$T$257="Catastrófico"),CONCATENATE("R",'Mapa final'!$A$257),"")</f>
        <v/>
      </c>
      <c r="AM12" s="615"/>
      <c r="AN12" s="69"/>
      <c r="AO12" s="571"/>
      <c r="AP12" s="572"/>
      <c r="AQ12" s="572"/>
      <c r="AR12" s="572"/>
      <c r="AS12" s="572"/>
      <c r="AT12" s="573"/>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60"/>
      <c r="C13" s="560"/>
      <c r="D13" s="561"/>
      <c r="E13" s="555"/>
      <c r="F13" s="556"/>
      <c r="G13" s="556"/>
      <c r="H13" s="556"/>
      <c r="I13" s="557"/>
      <c r="J13" s="606"/>
      <c r="K13" s="558"/>
      <c r="L13" s="558"/>
      <c r="M13" s="558"/>
      <c r="N13" s="558"/>
      <c r="O13" s="559"/>
      <c r="P13" s="606"/>
      <c r="Q13" s="558"/>
      <c r="R13" s="558"/>
      <c r="S13" s="558"/>
      <c r="T13" s="558"/>
      <c r="U13" s="559"/>
      <c r="V13" s="606"/>
      <c r="W13" s="558"/>
      <c r="X13" s="558"/>
      <c r="Y13" s="558"/>
      <c r="Z13" s="558"/>
      <c r="AA13" s="559"/>
      <c r="AB13" s="606"/>
      <c r="AC13" s="558"/>
      <c r="AD13" s="558"/>
      <c r="AE13" s="558"/>
      <c r="AF13" s="558"/>
      <c r="AG13" s="559"/>
      <c r="AH13" s="616"/>
      <c r="AI13" s="617"/>
      <c r="AJ13" s="617"/>
      <c r="AK13" s="617"/>
      <c r="AL13" s="617"/>
      <c r="AM13" s="618"/>
      <c r="AN13" s="69"/>
      <c r="AO13" s="574"/>
      <c r="AP13" s="575"/>
      <c r="AQ13" s="575"/>
      <c r="AR13" s="575"/>
      <c r="AS13" s="575"/>
      <c r="AT13" s="576"/>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60"/>
      <c r="C14" s="560"/>
      <c r="D14" s="561"/>
      <c r="E14" s="549" t="s">
        <v>131</v>
      </c>
      <c r="F14" s="550"/>
      <c r="G14" s="550"/>
      <c r="H14" s="550"/>
      <c r="I14" s="550"/>
      <c r="J14" s="567" t="str">
        <f ca="1">IF(AND('Mapa final'!$P$13="Alta",'Mapa final'!$T$13="Leve"),CONCATENATE("R",'Mapa final'!$A$13),"")</f>
        <v/>
      </c>
      <c r="K14" s="562"/>
      <c r="L14" s="562" t="str">
        <f ca="1">IF(AND('Mapa final'!$P$15="Alta",'Mapa final'!$T$15="Leve"),CONCATENATE("R",'Mapa final'!$A$15),"")</f>
        <v/>
      </c>
      <c r="M14" s="562"/>
      <c r="N14" s="562" t="str">
        <f ca="1">IF(AND('Mapa final'!$P$17="Alta",'Mapa final'!$T$17="Leve"),CONCATENATE("R",'Mapa final'!$A$17),"")</f>
        <v/>
      </c>
      <c r="O14" s="564"/>
      <c r="P14" s="567" t="str">
        <f ca="1">IF(AND('Mapa final'!$P$13="Alta",'Mapa final'!$T$13="Menor"),CONCATENATE("R",'Mapa final'!$A$13),"")</f>
        <v>R1</v>
      </c>
      <c r="Q14" s="562"/>
      <c r="R14" s="562" t="str">
        <f ca="1">IF(AND('Mapa final'!$P$15="Alta",'Mapa final'!$T$15="Menor"),CONCATENATE("R",'Mapa final'!$A$15),"")</f>
        <v/>
      </c>
      <c r="S14" s="562"/>
      <c r="T14" s="562" t="str">
        <f ca="1">IF(AND('Mapa final'!$P$17="Alta",'Mapa final'!$T$17="Menor"),CONCATENATE("R",'Mapa final'!$A$17),"")</f>
        <v/>
      </c>
      <c r="U14" s="564"/>
      <c r="V14" s="604" t="str">
        <f ca="1">IF(AND('Mapa final'!$P$13="Alta",'Mapa final'!$T$13="Moderado"),CONCATENATE("R",'Mapa final'!$A$13),"")</f>
        <v/>
      </c>
      <c r="W14" s="605"/>
      <c r="X14" s="605" t="str">
        <f ca="1">IF(AND('Mapa final'!$P$15="Alta",'Mapa final'!$T$15="Moderado"),CONCATENATE("R",'Mapa final'!$A$15),"")</f>
        <v/>
      </c>
      <c r="Y14" s="605"/>
      <c r="Z14" s="605" t="str">
        <f ca="1">IF(AND('Mapa final'!$P$17="Alta",'Mapa final'!$T$17="Moderado"),CONCATENATE("R",'Mapa final'!$A$17),"")</f>
        <v/>
      </c>
      <c r="AA14" s="607"/>
      <c r="AB14" s="604" t="str">
        <f ca="1">IF(AND('Mapa final'!$P$13="Alta",'Mapa final'!$T$13="Mayor"),CONCATENATE("R",'Mapa final'!$A$13),"")</f>
        <v/>
      </c>
      <c r="AC14" s="605"/>
      <c r="AD14" s="605" t="str">
        <f ca="1">IF(AND('Mapa final'!$P$15="Alta",'Mapa final'!$T$15="Mayor"),CONCATENATE("R",'Mapa final'!$A$15),"")</f>
        <v/>
      </c>
      <c r="AE14" s="605"/>
      <c r="AF14" s="605" t="str">
        <f ca="1">IF(AND('Mapa final'!$P$17="Alta",'Mapa final'!$T$17="Mayor"),CONCATENATE("R",'Mapa final'!$A$17),"")</f>
        <v/>
      </c>
      <c r="AG14" s="607"/>
      <c r="AH14" s="619" t="str">
        <f ca="1">IF(AND('Mapa final'!$P$13="Alta",'Mapa final'!$T$13="Catastrófico"),CONCATENATE("R",'Mapa final'!$A$13),"")</f>
        <v/>
      </c>
      <c r="AI14" s="620"/>
      <c r="AJ14" s="620" t="str">
        <f ca="1">IF(AND('Mapa final'!$P$15="Alta",'Mapa final'!$T$15="Catastrófico"),CONCATENATE("R",'Mapa final'!$A$15),"")</f>
        <v/>
      </c>
      <c r="AK14" s="620"/>
      <c r="AL14" s="620" t="str">
        <f ca="1">IF(AND('Mapa final'!$P$17="Alta",'Mapa final'!$T$17="Catastrófico"),CONCATENATE("R",'Mapa final'!$A$17),"")</f>
        <v/>
      </c>
      <c r="AM14" s="621"/>
      <c r="AN14" s="69"/>
      <c r="AO14" s="577" t="s">
        <v>132</v>
      </c>
      <c r="AP14" s="578"/>
      <c r="AQ14" s="578"/>
      <c r="AR14" s="578"/>
      <c r="AS14" s="578"/>
      <c r="AT14" s="57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60"/>
      <c r="C15" s="560"/>
      <c r="D15" s="561"/>
      <c r="E15" s="552"/>
      <c r="F15" s="553"/>
      <c r="G15" s="553"/>
      <c r="H15" s="553"/>
      <c r="I15" s="553"/>
      <c r="J15" s="566"/>
      <c r="K15" s="563"/>
      <c r="L15" s="563"/>
      <c r="M15" s="563"/>
      <c r="N15" s="563"/>
      <c r="O15" s="565"/>
      <c r="P15" s="566"/>
      <c r="Q15" s="563"/>
      <c r="R15" s="563"/>
      <c r="S15" s="563"/>
      <c r="T15" s="563"/>
      <c r="U15" s="565"/>
      <c r="V15" s="606"/>
      <c r="W15" s="558"/>
      <c r="X15" s="558"/>
      <c r="Y15" s="558"/>
      <c r="Z15" s="558"/>
      <c r="AA15" s="559"/>
      <c r="AB15" s="606"/>
      <c r="AC15" s="558"/>
      <c r="AD15" s="558"/>
      <c r="AE15" s="558"/>
      <c r="AF15" s="558"/>
      <c r="AG15" s="559"/>
      <c r="AH15" s="613"/>
      <c r="AI15" s="614"/>
      <c r="AJ15" s="614"/>
      <c r="AK15" s="614"/>
      <c r="AL15" s="614"/>
      <c r="AM15" s="615"/>
      <c r="AN15" s="69"/>
      <c r="AO15" s="580"/>
      <c r="AP15" s="581"/>
      <c r="AQ15" s="581"/>
      <c r="AR15" s="581"/>
      <c r="AS15" s="581"/>
      <c r="AT15" s="582"/>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60"/>
      <c r="C16" s="560"/>
      <c r="D16" s="561"/>
      <c r="E16" s="552"/>
      <c r="F16" s="553"/>
      <c r="G16" s="553"/>
      <c r="H16" s="553"/>
      <c r="I16" s="553"/>
      <c r="J16" s="566" t="str">
        <f ca="1">IF(AND('Mapa final'!$P$20="Alta",'Mapa final'!$T$20="Leve"),CONCATENATE("R",'Mapa final'!$A$20),"")</f>
        <v/>
      </c>
      <c r="K16" s="563"/>
      <c r="L16" s="563" t="str">
        <f ca="1">IF(AND('Mapa final'!$P$22="Alta",'Mapa final'!$T$22="Leve"),CONCATENATE("R",'Mapa final'!$A$22),"")</f>
        <v/>
      </c>
      <c r="M16" s="563"/>
      <c r="N16" s="563" t="str">
        <f ca="1">IF(AND('Mapa final'!$P$25="Alta",'Mapa final'!$T$25="Leve"),CONCATENATE("R",'Mapa final'!$A$25),"")</f>
        <v/>
      </c>
      <c r="O16" s="565"/>
      <c r="P16" s="566" t="str">
        <f ca="1">IF(AND('Mapa final'!$P$20="Alta",'Mapa final'!$T$20="Menor"),CONCATENATE("R",'Mapa final'!$A$20),"")</f>
        <v/>
      </c>
      <c r="Q16" s="563"/>
      <c r="R16" s="563" t="str">
        <f ca="1">IF(AND('Mapa final'!$P$22="Alta",'Mapa final'!$T$22="Menor"),CONCATENATE("R",'Mapa final'!$A$22),"")</f>
        <v/>
      </c>
      <c r="S16" s="563"/>
      <c r="T16" s="563" t="str">
        <f ca="1">IF(AND('Mapa final'!$P$25="Alta",'Mapa final'!$T$25="Menor"),CONCATENATE("R",'Mapa final'!$A$25),"")</f>
        <v/>
      </c>
      <c r="U16" s="565"/>
      <c r="V16" s="606" t="str">
        <f ca="1">IF(AND('Mapa final'!$P$20="Alta",'Mapa final'!$T$20="Moderado"),CONCATENATE("R",'Mapa final'!$A$20),"")</f>
        <v/>
      </c>
      <c r="W16" s="558"/>
      <c r="X16" s="558" t="str">
        <f ca="1">IF(AND('Mapa final'!$P$22="Alta",'Mapa final'!$T$22="Moderado"),CONCATENATE("R",'Mapa final'!$A$22),"")</f>
        <v/>
      </c>
      <c r="Y16" s="558"/>
      <c r="Z16" s="558" t="str">
        <f ca="1">IF(AND('Mapa final'!$P$25="Alta",'Mapa final'!$T$25="Moderado"),CONCATENATE("R",'Mapa final'!$A$25),"")</f>
        <v/>
      </c>
      <c r="AA16" s="559"/>
      <c r="AB16" s="606" t="str">
        <f ca="1">IF(AND('Mapa final'!$P$20="Alta",'Mapa final'!$T$20="Mayor"),CONCATENATE("R",'Mapa final'!$A$20),"")</f>
        <v/>
      </c>
      <c r="AC16" s="558"/>
      <c r="AD16" s="558" t="str">
        <f ca="1">IF(AND('Mapa final'!$P$22="Alta",'Mapa final'!$T$22="Mayor"),CONCATENATE("R",'Mapa final'!$A$22),"")</f>
        <v/>
      </c>
      <c r="AE16" s="558"/>
      <c r="AF16" s="558" t="str">
        <f ca="1">IF(AND('Mapa final'!$P$25="Alta",'Mapa final'!$T$25="Mayor"),CONCATENATE("R",'Mapa final'!$A$25),"")</f>
        <v/>
      </c>
      <c r="AG16" s="559"/>
      <c r="AH16" s="613" t="str">
        <f ca="1">IF(AND('Mapa final'!$P$20="Alta",'Mapa final'!$T$20="Catastrófico"),CONCATENATE("R",'Mapa final'!$A$20),"")</f>
        <v/>
      </c>
      <c r="AI16" s="614"/>
      <c r="AJ16" s="614" t="str">
        <f ca="1">IF(AND('Mapa final'!$P$22="Alta",'Mapa final'!$T$22="Catastrófico"),CONCATENATE("R",'Mapa final'!$A$22),"")</f>
        <v/>
      </c>
      <c r="AK16" s="614"/>
      <c r="AL16" s="614" t="str">
        <f ca="1">IF(AND('Mapa final'!$P$25="Alta",'Mapa final'!$T$25="Catastrófico"),CONCATENATE("R",'Mapa final'!$A$25),"")</f>
        <v/>
      </c>
      <c r="AM16" s="615"/>
      <c r="AN16" s="69"/>
      <c r="AO16" s="580"/>
      <c r="AP16" s="581"/>
      <c r="AQ16" s="581"/>
      <c r="AR16" s="581"/>
      <c r="AS16" s="581"/>
      <c r="AT16" s="582"/>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60"/>
      <c r="C17" s="560"/>
      <c r="D17" s="561"/>
      <c r="E17" s="552"/>
      <c r="F17" s="553"/>
      <c r="G17" s="553"/>
      <c r="H17" s="553"/>
      <c r="I17" s="553"/>
      <c r="J17" s="566"/>
      <c r="K17" s="563"/>
      <c r="L17" s="563"/>
      <c r="M17" s="563"/>
      <c r="N17" s="563"/>
      <c r="O17" s="565"/>
      <c r="P17" s="566"/>
      <c r="Q17" s="563"/>
      <c r="R17" s="563"/>
      <c r="S17" s="563"/>
      <c r="T17" s="563"/>
      <c r="U17" s="565"/>
      <c r="V17" s="606"/>
      <c r="W17" s="558"/>
      <c r="X17" s="558"/>
      <c r="Y17" s="558"/>
      <c r="Z17" s="558"/>
      <c r="AA17" s="559"/>
      <c r="AB17" s="606"/>
      <c r="AC17" s="558"/>
      <c r="AD17" s="558"/>
      <c r="AE17" s="558"/>
      <c r="AF17" s="558"/>
      <c r="AG17" s="559"/>
      <c r="AH17" s="613"/>
      <c r="AI17" s="614"/>
      <c r="AJ17" s="614"/>
      <c r="AK17" s="614"/>
      <c r="AL17" s="614"/>
      <c r="AM17" s="615"/>
      <c r="AN17" s="69"/>
      <c r="AO17" s="580"/>
      <c r="AP17" s="581"/>
      <c r="AQ17" s="581"/>
      <c r="AR17" s="581"/>
      <c r="AS17" s="581"/>
      <c r="AT17" s="582"/>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60"/>
      <c r="C18" s="560"/>
      <c r="D18" s="561"/>
      <c r="E18" s="552"/>
      <c r="F18" s="553"/>
      <c r="G18" s="553"/>
      <c r="H18" s="553"/>
      <c r="I18" s="553"/>
      <c r="J18" s="566" t="str">
        <f ca="1">IF(AND('Mapa final'!$P$27="Alta",'Mapa final'!$T$27="Leve"),CONCATENATE("R",'Mapa final'!$B$27),"")</f>
        <v/>
      </c>
      <c r="K18" s="563"/>
      <c r="L18" s="563" t="str">
        <f ca="1">IF(AND('Mapa final'!$P$29="Alta",'Mapa final'!$T$29="Leve"),CONCATENATE("R",'Mapa final'!$A$29),"")</f>
        <v/>
      </c>
      <c r="M18" s="563"/>
      <c r="N18" s="563" t="str">
        <f ca="1">IF(AND('Mapa final'!$P$33="Alta",'Mapa final'!$T$33="Leve"),CONCATENATE("R",'Mapa final'!$A$33),"")</f>
        <v/>
      </c>
      <c r="O18" s="565"/>
      <c r="P18" s="566" t="str">
        <f ca="1">IF(AND('Mapa final'!$P$27="Alta",'Mapa final'!$T$27="Menor"),CONCATENATE("R",'Mapa final'!$B$27),"")</f>
        <v/>
      </c>
      <c r="Q18" s="563"/>
      <c r="R18" s="563" t="str">
        <f ca="1">IF(AND('Mapa final'!$P$29="Alta",'Mapa final'!$T$29="Menor"),CONCATENATE("R",'Mapa final'!$A$29),"")</f>
        <v/>
      </c>
      <c r="S18" s="563"/>
      <c r="T18" s="563" t="str">
        <f ca="1">IF(AND('Mapa final'!$P$33="Alta",'Mapa final'!$T$33="Menor"),CONCATENATE("R",'Mapa final'!$A$33),"")</f>
        <v/>
      </c>
      <c r="U18" s="565"/>
      <c r="V18" s="606" t="str">
        <f ca="1">IF(AND('Mapa final'!$P$27="Alta",'Mapa final'!$T$27="Moderado"),CONCATENATE("R",'Mapa final'!$B$27),"")</f>
        <v/>
      </c>
      <c r="W18" s="558"/>
      <c r="X18" s="558" t="str">
        <f ca="1">IF(AND('Mapa final'!$P$29="Alta",'Mapa final'!$T$29="Moderado"),CONCATENATE("R",'Mapa final'!$A$29),"")</f>
        <v/>
      </c>
      <c r="Y18" s="558"/>
      <c r="Z18" s="558" t="str">
        <f ca="1">IF(AND('Mapa final'!$P$33="Alta",'Mapa final'!$T$33="Moderado"),CONCATENATE("R",'Mapa final'!$A$33),"")</f>
        <v/>
      </c>
      <c r="AA18" s="559"/>
      <c r="AB18" s="606" t="str">
        <f ca="1">IF(AND('Mapa final'!$P$27="Alta",'Mapa final'!$T$27="Mayor"),CONCATENATE("R",'Mapa final'!$B$27),"")</f>
        <v/>
      </c>
      <c r="AC18" s="558"/>
      <c r="AD18" s="558" t="str">
        <f ca="1">IF(AND('Mapa final'!$P$29="Alta",'Mapa final'!$T$29="Mayor"),CONCATENATE("R",'Mapa final'!$A$29),"")</f>
        <v/>
      </c>
      <c r="AE18" s="558"/>
      <c r="AF18" s="558" t="str">
        <f ca="1">IF(AND('Mapa final'!$P$33="Alta",'Mapa final'!$T$33="Mayor"),CONCATENATE("R",'Mapa final'!$A$33),"")</f>
        <v/>
      </c>
      <c r="AG18" s="559"/>
      <c r="AH18" s="613" t="str">
        <f ca="1">IF(AND('Mapa final'!$P$27="Alta",'Mapa final'!$T$27="Catastrófico"),CONCATENATE("R",'Mapa final'!$B$27),"")</f>
        <v/>
      </c>
      <c r="AI18" s="614"/>
      <c r="AJ18" s="614" t="str">
        <f ca="1">IF(AND('Mapa final'!$P$29="Alta",'Mapa final'!$T$29="Catastrófico"),CONCATENATE("R",'Mapa final'!$A$29),"")</f>
        <v/>
      </c>
      <c r="AK18" s="614"/>
      <c r="AL18" s="614" t="str">
        <f ca="1">IF(AND('Mapa final'!$P$33="Alta",'Mapa final'!$T$33="Catastrófico"),CONCATENATE("R",'Mapa final'!$A$33),"")</f>
        <v/>
      </c>
      <c r="AM18" s="615"/>
      <c r="AN18" s="69"/>
      <c r="AO18" s="580"/>
      <c r="AP18" s="581"/>
      <c r="AQ18" s="581"/>
      <c r="AR18" s="581"/>
      <c r="AS18" s="581"/>
      <c r="AT18" s="582"/>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60"/>
      <c r="C19" s="560"/>
      <c r="D19" s="561"/>
      <c r="E19" s="552"/>
      <c r="F19" s="553"/>
      <c r="G19" s="553"/>
      <c r="H19" s="553"/>
      <c r="I19" s="553"/>
      <c r="J19" s="566"/>
      <c r="K19" s="563"/>
      <c r="L19" s="563"/>
      <c r="M19" s="563"/>
      <c r="N19" s="563"/>
      <c r="O19" s="565"/>
      <c r="P19" s="566"/>
      <c r="Q19" s="563"/>
      <c r="R19" s="563"/>
      <c r="S19" s="563"/>
      <c r="T19" s="563"/>
      <c r="U19" s="565"/>
      <c r="V19" s="606"/>
      <c r="W19" s="558"/>
      <c r="X19" s="558"/>
      <c r="Y19" s="558"/>
      <c r="Z19" s="558"/>
      <c r="AA19" s="559"/>
      <c r="AB19" s="606"/>
      <c r="AC19" s="558"/>
      <c r="AD19" s="558"/>
      <c r="AE19" s="558"/>
      <c r="AF19" s="558"/>
      <c r="AG19" s="559"/>
      <c r="AH19" s="613"/>
      <c r="AI19" s="614"/>
      <c r="AJ19" s="614"/>
      <c r="AK19" s="614"/>
      <c r="AL19" s="614"/>
      <c r="AM19" s="615"/>
      <c r="AN19" s="69"/>
      <c r="AO19" s="580"/>
      <c r="AP19" s="581"/>
      <c r="AQ19" s="581"/>
      <c r="AR19" s="581"/>
      <c r="AS19" s="581"/>
      <c r="AT19" s="582"/>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60"/>
      <c r="C20" s="560"/>
      <c r="D20" s="561"/>
      <c r="E20" s="552"/>
      <c r="F20" s="553"/>
      <c r="G20" s="553"/>
      <c r="H20" s="553"/>
      <c r="I20" s="553"/>
      <c r="J20" s="566" t="str">
        <f ca="1">IF(AND('Mapa final'!$P$38="Alta",'Mapa final'!$T$38="Leve"),CONCATENATE("R",'Mapa final'!$A$38),"")</f>
        <v/>
      </c>
      <c r="K20" s="563"/>
      <c r="L20" s="563" t="str">
        <f>IF(AND('Mapa final'!$P$251="Alta",'Mapa final'!$T$251="Leve"),CONCATENATE("R",'Mapa final'!$A$251),"")</f>
        <v/>
      </c>
      <c r="M20" s="563"/>
      <c r="N20" s="563" t="str">
        <f>IF(AND('Mapa final'!$P$257="Alta",'Mapa final'!$T$257="Leve"),CONCATENATE("R",'Mapa final'!$A$257),"")</f>
        <v/>
      </c>
      <c r="O20" s="565"/>
      <c r="P20" s="566" t="str">
        <f ca="1">IF(AND('Mapa final'!$P$38="Alta",'Mapa final'!$T$38="Menor"),CONCATENATE("R",'Mapa final'!$A$38),"")</f>
        <v/>
      </c>
      <c r="Q20" s="563"/>
      <c r="R20" s="563" t="str">
        <f>IF(AND('Mapa final'!$P$251="Alta",'Mapa final'!$T$251="Menor"),CONCATENATE("R",'Mapa final'!$A$251),"")</f>
        <v/>
      </c>
      <c r="S20" s="563"/>
      <c r="T20" s="563" t="str">
        <f>IF(AND('Mapa final'!$P$257="Alta",'Mapa final'!$T$257="Menor"),CONCATENATE("R",'Mapa final'!$A$257),"")</f>
        <v/>
      </c>
      <c r="U20" s="565"/>
      <c r="V20" s="606" t="str">
        <f ca="1">IF(AND('Mapa final'!$P$38="Alta",'Mapa final'!$T$38="Moderado"),CONCATENATE("R",'Mapa final'!$A$38),"")</f>
        <v/>
      </c>
      <c r="W20" s="558"/>
      <c r="X20" s="558" t="str">
        <f>IF(AND('Mapa final'!$P$251="Alta",'Mapa final'!$T$251="Moderado"),CONCATENATE("R",'Mapa final'!$A$251),"")</f>
        <v/>
      </c>
      <c r="Y20" s="558"/>
      <c r="Z20" s="558" t="str">
        <f>IF(AND('Mapa final'!$P$257="Alta",'Mapa final'!$T$257="Moderado"),CONCATENATE("R",'Mapa final'!$A$257),"")</f>
        <v/>
      </c>
      <c r="AA20" s="559"/>
      <c r="AB20" s="606" t="str">
        <f ca="1">IF(AND('Mapa final'!$P$38="Alta",'Mapa final'!$T$38="Mayor"),CONCATENATE("R",'Mapa final'!$A$38),"")</f>
        <v/>
      </c>
      <c r="AC20" s="558"/>
      <c r="AD20" s="558" t="str">
        <f>IF(AND('Mapa final'!$P$251="Alta",'Mapa final'!$T$251="Mayor"),CONCATENATE("R",'Mapa final'!$A$251),"")</f>
        <v/>
      </c>
      <c r="AE20" s="558"/>
      <c r="AF20" s="558" t="str">
        <f>IF(AND('Mapa final'!$P$257="Alta",'Mapa final'!$T$257="Mayor"),CONCATENATE("R",'Mapa final'!$A$257),"")</f>
        <v/>
      </c>
      <c r="AG20" s="559"/>
      <c r="AH20" s="613" t="str">
        <f ca="1">IF(AND('Mapa final'!$P$38="Alta",'Mapa final'!$T$38="Catastrófico"),CONCATENATE("R",'Mapa final'!$A$38),"")</f>
        <v/>
      </c>
      <c r="AI20" s="614"/>
      <c r="AJ20" s="614" t="str">
        <f>IF(AND('Mapa final'!$P$251="Alta",'Mapa final'!$T$251="Catastrófico"),CONCATENATE("R",'Mapa final'!$A$251),"")</f>
        <v/>
      </c>
      <c r="AK20" s="614"/>
      <c r="AL20" s="614" t="str">
        <f>IF(AND('Mapa final'!$P$257="Alta",'Mapa final'!$T$257="Catastrófico"),CONCATENATE("R",'Mapa final'!$A$257),"")</f>
        <v/>
      </c>
      <c r="AM20" s="615"/>
      <c r="AN20" s="69"/>
      <c r="AO20" s="580"/>
      <c r="AP20" s="581"/>
      <c r="AQ20" s="581"/>
      <c r="AR20" s="581"/>
      <c r="AS20" s="581"/>
      <c r="AT20" s="582"/>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60"/>
      <c r="C21" s="560"/>
      <c r="D21" s="561"/>
      <c r="E21" s="555"/>
      <c r="F21" s="556"/>
      <c r="G21" s="556"/>
      <c r="H21" s="556"/>
      <c r="I21" s="556"/>
      <c r="J21" s="622"/>
      <c r="K21" s="623"/>
      <c r="L21" s="623"/>
      <c r="M21" s="623"/>
      <c r="N21" s="623"/>
      <c r="O21" s="624"/>
      <c r="P21" s="622"/>
      <c r="Q21" s="623"/>
      <c r="R21" s="623"/>
      <c r="S21" s="623"/>
      <c r="T21" s="623"/>
      <c r="U21" s="624"/>
      <c r="V21" s="610"/>
      <c r="W21" s="611"/>
      <c r="X21" s="611"/>
      <c r="Y21" s="611"/>
      <c r="Z21" s="611"/>
      <c r="AA21" s="612"/>
      <c r="AB21" s="610"/>
      <c r="AC21" s="611"/>
      <c r="AD21" s="611"/>
      <c r="AE21" s="611"/>
      <c r="AF21" s="611"/>
      <c r="AG21" s="612"/>
      <c r="AH21" s="616"/>
      <c r="AI21" s="617"/>
      <c r="AJ21" s="617"/>
      <c r="AK21" s="617"/>
      <c r="AL21" s="617"/>
      <c r="AM21" s="618"/>
      <c r="AN21" s="69"/>
      <c r="AO21" s="583"/>
      <c r="AP21" s="584"/>
      <c r="AQ21" s="584"/>
      <c r="AR21" s="584"/>
      <c r="AS21" s="584"/>
      <c r="AT21" s="585"/>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60"/>
      <c r="C22" s="560"/>
      <c r="D22" s="561"/>
      <c r="E22" s="549" t="s">
        <v>133</v>
      </c>
      <c r="F22" s="550"/>
      <c r="G22" s="550"/>
      <c r="H22" s="550"/>
      <c r="I22" s="551"/>
      <c r="J22" s="567" t="str">
        <f ca="1">IF(AND('Mapa final'!$P$13="Media",'Mapa final'!$T$13="Leve"),CONCATENATE("R",'Mapa final'!$A$13),"")</f>
        <v/>
      </c>
      <c r="K22" s="562"/>
      <c r="L22" s="562" t="str">
        <f ca="1">IF(AND('Mapa final'!$P$15="Media",'Mapa final'!$T$15="Leve"),CONCATENATE("R",'Mapa final'!$A$15),"")</f>
        <v/>
      </c>
      <c r="M22" s="562"/>
      <c r="N22" s="562" t="str">
        <f ca="1">IF(AND('Mapa final'!$P$17="Media",'Mapa final'!$T$17="Leve"),CONCATENATE("R",'Mapa final'!$A$17),"")</f>
        <v/>
      </c>
      <c r="O22" s="564"/>
      <c r="P22" s="567" t="str">
        <f ca="1">IF(AND('Mapa final'!$P$13="Media",'Mapa final'!$T$13="Menor"),CONCATENATE("R",'Mapa final'!$A$13),"")</f>
        <v/>
      </c>
      <c r="Q22" s="562"/>
      <c r="R22" s="562" t="str">
        <f ca="1">IF(AND('Mapa final'!$P$15="Media",'Mapa final'!$T$15="Menor"),CONCATENATE("R",'Mapa final'!$A$15),"")</f>
        <v/>
      </c>
      <c r="S22" s="562"/>
      <c r="T22" s="562" t="str">
        <f ca="1">IF(AND('Mapa final'!$P$17="Media",'Mapa final'!$T$17="Menor"),CONCATENATE("R",'Mapa final'!$A$17),"")</f>
        <v/>
      </c>
      <c r="U22" s="564"/>
      <c r="V22" s="567" t="str">
        <f ca="1">IF(AND('Mapa final'!$P$13="Media",'Mapa final'!$T$13="Moderado"),CONCATENATE("R",'Mapa final'!$A$13),"")</f>
        <v/>
      </c>
      <c r="W22" s="562"/>
      <c r="X22" s="562" t="str">
        <f ca="1">IF(AND('Mapa final'!$P$15="Media",'Mapa final'!$T$15="Moderado"),CONCATENATE("R",'Mapa final'!$A$15),"")</f>
        <v>R2</v>
      </c>
      <c r="Y22" s="562"/>
      <c r="Z22" s="562" t="str">
        <f ca="1">IF(AND('Mapa final'!$P$17="Media",'Mapa final'!$T$17="Moderado"),CONCATENATE("R",'Mapa final'!$A$17),"")</f>
        <v/>
      </c>
      <c r="AA22" s="564"/>
      <c r="AB22" s="604" t="str">
        <f ca="1">IF(AND('Mapa final'!$P$13="Media",'Mapa final'!$T$13="Mayor"),CONCATENATE("R",'Mapa final'!$A$13),"")</f>
        <v/>
      </c>
      <c r="AC22" s="605"/>
      <c r="AD22" s="605" t="str">
        <f ca="1">IF(AND('Mapa final'!$P$15="Media",'Mapa final'!$T$15="Mayor"),CONCATENATE("R",'Mapa final'!$A$15),"")</f>
        <v/>
      </c>
      <c r="AE22" s="605"/>
      <c r="AF22" s="605" t="str">
        <f ca="1">IF(AND('Mapa final'!$P$17="Media",'Mapa final'!$T$17="Mayor"),CONCATENATE("R",'Mapa final'!$A$17),"")</f>
        <v/>
      </c>
      <c r="AG22" s="607"/>
      <c r="AH22" s="619" t="str">
        <f ca="1">IF(AND('Mapa final'!$P$13="Media",'Mapa final'!$T$13="Catastrófico"),CONCATENATE("R",'Mapa final'!$A$13),"")</f>
        <v/>
      </c>
      <c r="AI22" s="620"/>
      <c r="AJ22" s="620" t="str">
        <f ca="1">IF(AND('Mapa final'!$P$15="Media",'Mapa final'!$T$15="Catastrófico"),CONCATENATE("R",'Mapa final'!$A$15),"")</f>
        <v/>
      </c>
      <c r="AK22" s="620"/>
      <c r="AL22" s="620" t="str">
        <f ca="1">IF(AND('Mapa final'!$P$17="Media",'Mapa final'!$T$17="Catastrófico"),CONCATENATE("R",'Mapa final'!$A$17),"")</f>
        <v/>
      </c>
      <c r="AM22" s="621"/>
      <c r="AN22" s="69"/>
      <c r="AO22" s="586" t="s">
        <v>134</v>
      </c>
      <c r="AP22" s="587"/>
      <c r="AQ22" s="587"/>
      <c r="AR22" s="587"/>
      <c r="AS22" s="587"/>
      <c r="AT22" s="588"/>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60"/>
      <c r="C23" s="560"/>
      <c r="D23" s="561"/>
      <c r="E23" s="552"/>
      <c r="F23" s="553"/>
      <c r="G23" s="553"/>
      <c r="H23" s="553"/>
      <c r="I23" s="554"/>
      <c r="J23" s="566"/>
      <c r="K23" s="563"/>
      <c r="L23" s="563"/>
      <c r="M23" s="563"/>
      <c r="N23" s="563"/>
      <c r="O23" s="565"/>
      <c r="P23" s="566"/>
      <c r="Q23" s="563"/>
      <c r="R23" s="563"/>
      <c r="S23" s="563"/>
      <c r="T23" s="563"/>
      <c r="U23" s="565"/>
      <c r="V23" s="566"/>
      <c r="W23" s="563"/>
      <c r="X23" s="563"/>
      <c r="Y23" s="563"/>
      <c r="Z23" s="563"/>
      <c r="AA23" s="565"/>
      <c r="AB23" s="606"/>
      <c r="AC23" s="558"/>
      <c r="AD23" s="558"/>
      <c r="AE23" s="558"/>
      <c r="AF23" s="558"/>
      <c r="AG23" s="559"/>
      <c r="AH23" s="613"/>
      <c r="AI23" s="614"/>
      <c r="AJ23" s="614"/>
      <c r="AK23" s="614"/>
      <c r="AL23" s="614"/>
      <c r="AM23" s="615"/>
      <c r="AN23" s="69"/>
      <c r="AO23" s="589"/>
      <c r="AP23" s="590"/>
      <c r="AQ23" s="590"/>
      <c r="AR23" s="590"/>
      <c r="AS23" s="590"/>
      <c r="AT23" s="591"/>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60"/>
      <c r="C24" s="560"/>
      <c r="D24" s="561"/>
      <c r="E24" s="552"/>
      <c r="F24" s="553"/>
      <c r="G24" s="553"/>
      <c r="H24" s="553"/>
      <c r="I24" s="554"/>
      <c r="J24" s="566" t="str">
        <f ca="1">IF(AND('Mapa final'!$P$20="Media",'Mapa final'!$T$20="Leve"),CONCATENATE("R",'Mapa final'!$A$20),"")</f>
        <v/>
      </c>
      <c r="K24" s="563"/>
      <c r="L24" s="563" t="str">
        <f ca="1">IF(AND('Mapa final'!$P$22="Media",'Mapa final'!$T$22="Leve"),CONCATENATE("R",'Mapa final'!$A$22),"")</f>
        <v/>
      </c>
      <c r="M24" s="563"/>
      <c r="N24" s="563" t="str">
        <f ca="1">IF(AND('Mapa final'!$P$25="Media",'Mapa final'!$T$25="Leve"),CONCATENATE("R",'Mapa final'!$A$25),"")</f>
        <v/>
      </c>
      <c r="O24" s="565"/>
      <c r="P24" s="566" t="str">
        <f ca="1">IF(AND('Mapa final'!$P$20="Media",'Mapa final'!$T$20="Menor"),CONCATENATE("R",'Mapa final'!$A$20),"")</f>
        <v/>
      </c>
      <c r="Q24" s="563"/>
      <c r="R24" s="563" t="str">
        <f ca="1">IF(AND('Mapa final'!$P$22="Media",'Mapa final'!$T$22="Menor"),CONCATENATE("R",'Mapa final'!$A$22),"")</f>
        <v/>
      </c>
      <c r="S24" s="563"/>
      <c r="T24" s="563" t="str">
        <f ca="1">IF(AND('Mapa final'!$P$25="Media",'Mapa final'!$T$25="Menor"),CONCATENATE("R",'Mapa final'!$A$25),"")</f>
        <v/>
      </c>
      <c r="U24" s="565"/>
      <c r="V24" s="566" t="str">
        <f ca="1">IF(AND('Mapa final'!$P$20="Media",'Mapa final'!$T$20="Moderado"),CONCATENATE("R",'Mapa final'!$A$20),"")</f>
        <v/>
      </c>
      <c r="W24" s="563"/>
      <c r="X24" s="563" t="str">
        <f ca="1">IF(AND('Mapa final'!$P$22="Media",'Mapa final'!$T$22="Moderado"),CONCATENATE("R",'Mapa final'!$A$22),"")</f>
        <v/>
      </c>
      <c r="Y24" s="563"/>
      <c r="Z24" s="563" t="str">
        <f ca="1">IF(AND('Mapa final'!$P$25="Media",'Mapa final'!$T$25="Moderado"),CONCATENATE("R",'Mapa final'!$A$25),"")</f>
        <v>R6</v>
      </c>
      <c r="AA24" s="565"/>
      <c r="AB24" s="606" t="str">
        <f ca="1">IF(AND('Mapa final'!$P$20="Media",'Mapa final'!$T$20="Mayor"),CONCATENATE("R",'Mapa final'!$A$20),"")</f>
        <v/>
      </c>
      <c r="AC24" s="558"/>
      <c r="AD24" s="558" t="str">
        <f ca="1">IF(AND('Mapa final'!$P$22="Media",'Mapa final'!$T$22="Mayor"),CONCATENATE("R",'Mapa final'!$A$22),"")</f>
        <v/>
      </c>
      <c r="AE24" s="558"/>
      <c r="AF24" s="558" t="str">
        <f ca="1">IF(AND('Mapa final'!$P$25="Media",'Mapa final'!$T$25="Mayor"),CONCATENATE("R",'Mapa final'!$A$25),"")</f>
        <v/>
      </c>
      <c r="AG24" s="559"/>
      <c r="AH24" s="613" t="str">
        <f ca="1">IF(AND('Mapa final'!$P$20="Media",'Mapa final'!$T$20="Catastrófico"),CONCATENATE("R",'Mapa final'!$A$20),"")</f>
        <v/>
      </c>
      <c r="AI24" s="614"/>
      <c r="AJ24" s="614" t="str">
        <f ca="1">IF(AND('Mapa final'!$P$22="Media",'Mapa final'!$T$22="Catastrófico"),CONCATENATE("R",'Mapa final'!$A$22),"")</f>
        <v/>
      </c>
      <c r="AK24" s="614"/>
      <c r="AL24" s="614" t="str">
        <f ca="1">IF(AND('Mapa final'!$P$25="Media",'Mapa final'!$T$25="Catastrófico"),CONCATENATE("R",'Mapa final'!$A$25),"")</f>
        <v/>
      </c>
      <c r="AM24" s="615"/>
      <c r="AN24" s="69"/>
      <c r="AO24" s="589"/>
      <c r="AP24" s="590"/>
      <c r="AQ24" s="590"/>
      <c r="AR24" s="590"/>
      <c r="AS24" s="590"/>
      <c r="AT24" s="591"/>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60"/>
      <c r="C25" s="560"/>
      <c r="D25" s="561"/>
      <c r="E25" s="552"/>
      <c r="F25" s="553"/>
      <c r="G25" s="553"/>
      <c r="H25" s="553"/>
      <c r="I25" s="554"/>
      <c r="J25" s="566"/>
      <c r="K25" s="563"/>
      <c r="L25" s="563"/>
      <c r="M25" s="563"/>
      <c r="N25" s="563"/>
      <c r="O25" s="565"/>
      <c r="P25" s="566"/>
      <c r="Q25" s="563"/>
      <c r="R25" s="563"/>
      <c r="S25" s="563"/>
      <c r="T25" s="563"/>
      <c r="U25" s="565"/>
      <c r="V25" s="566"/>
      <c r="W25" s="563"/>
      <c r="X25" s="563"/>
      <c r="Y25" s="563"/>
      <c r="Z25" s="563"/>
      <c r="AA25" s="565"/>
      <c r="AB25" s="606"/>
      <c r="AC25" s="558"/>
      <c r="AD25" s="558"/>
      <c r="AE25" s="558"/>
      <c r="AF25" s="558"/>
      <c r="AG25" s="559"/>
      <c r="AH25" s="613"/>
      <c r="AI25" s="614"/>
      <c r="AJ25" s="614"/>
      <c r="AK25" s="614"/>
      <c r="AL25" s="614"/>
      <c r="AM25" s="615"/>
      <c r="AN25" s="69"/>
      <c r="AO25" s="589"/>
      <c r="AP25" s="590"/>
      <c r="AQ25" s="590"/>
      <c r="AR25" s="590"/>
      <c r="AS25" s="590"/>
      <c r="AT25" s="591"/>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60"/>
      <c r="C26" s="560"/>
      <c r="D26" s="561"/>
      <c r="E26" s="552"/>
      <c r="F26" s="553"/>
      <c r="G26" s="553"/>
      <c r="H26" s="553"/>
      <c r="I26" s="554"/>
      <c r="J26" s="566" t="str">
        <f ca="1">IF(AND('Mapa final'!$P$27="Media",'Mapa final'!$T$27="Leve"),CONCATENATE("R",'Mapa final'!$B$27),"")</f>
        <v/>
      </c>
      <c r="K26" s="563"/>
      <c r="L26" s="563" t="str">
        <f ca="1">IF(AND('Mapa final'!$P$29="Media",'Mapa final'!$T$29="Leve"),CONCATENATE("R",'Mapa final'!$A$29),"")</f>
        <v/>
      </c>
      <c r="M26" s="563"/>
      <c r="N26" s="563" t="str">
        <f ca="1">IF(AND('Mapa final'!$P$33="Media",'Mapa final'!$T$33="Leve"),CONCATENATE("R",'Mapa final'!$A$33),"")</f>
        <v/>
      </c>
      <c r="O26" s="565"/>
      <c r="P26" s="566" t="str">
        <f ca="1">IF(AND('Mapa final'!$P$27="Media",'Mapa final'!$T$27="Menor"),CONCATENATE("R",'Mapa final'!$B$27),"")</f>
        <v/>
      </c>
      <c r="Q26" s="563"/>
      <c r="R26" s="563" t="str">
        <f ca="1">IF(AND('Mapa final'!$P$29="Media",'Mapa final'!$T$29="Menor"),CONCATENATE("R",'Mapa final'!$A$29),"")</f>
        <v/>
      </c>
      <c r="S26" s="563"/>
      <c r="T26" s="563" t="str">
        <f ca="1">IF(AND('Mapa final'!$P$33="Media",'Mapa final'!$T$33="Menor"),CONCATENATE("R",'Mapa final'!$A$33),"")</f>
        <v/>
      </c>
      <c r="U26" s="565"/>
      <c r="V26" s="566" t="str">
        <f ca="1">IF(AND('Mapa final'!$P$27="Media",'Mapa final'!$T$27="Moderado"),CONCATENATE("R",'Mapa final'!$B$27),"")</f>
        <v>ROAP_05</v>
      </c>
      <c r="W26" s="563"/>
      <c r="X26" s="563" t="str">
        <f ca="1">IF(AND('Mapa final'!$P$29="Media",'Mapa final'!$T$29="Moderado"),CONCATENATE("R",'Mapa final'!$A$29),"")</f>
        <v/>
      </c>
      <c r="Y26" s="563"/>
      <c r="Z26" s="563" t="str">
        <f ca="1">IF(AND('Mapa final'!$P$33="Media",'Mapa final'!$T$33="Moderado"),CONCATENATE("R",'Mapa final'!$A$33),"")</f>
        <v/>
      </c>
      <c r="AA26" s="565"/>
      <c r="AB26" s="606" t="str">
        <f ca="1">IF(AND('Mapa final'!$P$27="Media",'Mapa final'!$T$27="Mayor"),CONCATENATE("R",'Mapa final'!$B$27),"")</f>
        <v/>
      </c>
      <c r="AC26" s="558"/>
      <c r="AD26" s="558" t="str">
        <f ca="1">IF(AND('Mapa final'!$P$29="Media",'Mapa final'!$T$29="Mayor"),CONCATENATE("R",'Mapa final'!$A$29),"")</f>
        <v/>
      </c>
      <c r="AE26" s="558"/>
      <c r="AF26" s="558" t="str">
        <f ca="1">IF(AND('Mapa final'!$P$33="Media",'Mapa final'!$T$33="Mayor"),CONCATENATE("R",'Mapa final'!$A$33),"")</f>
        <v/>
      </c>
      <c r="AG26" s="559"/>
      <c r="AH26" s="613" t="str">
        <f ca="1">IF(AND('Mapa final'!$P$27="Media",'Mapa final'!$T$27="Catastrófico"),CONCATENATE("R",'Mapa final'!$B$27),"")</f>
        <v/>
      </c>
      <c r="AI26" s="614"/>
      <c r="AJ26" s="614" t="str">
        <f ca="1">IF(AND('Mapa final'!$P$29="Media",'Mapa final'!$T$29="Catastrófico"),CONCATENATE("R",'Mapa final'!$A$29),"")</f>
        <v/>
      </c>
      <c r="AK26" s="614"/>
      <c r="AL26" s="614" t="str">
        <f ca="1">IF(AND('Mapa final'!$P$33="Media",'Mapa final'!$T$33="Catastrófico"),CONCATENATE("R",'Mapa final'!$A$33),"")</f>
        <v>R9</v>
      </c>
      <c r="AM26" s="615"/>
      <c r="AN26" s="69"/>
      <c r="AO26" s="589"/>
      <c r="AP26" s="590"/>
      <c r="AQ26" s="590"/>
      <c r="AR26" s="590"/>
      <c r="AS26" s="590"/>
      <c r="AT26" s="591"/>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60"/>
      <c r="C27" s="560"/>
      <c r="D27" s="561"/>
      <c r="E27" s="552"/>
      <c r="F27" s="553"/>
      <c r="G27" s="553"/>
      <c r="H27" s="553"/>
      <c r="I27" s="554"/>
      <c r="J27" s="566"/>
      <c r="K27" s="563"/>
      <c r="L27" s="563"/>
      <c r="M27" s="563"/>
      <c r="N27" s="563"/>
      <c r="O27" s="565"/>
      <c r="P27" s="566"/>
      <c r="Q27" s="563"/>
      <c r="R27" s="563"/>
      <c r="S27" s="563"/>
      <c r="T27" s="563"/>
      <c r="U27" s="565"/>
      <c r="V27" s="566"/>
      <c r="W27" s="563"/>
      <c r="X27" s="563"/>
      <c r="Y27" s="563"/>
      <c r="Z27" s="563"/>
      <c r="AA27" s="565"/>
      <c r="AB27" s="606"/>
      <c r="AC27" s="558"/>
      <c r="AD27" s="558"/>
      <c r="AE27" s="558"/>
      <c r="AF27" s="558"/>
      <c r="AG27" s="559"/>
      <c r="AH27" s="613"/>
      <c r="AI27" s="614"/>
      <c r="AJ27" s="614"/>
      <c r="AK27" s="614"/>
      <c r="AL27" s="614"/>
      <c r="AM27" s="615"/>
      <c r="AN27" s="69"/>
      <c r="AO27" s="589"/>
      <c r="AP27" s="590"/>
      <c r="AQ27" s="590"/>
      <c r="AR27" s="590"/>
      <c r="AS27" s="590"/>
      <c r="AT27" s="591"/>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60"/>
      <c r="C28" s="560"/>
      <c r="D28" s="561"/>
      <c r="E28" s="552"/>
      <c r="F28" s="553"/>
      <c r="G28" s="553"/>
      <c r="H28" s="553"/>
      <c r="I28" s="554"/>
      <c r="J28" s="566" t="str">
        <f ca="1">IF(AND('Mapa final'!$P$38="Media",'Mapa final'!$T$38="Leve"),CONCATENATE("R",'Mapa final'!$A$38),"")</f>
        <v/>
      </c>
      <c r="K28" s="563"/>
      <c r="L28" s="563" t="str">
        <f>IF(AND('Mapa final'!$P$251="Media",'Mapa final'!$T$251="Leve"),CONCATENATE("R",'Mapa final'!$A$251),"")</f>
        <v/>
      </c>
      <c r="M28" s="563"/>
      <c r="N28" s="563" t="str">
        <f>IF(AND('Mapa final'!$P$257="Media",'Mapa final'!$T$257="Leve"),CONCATENATE("R",'Mapa final'!$A$257),"")</f>
        <v/>
      </c>
      <c r="O28" s="565"/>
      <c r="P28" s="566" t="str">
        <f ca="1">IF(AND('Mapa final'!$P$38="Media",'Mapa final'!$T$38="Menor"),CONCATENATE("R",'Mapa final'!$A$38),"")</f>
        <v/>
      </c>
      <c r="Q28" s="563"/>
      <c r="R28" s="563" t="str">
        <f>IF(AND('Mapa final'!$P$251="Media",'Mapa final'!$T$251="Menor"),CONCATENATE("R",'Mapa final'!$A$251),"")</f>
        <v/>
      </c>
      <c r="S28" s="563"/>
      <c r="T28" s="563" t="str">
        <f>IF(AND('Mapa final'!$P$257="Media",'Mapa final'!$T$257="Menor"),CONCATENATE("R",'Mapa final'!$A$257),"")</f>
        <v/>
      </c>
      <c r="U28" s="565"/>
      <c r="V28" s="566" t="str">
        <f ca="1">IF(AND('Mapa final'!$P$38="Media",'Mapa final'!$T$38="Moderado"),CONCATENATE("R",'Mapa final'!$A$38),"")</f>
        <v/>
      </c>
      <c r="W28" s="563"/>
      <c r="X28" s="563" t="str">
        <f>IF(AND('Mapa final'!$P$251="Media",'Mapa final'!$T$251="Moderado"),CONCATENATE("R",'Mapa final'!$A$251),"")</f>
        <v/>
      </c>
      <c r="Y28" s="563"/>
      <c r="Z28" s="563" t="str">
        <f>IF(AND('Mapa final'!$P$257="Media",'Mapa final'!$T$257="Moderado"),CONCATENATE("R",'Mapa final'!$A$257),"")</f>
        <v/>
      </c>
      <c r="AA28" s="565"/>
      <c r="AB28" s="606" t="str">
        <f ca="1">IF(AND('Mapa final'!$P$38="Media",'Mapa final'!$T$38="Mayor"),CONCATENATE("R",'Mapa final'!$A$38),"")</f>
        <v/>
      </c>
      <c r="AC28" s="558"/>
      <c r="AD28" s="558" t="str">
        <f>IF(AND('Mapa final'!$P$251="Media",'Mapa final'!$T$251="Mayor"),CONCATENATE("R",'Mapa final'!$A$251),"")</f>
        <v/>
      </c>
      <c r="AE28" s="558"/>
      <c r="AF28" s="558" t="str">
        <f>IF(AND('Mapa final'!$P$257="Media",'Mapa final'!$T$257="Mayor"),CONCATENATE("R",'Mapa final'!$A$257),"")</f>
        <v/>
      </c>
      <c r="AG28" s="559"/>
      <c r="AH28" s="613" t="str">
        <f ca="1">IF(AND('Mapa final'!$P$38="Media",'Mapa final'!$T$38="Catastrófico"),CONCATENATE("R",'Mapa final'!$A$38),"")</f>
        <v/>
      </c>
      <c r="AI28" s="614"/>
      <c r="AJ28" s="614" t="str">
        <f>IF(AND('Mapa final'!$P$251="Media",'Mapa final'!$T$251="Catastrófico"),CONCATENATE("R",'Mapa final'!$A$251),"")</f>
        <v/>
      </c>
      <c r="AK28" s="614"/>
      <c r="AL28" s="614" t="str">
        <f>IF(AND('Mapa final'!$P$257="Media",'Mapa final'!$T$257="Catastrófico"),CONCATENATE("R",'Mapa final'!$A$257),"")</f>
        <v/>
      </c>
      <c r="AM28" s="615"/>
      <c r="AN28" s="69"/>
      <c r="AO28" s="589"/>
      <c r="AP28" s="590"/>
      <c r="AQ28" s="590"/>
      <c r="AR28" s="590"/>
      <c r="AS28" s="590"/>
      <c r="AT28" s="591"/>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60"/>
      <c r="C29" s="560"/>
      <c r="D29" s="561"/>
      <c r="E29" s="555"/>
      <c r="F29" s="556"/>
      <c r="G29" s="556"/>
      <c r="H29" s="556"/>
      <c r="I29" s="557"/>
      <c r="J29" s="566"/>
      <c r="K29" s="563"/>
      <c r="L29" s="563"/>
      <c r="M29" s="563"/>
      <c r="N29" s="563"/>
      <c r="O29" s="565"/>
      <c r="P29" s="622"/>
      <c r="Q29" s="623"/>
      <c r="R29" s="623"/>
      <c r="S29" s="623"/>
      <c r="T29" s="623"/>
      <c r="U29" s="624"/>
      <c r="V29" s="622"/>
      <c r="W29" s="623"/>
      <c r="X29" s="623"/>
      <c r="Y29" s="623"/>
      <c r="Z29" s="623"/>
      <c r="AA29" s="624"/>
      <c r="AB29" s="610"/>
      <c r="AC29" s="611"/>
      <c r="AD29" s="611"/>
      <c r="AE29" s="611"/>
      <c r="AF29" s="611"/>
      <c r="AG29" s="612"/>
      <c r="AH29" s="616"/>
      <c r="AI29" s="617"/>
      <c r="AJ29" s="617"/>
      <c r="AK29" s="617"/>
      <c r="AL29" s="617"/>
      <c r="AM29" s="618"/>
      <c r="AN29" s="69"/>
      <c r="AO29" s="592"/>
      <c r="AP29" s="593"/>
      <c r="AQ29" s="593"/>
      <c r="AR29" s="593"/>
      <c r="AS29" s="593"/>
      <c r="AT29" s="594"/>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60"/>
      <c r="C30" s="560"/>
      <c r="D30" s="561"/>
      <c r="E30" s="549" t="s">
        <v>135</v>
      </c>
      <c r="F30" s="550"/>
      <c r="G30" s="550"/>
      <c r="H30" s="550"/>
      <c r="I30" s="550"/>
      <c r="J30" s="631" t="str">
        <f ca="1">IF(AND('Mapa final'!$P$13="Baja",'Mapa final'!$T$13="Leve"),CONCATENATE("R",'Mapa final'!$A$13),"")</f>
        <v/>
      </c>
      <c r="K30" s="632"/>
      <c r="L30" s="632" t="str">
        <f ca="1">IF(AND('Mapa final'!$P$15="Baja",'Mapa final'!$T$15="Leve"),CONCATENATE("R",'Mapa final'!$A$15),"")</f>
        <v/>
      </c>
      <c r="M30" s="632"/>
      <c r="N30" s="632" t="str">
        <f ca="1">IF(AND('Mapa final'!$P$17="Baja",'Mapa final'!$T$17="Leve"),CONCATENATE("R",'Mapa final'!$A$17),"")</f>
        <v/>
      </c>
      <c r="O30" s="633"/>
      <c r="P30" s="562" t="str">
        <f ca="1">IF(AND('Mapa final'!$P$13="Baja",'Mapa final'!$T$13="Menor"),CONCATENATE("R",'Mapa final'!$A$13),"")</f>
        <v/>
      </c>
      <c r="Q30" s="562"/>
      <c r="R30" s="562" t="str">
        <f ca="1">IF(AND('Mapa final'!$P$15="Baja",'Mapa final'!$T$15="Menor"),CONCATENATE("R",'Mapa final'!$A$15),"")</f>
        <v/>
      </c>
      <c r="S30" s="562"/>
      <c r="T30" s="562" t="str">
        <f ca="1">IF(AND('Mapa final'!$P$17="Baja",'Mapa final'!$T$17="Menor"),CONCATENATE("R",'Mapa final'!$A$17),"")</f>
        <v/>
      </c>
      <c r="U30" s="564"/>
      <c r="V30" s="567" t="str">
        <f ca="1">IF(AND('Mapa final'!$P$13="Baja",'Mapa final'!$T$13="Moderado"),CONCATENATE("R",'Mapa final'!$A$13),"")</f>
        <v/>
      </c>
      <c r="W30" s="562"/>
      <c r="X30" s="562" t="str">
        <f ca="1">IF(AND('Mapa final'!$P$15="Baja",'Mapa final'!$T$15="Moderado"),CONCATENATE("R",'Mapa final'!$A$15),"")</f>
        <v/>
      </c>
      <c r="Y30" s="562"/>
      <c r="Z30" s="562" t="str">
        <f ca="1">IF(AND('Mapa final'!$P$17="Baja",'Mapa final'!$T$17="Moderado"),CONCATENATE("R",'Mapa final'!$A$17),"")</f>
        <v/>
      </c>
      <c r="AA30" s="564"/>
      <c r="AB30" s="604" t="str">
        <f ca="1">IF(AND('Mapa final'!$P$13="Baja",'Mapa final'!$T$13="Mayor"),CONCATENATE("R",'Mapa final'!$A$13),"")</f>
        <v/>
      </c>
      <c r="AC30" s="605"/>
      <c r="AD30" s="605" t="str">
        <f ca="1">IF(AND('Mapa final'!$P$15="Baja",'Mapa final'!$T$15="Mayor"),CONCATENATE("R",'Mapa final'!$A$15),"")</f>
        <v/>
      </c>
      <c r="AE30" s="605"/>
      <c r="AF30" s="605" t="str">
        <f ca="1">IF(AND('Mapa final'!$P$17="Baja",'Mapa final'!$T$17="Mayor"),CONCATENATE("R",'Mapa final'!$A$17),"")</f>
        <v/>
      </c>
      <c r="AG30" s="607"/>
      <c r="AH30" s="619" t="str">
        <f ca="1">IF(AND('Mapa final'!$P$13="Baja",'Mapa final'!$T$13="Catastrófico"),CONCATENATE("R",'Mapa final'!$A$13),"")</f>
        <v/>
      </c>
      <c r="AI30" s="620"/>
      <c r="AJ30" s="620" t="str">
        <f ca="1">IF(AND('Mapa final'!$P$15="Baja",'Mapa final'!$T$15="Catastrófico"),CONCATENATE("R",'Mapa final'!$A$15),"")</f>
        <v/>
      </c>
      <c r="AK30" s="620"/>
      <c r="AL30" s="620" t="str">
        <f ca="1">IF(AND('Mapa final'!$P$17="Baja",'Mapa final'!$T$17="Catastrófico"),CONCATENATE("R",'Mapa final'!$A$17),"")</f>
        <v/>
      </c>
      <c r="AM30" s="621"/>
      <c r="AN30" s="69"/>
      <c r="AO30" s="595" t="s">
        <v>136</v>
      </c>
      <c r="AP30" s="596"/>
      <c r="AQ30" s="596"/>
      <c r="AR30" s="596"/>
      <c r="AS30" s="596"/>
      <c r="AT30" s="597"/>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60"/>
      <c r="C31" s="560"/>
      <c r="D31" s="561"/>
      <c r="E31" s="552"/>
      <c r="F31" s="553"/>
      <c r="G31" s="553"/>
      <c r="H31" s="553"/>
      <c r="I31" s="553"/>
      <c r="J31" s="627"/>
      <c r="K31" s="625"/>
      <c r="L31" s="625"/>
      <c r="M31" s="625"/>
      <c r="N31" s="625"/>
      <c r="O31" s="626"/>
      <c r="P31" s="563"/>
      <c r="Q31" s="563"/>
      <c r="R31" s="563"/>
      <c r="S31" s="563"/>
      <c r="T31" s="563"/>
      <c r="U31" s="565"/>
      <c r="V31" s="566"/>
      <c r="W31" s="563"/>
      <c r="X31" s="563"/>
      <c r="Y31" s="563"/>
      <c r="Z31" s="563"/>
      <c r="AA31" s="565"/>
      <c r="AB31" s="606"/>
      <c r="AC31" s="558"/>
      <c r="AD31" s="558"/>
      <c r="AE31" s="558"/>
      <c r="AF31" s="558"/>
      <c r="AG31" s="559"/>
      <c r="AH31" s="613"/>
      <c r="AI31" s="614"/>
      <c r="AJ31" s="614"/>
      <c r="AK31" s="614"/>
      <c r="AL31" s="614"/>
      <c r="AM31" s="615"/>
      <c r="AN31" s="69"/>
      <c r="AO31" s="598"/>
      <c r="AP31" s="599"/>
      <c r="AQ31" s="599"/>
      <c r="AR31" s="599"/>
      <c r="AS31" s="599"/>
      <c r="AT31" s="600"/>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60"/>
      <c r="C32" s="560"/>
      <c r="D32" s="561"/>
      <c r="E32" s="552"/>
      <c r="F32" s="553"/>
      <c r="G32" s="553"/>
      <c r="H32" s="553"/>
      <c r="I32" s="553"/>
      <c r="J32" s="627" t="str">
        <f ca="1">IF(AND('Mapa final'!$P$20="Baja",'Mapa final'!$T$20="Leve"),CONCATENATE("R",'Mapa final'!$A$20),"")</f>
        <v/>
      </c>
      <c r="K32" s="625"/>
      <c r="L32" s="625" t="str">
        <f ca="1">IF(AND('Mapa final'!$P$22="Baja",'Mapa final'!$T$22="Leve"),CONCATENATE("R",'Mapa final'!$A$22),"")</f>
        <v/>
      </c>
      <c r="M32" s="625"/>
      <c r="N32" s="625" t="str">
        <f ca="1">IF(AND('Mapa final'!$P$25="Baja",'Mapa final'!$T$25="Leve"),CONCATENATE("R",'Mapa final'!$A$25),"")</f>
        <v/>
      </c>
      <c r="O32" s="626"/>
      <c r="P32" s="563" t="str">
        <f ca="1">IF(AND('Mapa final'!$P$20="Baja",'Mapa final'!$T$20="Menor"),CONCATENATE("R",'Mapa final'!$A$20),"")</f>
        <v/>
      </c>
      <c r="Q32" s="563"/>
      <c r="R32" s="563" t="str">
        <f ca="1">IF(AND('Mapa final'!$P$22="Baja",'Mapa final'!$T$22="Menor"),CONCATENATE("R",'Mapa final'!$A$22),"")</f>
        <v/>
      </c>
      <c r="S32" s="563"/>
      <c r="T32" s="563" t="str">
        <f ca="1">IF(AND('Mapa final'!$P$25="Baja",'Mapa final'!$T$25="Menor"),CONCATENATE("R",'Mapa final'!$A$25),"")</f>
        <v/>
      </c>
      <c r="U32" s="565"/>
      <c r="V32" s="566" t="str">
        <f ca="1">IF(AND('Mapa final'!$P$20="Baja",'Mapa final'!$T$20="Moderado"),CONCATENATE("R",'Mapa final'!$A$20),"")</f>
        <v>R4</v>
      </c>
      <c r="W32" s="563"/>
      <c r="X32" s="563" t="str">
        <f ca="1">IF(AND('Mapa final'!$P$22="Baja",'Mapa final'!$T$22="Moderado"),CONCATENATE("R",'Mapa final'!$A$22),"")</f>
        <v/>
      </c>
      <c r="Y32" s="563"/>
      <c r="Z32" s="563" t="str">
        <f ca="1">IF(AND('Mapa final'!$P$25="Baja",'Mapa final'!$T$25="Moderado"),CONCATENATE("R",'Mapa final'!$A$25),"")</f>
        <v/>
      </c>
      <c r="AA32" s="565"/>
      <c r="AB32" s="606" t="str">
        <f ca="1">IF(AND('Mapa final'!$P$20="Baja",'Mapa final'!$T$20="Mayor"),CONCATENATE("R",'Mapa final'!$A$20),"")</f>
        <v/>
      </c>
      <c r="AC32" s="558"/>
      <c r="AD32" s="558" t="str">
        <f ca="1">IF(AND('Mapa final'!$P$22="Baja",'Mapa final'!$T$22="Mayor"),CONCATENATE("R",'Mapa final'!$A$22),"")</f>
        <v/>
      </c>
      <c r="AE32" s="558"/>
      <c r="AF32" s="558" t="str">
        <f ca="1">IF(AND('Mapa final'!$P$25="Baja",'Mapa final'!$T$25="Mayor"),CONCATENATE("R",'Mapa final'!$A$25),"")</f>
        <v/>
      </c>
      <c r="AG32" s="559"/>
      <c r="AH32" s="613" t="str">
        <f ca="1">IF(AND('Mapa final'!$P$20="Baja",'Mapa final'!$T$20="Catastrófico"),CONCATENATE("R",'Mapa final'!$A$20),"")</f>
        <v/>
      </c>
      <c r="AI32" s="614"/>
      <c r="AJ32" s="614" t="str">
        <f ca="1">IF(AND('Mapa final'!$P$22="Baja",'Mapa final'!$T$22="Catastrófico"),CONCATENATE("R",'Mapa final'!$A$22),"")</f>
        <v/>
      </c>
      <c r="AK32" s="614"/>
      <c r="AL32" s="614" t="str">
        <f ca="1">IF(AND('Mapa final'!$P$25="Baja",'Mapa final'!$T$25="Catastrófico"),CONCATENATE("R",'Mapa final'!$A$25),"")</f>
        <v/>
      </c>
      <c r="AM32" s="615"/>
      <c r="AN32" s="69"/>
      <c r="AO32" s="598"/>
      <c r="AP32" s="599"/>
      <c r="AQ32" s="599"/>
      <c r="AR32" s="599"/>
      <c r="AS32" s="599"/>
      <c r="AT32" s="600"/>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60"/>
      <c r="C33" s="560"/>
      <c r="D33" s="561"/>
      <c r="E33" s="552"/>
      <c r="F33" s="553"/>
      <c r="G33" s="553"/>
      <c r="H33" s="553"/>
      <c r="I33" s="553"/>
      <c r="J33" s="627"/>
      <c r="K33" s="625"/>
      <c r="L33" s="625"/>
      <c r="M33" s="625"/>
      <c r="N33" s="625"/>
      <c r="O33" s="626"/>
      <c r="P33" s="563"/>
      <c r="Q33" s="563"/>
      <c r="R33" s="563"/>
      <c r="S33" s="563"/>
      <c r="T33" s="563"/>
      <c r="U33" s="565"/>
      <c r="V33" s="566"/>
      <c r="W33" s="563"/>
      <c r="X33" s="563"/>
      <c r="Y33" s="563"/>
      <c r="Z33" s="563"/>
      <c r="AA33" s="565"/>
      <c r="AB33" s="606"/>
      <c r="AC33" s="558"/>
      <c r="AD33" s="558"/>
      <c r="AE33" s="558"/>
      <c r="AF33" s="558"/>
      <c r="AG33" s="559"/>
      <c r="AH33" s="613"/>
      <c r="AI33" s="614"/>
      <c r="AJ33" s="614"/>
      <c r="AK33" s="614"/>
      <c r="AL33" s="614"/>
      <c r="AM33" s="615"/>
      <c r="AN33" s="69"/>
      <c r="AO33" s="598"/>
      <c r="AP33" s="599"/>
      <c r="AQ33" s="599"/>
      <c r="AR33" s="599"/>
      <c r="AS33" s="599"/>
      <c r="AT33" s="600"/>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60"/>
      <c r="C34" s="560"/>
      <c r="D34" s="561"/>
      <c r="E34" s="552"/>
      <c r="F34" s="553"/>
      <c r="G34" s="553"/>
      <c r="H34" s="553"/>
      <c r="I34" s="553"/>
      <c r="J34" s="627" t="str">
        <f ca="1">IF(AND('Mapa final'!$P$27="Baja",'Mapa final'!$T$27="Leve"),CONCATENATE("R",'Mapa final'!$B$27),"")</f>
        <v/>
      </c>
      <c r="K34" s="625"/>
      <c r="L34" s="625" t="str">
        <f ca="1">IF(AND('Mapa final'!$P$29="Baja",'Mapa final'!$T$29="Leve"),CONCATENATE("R",'Mapa final'!$A$29),"")</f>
        <v/>
      </c>
      <c r="M34" s="625"/>
      <c r="N34" s="625" t="str">
        <f ca="1">IF(AND('Mapa final'!$P$33="Baja",'Mapa final'!$T$33="Leve"),CONCATENATE("R",'Mapa final'!$A$33),"")</f>
        <v/>
      </c>
      <c r="O34" s="626"/>
      <c r="P34" s="563" t="str">
        <f ca="1">IF(AND('Mapa final'!$P$27="Baja",'Mapa final'!$T$27="Menor"),CONCATENATE("R",'Mapa final'!$B$27),"")</f>
        <v/>
      </c>
      <c r="Q34" s="563"/>
      <c r="R34" s="563" t="str">
        <f ca="1">IF(AND('Mapa final'!$P$29="Baja",'Mapa final'!$T$29="Menor"),CONCATENATE("R",'Mapa final'!$A$29),"")</f>
        <v/>
      </c>
      <c r="S34" s="563"/>
      <c r="T34" s="563" t="str">
        <f ca="1">IF(AND('Mapa final'!$P$33="Baja",'Mapa final'!$T$33="Menor"),CONCATENATE("R",'Mapa final'!$A$33),"")</f>
        <v/>
      </c>
      <c r="U34" s="565"/>
      <c r="V34" s="566" t="str">
        <f ca="1">IF(AND('Mapa final'!$P$27="Baja",'Mapa final'!$T$27="Moderado"),CONCATENATE("R",'Mapa final'!$B$27),"")</f>
        <v/>
      </c>
      <c r="W34" s="563"/>
      <c r="X34" s="563" t="str">
        <f ca="1">IF(AND('Mapa final'!$P$29="Baja",'Mapa final'!$T$29="Moderado"),CONCATENATE("R",'Mapa final'!$A$29),"")</f>
        <v/>
      </c>
      <c r="Y34" s="563"/>
      <c r="Z34" s="563" t="str">
        <f ca="1">IF(AND('Mapa final'!$P$33="Baja",'Mapa final'!$T$33="Moderado"),CONCATENATE("R",'Mapa final'!$A$33),"")</f>
        <v/>
      </c>
      <c r="AA34" s="565"/>
      <c r="AB34" s="606" t="str">
        <f ca="1">IF(AND('Mapa final'!$P$27="Baja",'Mapa final'!$T$27="Mayor"),CONCATENATE("R",'Mapa final'!$B$27),"")</f>
        <v/>
      </c>
      <c r="AC34" s="558"/>
      <c r="AD34" s="558" t="str">
        <f ca="1">IF(AND('Mapa final'!$P$29="Baja",'Mapa final'!$T$29="Mayor"),CONCATENATE("R",'Mapa final'!$A$29),"")</f>
        <v/>
      </c>
      <c r="AE34" s="558"/>
      <c r="AF34" s="558" t="str">
        <f ca="1">IF(AND('Mapa final'!$P$33="Baja",'Mapa final'!$T$33="Mayor"),CONCATENATE("R",'Mapa final'!$A$33),"")</f>
        <v/>
      </c>
      <c r="AG34" s="559"/>
      <c r="AH34" s="613" t="str">
        <f ca="1">IF(AND('Mapa final'!$P$27="Baja",'Mapa final'!$T$27="Catastrófico"),CONCATENATE("R",'Mapa final'!$B$27),"")</f>
        <v/>
      </c>
      <c r="AI34" s="614"/>
      <c r="AJ34" s="614" t="str">
        <f ca="1">IF(AND('Mapa final'!$P$29="Baja",'Mapa final'!$T$29="Catastrófico"),CONCATENATE("R",'Mapa final'!$A$29),"")</f>
        <v/>
      </c>
      <c r="AK34" s="614"/>
      <c r="AL34" s="614" t="str">
        <f ca="1">IF(AND('Mapa final'!$P$33="Baja",'Mapa final'!$T$33="Catastrófico"),CONCATENATE("R",'Mapa final'!$A$33),"")</f>
        <v/>
      </c>
      <c r="AM34" s="615"/>
      <c r="AN34" s="69"/>
      <c r="AO34" s="598"/>
      <c r="AP34" s="599"/>
      <c r="AQ34" s="599"/>
      <c r="AR34" s="599"/>
      <c r="AS34" s="599"/>
      <c r="AT34" s="600"/>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60"/>
      <c r="C35" s="560"/>
      <c r="D35" s="561"/>
      <c r="E35" s="552"/>
      <c r="F35" s="553"/>
      <c r="G35" s="553"/>
      <c r="H35" s="553"/>
      <c r="I35" s="553"/>
      <c r="J35" s="627"/>
      <c r="K35" s="625"/>
      <c r="L35" s="625"/>
      <c r="M35" s="625"/>
      <c r="N35" s="625"/>
      <c r="O35" s="626"/>
      <c r="P35" s="563"/>
      <c r="Q35" s="563"/>
      <c r="R35" s="563"/>
      <c r="S35" s="563"/>
      <c r="T35" s="563"/>
      <c r="U35" s="565"/>
      <c r="V35" s="566"/>
      <c r="W35" s="563"/>
      <c r="X35" s="563"/>
      <c r="Y35" s="563"/>
      <c r="Z35" s="563"/>
      <c r="AA35" s="565"/>
      <c r="AB35" s="606"/>
      <c r="AC35" s="558"/>
      <c r="AD35" s="558"/>
      <c r="AE35" s="558"/>
      <c r="AF35" s="558"/>
      <c r="AG35" s="559"/>
      <c r="AH35" s="613"/>
      <c r="AI35" s="614"/>
      <c r="AJ35" s="614"/>
      <c r="AK35" s="614"/>
      <c r="AL35" s="614"/>
      <c r="AM35" s="615"/>
      <c r="AN35" s="69"/>
      <c r="AO35" s="598"/>
      <c r="AP35" s="599"/>
      <c r="AQ35" s="599"/>
      <c r="AR35" s="599"/>
      <c r="AS35" s="599"/>
      <c r="AT35" s="600"/>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60"/>
      <c r="C36" s="560"/>
      <c r="D36" s="561"/>
      <c r="E36" s="552"/>
      <c r="F36" s="553"/>
      <c r="G36" s="553"/>
      <c r="H36" s="553"/>
      <c r="I36" s="553"/>
      <c r="J36" s="627" t="str">
        <f ca="1">IF(AND('Mapa final'!$P$38="Baja",'Mapa final'!$T$38="Leve"),CONCATENATE("R",'Mapa final'!$A$38),"")</f>
        <v/>
      </c>
      <c r="K36" s="625"/>
      <c r="L36" s="625" t="str">
        <f>IF(AND('Mapa final'!$P$251="Baja",'Mapa final'!$T$251="Leve"),CONCATENATE("R",'Mapa final'!$A$251),"")</f>
        <v/>
      </c>
      <c r="M36" s="625"/>
      <c r="N36" s="625" t="str">
        <f>IF(AND('Mapa final'!$P$257="Baja",'Mapa final'!$T$257="Leve"),CONCATENATE("R",'Mapa final'!$A$257),"")</f>
        <v/>
      </c>
      <c r="O36" s="626"/>
      <c r="P36" s="563" t="str">
        <f ca="1">IF(AND('Mapa final'!$P$38="Baja",'Mapa final'!$T$38="Menor"),CONCATENATE("R",'Mapa final'!$A$38),"")</f>
        <v/>
      </c>
      <c r="Q36" s="563"/>
      <c r="R36" s="563" t="str">
        <f>IF(AND('Mapa final'!$P$251="Baja",'Mapa final'!$T$251="Menor"),CONCATENATE("R",'Mapa final'!$A$251),"")</f>
        <v/>
      </c>
      <c r="S36" s="563"/>
      <c r="T36" s="563" t="str">
        <f>IF(AND('Mapa final'!$P$257="Baja",'Mapa final'!$T$257="Menor"),CONCATENATE("R",'Mapa final'!$A$257),"")</f>
        <v/>
      </c>
      <c r="U36" s="565"/>
      <c r="V36" s="566" t="str">
        <f ca="1">IF(AND('Mapa final'!$P$38="Baja",'Mapa final'!$T$38="Moderado"),CONCATENATE("R",'Mapa final'!$A$38),"")</f>
        <v/>
      </c>
      <c r="W36" s="563"/>
      <c r="X36" s="563" t="str">
        <f>IF(AND('Mapa final'!$P$251="Baja",'Mapa final'!$T$251="Moderado"),CONCATENATE("R",'Mapa final'!$A$251),"")</f>
        <v/>
      </c>
      <c r="Y36" s="563"/>
      <c r="Z36" s="563" t="str">
        <f>IF(AND('Mapa final'!$P$257="Baja",'Mapa final'!$T$257="Moderado"),CONCATENATE("R",'Mapa final'!$A$257),"")</f>
        <v/>
      </c>
      <c r="AA36" s="565"/>
      <c r="AB36" s="606" t="str">
        <f ca="1">IF(AND('Mapa final'!$P$38="Baja",'Mapa final'!$T$38="Mayor"),CONCATENATE("R",'Mapa final'!$A$38),"")</f>
        <v/>
      </c>
      <c r="AC36" s="558"/>
      <c r="AD36" s="558" t="str">
        <f>IF(AND('Mapa final'!$P$251="Baja",'Mapa final'!$T$251="Mayor"),CONCATENATE("R",'Mapa final'!$A$251),"")</f>
        <v/>
      </c>
      <c r="AE36" s="558"/>
      <c r="AF36" s="558" t="str">
        <f>IF(AND('Mapa final'!$P$257="Baja",'Mapa final'!$T$257="Mayor"),CONCATENATE("R",'Mapa final'!$A$257),"")</f>
        <v/>
      </c>
      <c r="AG36" s="559"/>
      <c r="AH36" s="613" t="str">
        <f ca="1">IF(AND('Mapa final'!$P$38="Baja",'Mapa final'!$T$38="Catastrófico"),CONCATENATE("R",'Mapa final'!$A$38),"")</f>
        <v/>
      </c>
      <c r="AI36" s="614"/>
      <c r="AJ36" s="614" t="str">
        <f>IF(AND('Mapa final'!$P$251="Baja",'Mapa final'!$T$251="Catastrófico"),CONCATENATE("R",'Mapa final'!$A$251),"")</f>
        <v/>
      </c>
      <c r="AK36" s="614"/>
      <c r="AL36" s="614" t="str">
        <f>IF(AND('Mapa final'!$P$257="Baja",'Mapa final'!$T$257="Catastrófico"),CONCATENATE("R",'Mapa final'!$A$257),"")</f>
        <v/>
      </c>
      <c r="AM36" s="615"/>
      <c r="AN36" s="69"/>
      <c r="AO36" s="598"/>
      <c r="AP36" s="599"/>
      <c r="AQ36" s="599"/>
      <c r="AR36" s="599"/>
      <c r="AS36" s="599"/>
      <c r="AT36" s="600"/>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60"/>
      <c r="C37" s="560"/>
      <c r="D37" s="561"/>
      <c r="E37" s="555"/>
      <c r="F37" s="556"/>
      <c r="G37" s="556"/>
      <c r="H37" s="556"/>
      <c r="I37" s="556"/>
      <c r="J37" s="628"/>
      <c r="K37" s="629"/>
      <c r="L37" s="629"/>
      <c r="M37" s="629"/>
      <c r="N37" s="629"/>
      <c r="O37" s="630"/>
      <c r="P37" s="623"/>
      <c r="Q37" s="623"/>
      <c r="R37" s="623"/>
      <c r="S37" s="623"/>
      <c r="T37" s="623"/>
      <c r="U37" s="624"/>
      <c r="V37" s="622"/>
      <c r="W37" s="623"/>
      <c r="X37" s="623"/>
      <c r="Y37" s="623"/>
      <c r="Z37" s="623"/>
      <c r="AA37" s="624"/>
      <c r="AB37" s="610"/>
      <c r="AC37" s="611"/>
      <c r="AD37" s="611"/>
      <c r="AE37" s="611"/>
      <c r="AF37" s="611"/>
      <c r="AG37" s="612"/>
      <c r="AH37" s="616"/>
      <c r="AI37" s="617"/>
      <c r="AJ37" s="617"/>
      <c r="AK37" s="617"/>
      <c r="AL37" s="617"/>
      <c r="AM37" s="618"/>
      <c r="AN37" s="69"/>
      <c r="AO37" s="601"/>
      <c r="AP37" s="602"/>
      <c r="AQ37" s="602"/>
      <c r="AR37" s="602"/>
      <c r="AS37" s="602"/>
      <c r="AT37" s="603"/>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60"/>
      <c r="C38" s="560"/>
      <c r="D38" s="561"/>
      <c r="E38" s="549" t="s">
        <v>137</v>
      </c>
      <c r="F38" s="550"/>
      <c r="G38" s="550"/>
      <c r="H38" s="550"/>
      <c r="I38" s="551"/>
      <c r="J38" s="631" t="str">
        <f ca="1">IF(AND('Mapa final'!$P$13="Muy Baja",'Mapa final'!$T$13="Leve"),CONCATENATE("R",'Mapa final'!$A$13),"")</f>
        <v/>
      </c>
      <c r="K38" s="632"/>
      <c r="L38" s="632" t="str">
        <f ca="1">IF(AND('Mapa final'!$P$15="Muy Baja",'Mapa final'!$T$15="Leve"),CONCATENATE("R",'Mapa final'!$A$15),"")</f>
        <v/>
      </c>
      <c r="M38" s="632"/>
      <c r="N38" s="632" t="str">
        <f ca="1">IF(AND('Mapa final'!$P$17="Muy Baja",'Mapa final'!$T$17="Leve"),CONCATENATE("R",'Mapa final'!$A$17),"")</f>
        <v/>
      </c>
      <c r="O38" s="633"/>
      <c r="P38" s="631" t="str">
        <f ca="1">IF(AND('Mapa final'!$P$13="Muy Baja",'Mapa final'!$T$13="Menor"),CONCATENATE("R",'Mapa final'!$A$13),"")</f>
        <v/>
      </c>
      <c r="Q38" s="632"/>
      <c r="R38" s="632" t="str">
        <f ca="1">IF(AND('Mapa final'!$P$15="Muy Baja",'Mapa final'!$T$15="Menor"),CONCATENATE("R",'Mapa final'!$A$15),"")</f>
        <v/>
      </c>
      <c r="S38" s="632"/>
      <c r="T38" s="632" t="str">
        <f ca="1">IF(AND('Mapa final'!$P$17="Muy Baja",'Mapa final'!$T$17="Menor"),CONCATENATE("R",'Mapa final'!$A$17),"")</f>
        <v/>
      </c>
      <c r="U38" s="633"/>
      <c r="V38" s="567" t="str">
        <f ca="1">IF(AND('Mapa final'!$P$13="Muy Baja",'Mapa final'!$T$13="Moderado"),CONCATENATE("R",'Mapa final'!$A$13),"")</f>
        <v/>
      </c>
      <c r="W38" s="562"/>
      <c r="X38" s="562" t="str">
        <f ca="1">IF(AND('Mapa final'!$P$15="Muy Baja",'Mapa final'!$T$15="Moderado"),CONCATENATE("R",'Mapa final'!$A$15),"")</f>
        <v/>
      </c>
      <c r="Y38" s="562"/>
      <c r="Z38" s="562" t="str">
        <f ca="1">IF(AND('Mapa final'!$P$17="Muy Baja",'Mapa final'!$T$17="Moderado"),CONCATENATE("R",'Mapa final'!$A$17),"")</f>
        <v/>
      </c>
      <c r="AA38" s="564"/>
      <c r="AB38" s="604" t="str">
        <f ca="1">IF(AND('Mapa final'!$P$13="Muy Baja",'Mapa final'!$T$13="Mayor"),CONCATENATE("R",'Mapa final'!$A$13),"")</f>
        <v/>
      </c>
      <c r="AC38" s="605"/>
      <c r="AD38" s="605" t="str">
        <f ca="1">IF(AND('Mapa final'!$P$15="Muy Baja",'Mapa final'!$T$15="Mayor"),CONCATENATE("R",'Mapa final'!$A$15),"")</f>
        <v/>
      </c>
      <c r="AE38" s="605"/>
      <c r="AF38" s="605" t="str">
        <f ca="1">IF(AND('Mapa final'!$P$17="Muy Baja",'Mapa final'!$T$17="Mayor"),CONCATENATE("R",'Mapa final'!$A$17),"")</f>
        <v>R3</v>
      </c>
      <c r="AG38" s="607"/>
      <c r="AH38" s="619" t="str">
        <f ca="1">IF(AND('Mapa final'!$P$13="Muy Baja",'Mapa final'!$T$13="Catastrófico"),CONCATENATE("R",'Mapa final'!$A$13),"")</f>
        <v/>
      </c>
      <c r="AI38" s="620"/>
      <c r="AJ38" s="620" t="str">
        <f ca="1">IF(AND('Mapa final'!$P$15="Muy Baja",'Mapa final'!$T$15="Catastrófico"),CONCATENATE("R",'Mapa final'!$A$15),"")</f>
        <v/>
      </c>
      <c r="AK38" s="620"/>
      <c r="AL38" s="620" t="str">
        <f ca="1">IF(AND('Mapa final'!$P$17="Muy Baja",'Mapa final'!$T$17="Catastrófico"),CONCATENATE("R",'Mapa final'!$A$17),"")</f>
        <v/>
      </c>
      <c r="AM38" s="621"/>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60"/>
      <c r="C39" s="560"/>
      <c r="D39" s="561"/>
      <c r="E39" s="552"/>
      <c r="F39" s="553"/>
      <c r="G39" s="553"/>
      <c r="H39" s="553"/>
      <c r="I39" s="554"/>
      <c r="J39" s="627"/>
      <c r="K39" s="625"/>
      <c r="L39" s="625"/>
      <c r="M39" s="625"/>
      <c r="N39" s="625"/>
      <c r="O39" s="626"/>
      <c r="P39" s="627"/>
      <c r="Q39" s="625"/>
      <c r="R39" s="625"/>
      <c r="S39" s="625"/>
      <c r="T39" s="625"/>
      <c r="U39" s="626"/>
      <c r="V39" s="566"/>
      <c r="W39" s="563"/>
      <c r="X39" s="563"/>
      <c r="Y39" s="563"/>
      <c r="Z39" s="563"/>
      <c r="AA39" s="565"/>
      <c r="AB39" s="606"/>
      <c r="AC39" s="558"/>
      <c r="AD39" s="558"/>
      <c r="AE39" s="558"/>
      <c r="AF39" s="558"/>
      <c r="AG39" s="559"/>
      <c r="AH39" s="613"/>
      <c r="AI39" s="614"/>
      <c r="AJ39" s="614"/>
      <c r="AK39" s="614"/>
      <c r="AL39" s="614"/>
      <c r="AM39" s="615"/>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60"/>
      <c r="C40" s="560"/>
      <c r="D40" s="561"/>
      <c r="E40" s="552"/>
      <c r="F40" s="553"/>
      <c r="G40" s="553"/>
      <c r="H40" s="553"/>
      <c r="I40" s="554"/>
      <c r="J40" s="627" t="str">
        <f ca="1">IF(AND('Mapa final'!$P$20="Muy Baja",'Mapa final'!$T$20="Leve"),CONCATENATE("R",'Mapa final'!$A$20),"")</f>
        <v/>
      </c>
      <c r="K40" s="625"/>
      <c r="L40" s="625" t="str">
        <f ca="1">IF(AND('Mapa final'!$P$22="Muy Baja",'Mapa final'!$T$22="Leve"),CONCATENATE("R",'Mapa final'!$A$22),"")</f>
        <v/>
      </c>
      <c r="M40" s="625"/>
      <c r="N40" s="625" t="str">
        <f ca="1">IF(AND('Mapa final'!$P$25="Muy Baja",'Mapa final'!$T$25="Leve"),CONCATENATE("R",'Mapa final'!$A$25),"")</f>
        <v/>
      </c>
      <c r="O40" s="626"/>
      <c r="P40" s="627" t="str">
        <f ca="1">IF(AND('Mapa final'!$P$20="Muy Baja",'Mapa final'!$T$20="Menor"),CONCATENATE("R",'Mapa final'!$A$20),"")</f>
        <v/>
      </c>
      <c r="Q40" s="625"/>
      <c r="R40" s="625" t="str">
        <f ca="1">IF(AND('Mapa final'!$P$22="Muy Baja",'Mapa final'!$T$22="Menor"),CONCATENATE("R",'Mapa final'!$A$22),"")</f>
        <v/>
      </c>
      <c r="S40" s="625"/>
      <c r="T40" s="625" t="str">
        <f ca="1">IF(AND('Mapa final'!$P$25="Muy Baja",'Mapa final'!$T$25="Menor"),CONCATENATE("R",'Mapa final'!$A$25),"")</f>
        <v/>
      </c>
      <c r="U40" s="626"/>
      <c r="V40" s="566" t="str">
        <f ca="1">IF(AND('Mapa final'!$P$20="Muy Baja",'Mapa final'!$T$20="Moderado"),CONCATENATE("R",'Mapa final'!$A$20),"")</f>
        <v/>
      </c>
      <c r="W40" s="563"/>
      <c r="X40" s="563" t="str">
        <f ca="1">IF(AND('Mapa final'!$P$22="Muy Baja",'Mapa final'!$T$22="Moderado"),CONCATENATE("R",'Mapa final'!$A$22),"")</f>
        <v/>
      </c>
      <c r="Y40" s="563"/>
      <c r="Z40" s="563" t="str">
        <f ca="1">IF(AND('Mapa final'!$P$25="Muy Baja",'Mapa final'!$T$25="Moderado"),CONCATENATE("R",'Mapa final'!$A$25),"")</f>
        <v/>
      </c>
      <c r="AA40" s="565"/>
      <c r="AB40" s="606" t="str">
        <f ca="1">IF(AND('Mapa final'!$P$20="Muy Baja",'Mapa final'!$T$20="Mayor"),CONCATENATE("R",'Mapa final'!$A$20),"")</f>
        <v/>
      </c>
      <c r="AC40" s="558"/>
      <c r="AD40" s="558" t="str">
        <f ca="1">IF(AND('Mapa final'!$P$22="Muy Baja",'Mapa final'!$T$22="Mayor"),CONCATENATE("R",'Mapa final'!$A$22),"")</f>
        <v>R5</v>
      </c>
      <c r="AE40" s="558"/>
      <c r="AF40" s="558" t="str">
        <f ca="1">IF(AND('Mapa final'!$P$25="Muy Baja",'Mapa final'!$T$25="Mayor"),CONCATENATE("R",'Mapa final'!$A$25),"")</f>
        <v/>
      </c>
      <c r="AG40" s="559"/>
      <c r="AH40" s="613" t="str">
        <f ca="1">IF(AND('Mapa final'!$P$20="Muy Baja",'Mapa final'!$T$20="Catastrófico"),CONCATENATE("R",'Mapa final'!$A$20),"")</f>
        <v/>
      </c>
      <c r="AI40" s="614"/>
      <c r="AJ40" s="614" t="str">
        <f ca="1">IF(AND('Mapa final'!$P$22="Muy Baja",'Mapa final'!$T$22="Catastrófico"),CONCATENATE("R",'Mapa final'!$A$22),"")</f>
        <v/>
      </c>
      <c r="AK40" s="614"/>
      <c r="AL40" s="614" t="str">
        <f ca="1">IF(AND('Mapa final'!$P$25="Muy Baja",'Mapa final'!$T$25="Catastrófico"),CONCATENATE("R",'Mapa final'!$A$25),"")</f>
        <v/>
      </c>
      <c r="AM40" s="615"/>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60"/>
      <c r="C41" s="560"/>
      <c r="D41" s="561"/>
      <c r="E41" s="552"/>
      <c r="F41" s="553"/>
      <c r="G41" s="553"/>
      <c r="H41" s="553"/>
      <c r="I41" s="554"/>
      <c r="J41" s="627"/>
      <c r="K41" s="625"/>
      <c r="L41" s="625"/>
      <c r="M41" s="625"/>
      <c r="N41" s="625"/>
      <c r="O41" s="626"/>
      <c r="P41" s="627"/>
      <c r="Q41" s="625"/>
      <c r="R41" s="625"/>
      <c r="S41" s="625"/>
      <c r="T41" s="625"/>
      <c r="U41" s="626"/>
      <c r="V41" s="566"/>
      <c r="W41" s="563"/>
      <c r="X41" s="563"/>
      <c r="Y41" s="563"/>
      <c r="Z41" s="563"/>
      <c r="AA41" s="565"/>
      <c r="AB41" s="606"/>
      <c r="AC41" s="558"/>
      <c r="AD41" s="558"/>
      <c r="AE41" s="558"/>
      <c r="AF41" s="558"/>
      <c r="AG41" s="559"/>
      <c r="AH41" s="613"/>
      <c r="AI41" s="614"/>
      <c r="AJ41" s="614"/>
      <c r="AK41" s="614"/>
      <c r="AL41" s="614"/>
      <c r="AM41" s="615"/>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60"/>
      <c r="C42" s="560"/>
      <c r="D42" s="561"/>
      <c r="E42" s="552"/>
      <c r="F42" s="553"/>
      <c r="G42" s="553"/>
      <c r="H42" s="553"/>
      <c r="I42" s="554"/>
      <c r="J42" s="627" t="str">
        <f ca="1">IF(AND('Mapa final'!$P$27="Muy Baja",'Mapa final'!$T$27="Leve"),CONCATENATE("R",'Mapa final'!$B$27),"")</f>
        <v/>
      </c>
      <c r="K42" s="625"/>
      <c r="L42" s="625" t="str">
        <f ca="1">IF(AND('Mapa final'!$P$29="Muy Baja",'Mapa final'!$T$29="Leve"),CONCATENATE("R",'Mapa final'!$A$29),"")</f>
        <v/>
      </c>
      <c r="M42" s="625"/>
      <c r="N42" s="625" t="str">
        <f ca="1">IF(AND('Mapa final'!$P$33="Muy Baja",'Mapa final'!$T$33="Leve"),CONCATENATE("R",'Mapa final'!$A$33),"")</f>
        <v/>
      </c>
      <c r="O42" s="626"/>
      <c r="P42" s="627" t="str">
        <f ca="1">IF(AND('Mapa final'!$P$27="Muy Baja",'Mapa final'!$T$27="Menor"),CONCATENATE("R",'Mapa final'!$B$27),"")</f>
        <v/>
      </c>
      <c r="Q42" s="625"/>
      <c r="R42" s="625" t="str">
        <f ca="1">IF(AND('Mapa final'!$P$29="Muy Baja",'Mapa final'!$T$29="Menor"),CONCATENATE("R",'Mapa final'!$A$29),"")</f>
        <v/>
      </c>
      <c r="S42" s="625"/>
      <c r="T42" s="625" t="str">
        <f ca="1">IF(AND('Mapa final'!$P$33="Muy Baja",'Mapa final'!$T$33="Menor"),CONCATENATE("R",'Mapa final'!$A$33),"")</f>
        <v/>
      </c>
      <c r="U42" s="626"/>
      <c r="V42" s="566" t="str">
        <f ca="1">IF(AND('Mapa final'!$P$27="Muy Baja",'Mapa final'!$T$27="Moderado"),CONCATENATE("R",'Mapa final'!$B$27),"")</f>
        <v/>
      </c>
      <c r="W42" s="563"/>
      <c r="X42" s="563" t="str">
        <f ca="1">IF(AND('Mapa final'!$P$29="Muy Baja",'Mapa final'!$T$29="Moderado"),CONCATENATE("R",'Mapa final'!$A$29),"")</f>
        <v/>
      </c>
      <c r="Y42" s="563"/>
      <c r="Z42" s="563" t="str">
        <f ca="1">IF(AND('Mapa final'!$P$33="Muy Baja",'Mapa final'!$T$33="Moderado"),CONCATENATE("R",'Mapa final'!$A$33),"")</f>
        <v/>
      </c>
      <c r="AA42" s="565"/>
      <c r="AB42" s="606" t="str">
        <f ca="1">IF(AND('Mapa final'!$P$27="Muy Baja",'Mapa final'!$T$27="Mayor"),CONCATENATE("R",'Mapa final'!$B$27),"")</f>
        <v/>
      </c>
      <c r="AC42" s="558"/>
      <c r="AD42" s="558" t="str">
        <f ca="1">IF(AND('Mapa final'!$P$29="Muy Baja",'Mapa final'!$T$29="Mayor"),CONCATENATE("R",'Mapa final'!$A$29),"")</f>
        <v/>
      </c>
      <c r="AE42" s="558"/>
      <c r="AF42" s="558" t="str">
        <f ca="1">IF(AND('Mapa final'!$P$33="Muy Baja",'Mapa final'!$T$33="Mayor"),CONCATENATE("R",'Mapa final'!$A$33),"")</f>
        <v/>
      </c>
      <c r="AG42" s="559"/>
      <c r="AH42" s="613" t="str">
        <f ca="1">IF(AND('Mapa final'!$P$27="Muy Baja",'Mapa final'!$T$27="Catastrófico"),CONCATENATE("R",'Mapa final'!$B$27),"")</f>
        <v/>
      </c>
      <c r="AI42" s="614"/>
      <c r="AJ42" s="614" t="str">
        <f ca="1">IF(AND('Mapa final'!$P$29="Muy Baja",'Mapa final'!$T$29="Catastrófico"),CONCATENATE("R",'Mapa final'!$A$29),"")</f>
        <v/>
      </c>
      <c r="AK42" s="614"/>
      <c r="AL42" s="614" t="str">
        <f ca="1">IF(AND('Mapa final'!$P$33="Muy Baja",'Mapa final'!$T$33="Catastrófico"),CONCATENATE("R",'Mapa final'!$A$33),"")</f>
        <v/>
      </c>
      <c r="AM42" s="615"/>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60"/>
      <c r="C43" s="560"/>
      <c r="D43" s="561"/>
      <c r="E43" s="552"/>
      <c r="F43" s="553"/>
      <c r="G43" s="553"/>
      <c r="H43" s="553"/>
      <c r="I43" s="554"/>
      <c r="J43" s="627"/>
      <c r="K43" s="625"/>
      <c r="L43" s="625"/>
      <c r="M43" s="625"/>
      <c r="N43" s="625"/>
      <c r="O43" s="626"/>
      <c r="P43" s="627"/>
      <c r="Q43" s="625"/>
      <c r="R43" s="625"/>
      <c r="S43" s="625"/>
      <c r="T43" s="625"/>
      <c r="U43" s="626"/>
      <c r="V43" s="566"/>
      <c r="W43" s="563"/>
      <c r="X43" s="563"/>
      <c r="Y43" s="563"/>
      <c r="Z43" s="563"/>
      <c r="AA43" s="565"/>
      <c r="AB43" s="606"/>
      <c r="AC43" s="558"/>
      <c r="AD43" s="558"/>
      <c r="AE43" s="558"/>
      <c r="AF43" s="558"/>
      <c r="AG43" s="559"/>
      <c r="AH43" s="613"/>
      <c r="AI43" s="614"/>
      <c r="AJ43" s="614"/>
      <c r="AK43" s="614"/>
      <c r="AL43" s="614"/>
      <c r="AM43" s="615"/>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60"/>
      <c r="C44" s="560"/>
      <c r="D44" s="561"/>
      <c r="E44" s="552"/>
      <c r="F44" s="553"/>
      <c r="G44" s="553"/>
      <c r="H44" s="553"/>
      <c r="I44" s="554"/>
      <c r="J44" s="627" t="str">
        <f ca="1">IF(AND('Mapa final'!$P$38="Muy Baja",'Mapa final'!$T$38="Leve"),CONCATENATE("R",'Mapa final'!$A$38),"")</f>
        <v/>
      </c>
      <c r="K44" s="625"/>
      <c r="L44" s="625" t="str">
        <f>IF(AND('Mapa final'!$P$251="Muy Baja",'Mapa final'!$T$251="Leve"),CONCATENATE("R",'Mapa final'!$A$251),"")</f>
        <v/>
      </c>
      <c r="M44" s="625"/>
      <c r="N44" s="625" t="str">
        <f>IF(AND('Mapa final'!$P$257="Muy Baja",'Mapa final'!$T$257="Leve"),CONCATENATE("R",'Mapa final'!$A$257),"")</f>
        <v/>
      </c>
      <c r="O44" s="626"/>
      <c r="P44" s="627" t="str">
        <f ca="1">IF(AND('Mapa final'!$P$38="Muy Baja",'Mapa final'!$T$38="Menor"),CONCATENATE("R",'Mapa final'!$A$38),"")</f>
        <v/>
      </c>
      <c r="Q44" s="625"/>
      <c r="R44" s="625" t="str">
        <f>IF(AND('Mapa final'!$P$251="Muy Baja",'Mapa final'!$T$251="Menor"),CONCATENATE("R",'Mapa final'!$A$251),"")</f>
        <v/>
      </c>
      <c r="S44" s="625"/>
      <c r="T44" s="625" t="str">
        <f>IF(AND('Mapa final'!$P$257="Muy Baja",'Mapa final'!$T$257="Menor"),CONCATENATE("R",'Mapa final'!$A$257),"")</f>
        <v/>
      </c>
      <c r="U44" s="626"/>
      <c r="V44" s="566" t="str">
        <f ca="1">IF(AND('Mapa final'!$P$38="Muy Baja",'Mapa final'!$T$38="Moderado"),CONCATENATE("R",'Mapa final'!$A$38),"")</f>
        <v/>
      </c>
      <c r="W44" s="563"/>
      <c r="X44" s="563" t="str">
        <f>IF(AND('Mapa final'!$P$251="Muy Baja",'Mapa final'!$T$251="Moderado"),CONCATENATE("R",'Mapa final'!$A$251),"")</f>
        <v/>
      </c>
      <c r="Y44" s="563"/>
      <c r="Z44" s="563" t="str">
        <f>IF(AND('Mapa final'!$P$257="Muy Baja",'Mapa final'!$T$257="Moderado"),CONCATENATE("R",'Mapa final'!$A$257),"")</f>
        <v/>
      </c>
      <c r="AA44" s="565"/>
      <c r="AB44" s="606" t="str">
        <f ca="1">IF(AND('Mapa final'!$P$38="Muy Baja",'Mapa final'!$T$38="Mayor"),CONCATENATE("R",'Mapa final'!$A$38),"")</f>
        <v/>
      </c>
      <c r="AC44" s="558"/>
      <c r="AD44" s="558" t="str">
        <f>IF(AND('Mapa final'!$P$251="Muy Baja",'Mapa final'!$T$251="Mayor"),CONCATENATE("R",'Mapa final'!$A$251),"")</f>
        <v/>
      </c>
      <c r="AE44" s="558"/>
      <c r="AF44" s="558" t="str">
        <f>IF(AND('Mapa final'!$P$257="Muy Baja",'Mapa final'!$T$257="Mayor"),CONCATENATE("R",'Mapa final'!$A$257),"")</f>
        <v/>
      </c>
      <c r="AG44" s="559"/>
      <c r="AH44" s="613" t="str">
        <f ca="1">IF(AND('Mapa final'!$P$38="Muy Baja",'Mapa final'!$T$38="Catastrófico"),CONCATENATE("R",'Mapa final'!$A$38),"")</f>
        <v/>
      </c>
      <c r="AI44" s="614"/>
      <c r="AJ44" s="614" t="str">
        <f>IF(AND('Mapa final'!$P$251="Muy Baja",'Mapa final'!$T$251="Catastrófico"),CONCATENATE("R",'Mapa final'!$A$251),"")</f>
        <v/>
      </c>
      <c r="AK44" s="614"/>
      <c r="AL44" s="614" t="str">
        <f>IF(AND('Mapa final'!$P$257="Muy Baja",'Mapa final'!$T$257="Catastrófico"),CONCATENATE("R",'Mapa final'!$A$257),"")</f>
        <v/>
      </c>
      <c r="AM44" s="615"/>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60"/>
      <c r="C45" s="560"/>
      <c r="D45" s="561"/>
      <c r="E45" s="555"/>
      <c r="F45" s="556"/>
      <c r="G45" s="556"/>
      <c r="H45" s="556"/>
      <c r="I45" s="557"/>
      <c r="J45" s="628"/>
      <c r="K45" s="629"/>
      <c r="L45" s="629"/>
      <c r="M45" s="629"/>
      <c r="N45" s="629"/>
      <c r="O45" s="630"/>
      <c r="P45" s="628"/>
      <c r="Q45" s="629"/>
      <c r="R45" s="629"/>
      <c r="S45" s="629"/>
      <c r="T45" s="629"/>
      <c r="U45" s="630"/>
      <c r="V45" s="622"/>
      <c r="W45" s="623"/>
      <c r="X45" s="623"/>
      <c r="Y45" s="623"/>
      <c r="Z45" s="623"/>
      <c r="AA45" s="624"/>
      <c r="AB45" s="610"/>
      <c r="AC45" s="611"/>
      <c r="AD45" s="611"/>
      <c r="AE45" s="611"/>
      <c r="AF45" s="611"/>
      <c r="AG45" s="612"/>
      <c r="AH45" s="616"/>
      <c r="AI45" s="617"/>
      <c r="AJ45" s="617"/>
      <c r="AK45" s="617"/>
      <c r="AL45" s="617"/>
      <c r="AM45" s="618"/>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49" t="s">
        <v>138</v>
      </c>
      <c r="K46" s="550"/>
      <c r="L46" s="550"/>
      <c r="M46" s="550"/>
      <c r="N46" s="550"/>
      <c r="O46" s="551"/>
      <c r="P46" s="549" t="s">
        <v>139</v>
      </c>
      <c r="Q46" s="550"/>
      <c r="R46" s="550"/>
      <c r="S46" s="550"/>
      <c r="T46" s="550"/>
      <c r="U46" s="551"/>
      <c r="V46" s="549" t="s">
        <v>140</v>
      </c>
      <c r="W46" s="550"/>
      <c r="X46" s="550"/>
      <c r="Y46" s="550"/>
      <c r="Z46" s="550"/>
      <c r="AA46" s="551"/>
      <c r="AB46" s="549" t="s">
        <v>141</v>
      </c>
      <c r="AC46" s="609"/>
      <c r="AD46" s="550"/>
      <c r="AE46" s="550"/>
      <c r="AF46" s="550"/>
      <c r="AG46" s="551"/>
      <c r="AH46" s="549" t="s">
        <v>142</v>
      </c>
      <c r="AI46" s="550"/>
      <c r="AJ46" s="550"/>
      <c r="AK46" s="550"/>
      <c r="AL46" s="550"/>
      <c r="AM46" s="551"/>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52"/>
      <c r="K47" s="553"/>
      <c r="L47" s="553"/>
      <c r="M47" s="553"/>
      <c r="N47" s="553"/>
      <c r="O47" s="554"/>
      <c r="P47" s="552"/>
      <c r="Q47" s="553"/>
      <c r="R47" s="553"/>
      <c r="S47" s="553"/>
      <c r="T47" s="553"/>
      <c r="U47" s="554"/>
      <c r="V47" s="552"/>
      <c r="W47" s="553"/>
      <c r="X47" s="553"/>
      <c r="Y47" s="553"/>
      <c r="Z47" s="553"/>
      <c r="AA47" s="554"/>
      <c r="AB47" s="552"/>
      <c r="AC47" s="553"/>
      <c r="AD47" s="553"/>
      <c r="AE47" s="553"/>
      <c r="AF47" s="553"/>
      <c r="AG47" s="554"/>
      <c r="AH47" s="552"/>
      <c r="AI47" s="553"/>
      <c r="AJ47" s="553"/>
      <c r="AK47" s="553"/>
      <c r="AL47" s="553"/>
      <c r="AM47" s="554"/>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52"/>
      <c r="K48" s="553"/>
      <c r="L48" s="553"/>
      <c r="M48" s="553"/>
      <c r="N48" s="553"/>
      <c r="O48" s="554"/>
      <c r="P48" s="552"/>
      <c r="Q48" s="553"/>
      <c r="R48" s="553"/>
      <c r="S48" s="553"/>
      <c r="T48" s="553"/>
      <c r="U48" s="554"/>
      <c r="V48" s="552"/>
      <c r="W48" s="553"/>
      <c r="X48" s="553"/>
      <c r="Y48" s="553"/>
      <c r="Z48" s="553"/>
      <c r="AA48" s="554"/>
      <c r="AB48" s="552"/>
      <c r="AC48" s="553"/>
      <c r="AD48" s="553"/>
      <c r="AE48" s="553"/>
      <c r="AF48" s="553"/>
      <c r="AG48" s="554"/>
      <c r="AH48" s="552"/>
      <c r="AI48" s="553"/>
      <c r="AJ48" s="553"/>
      <c r="AK48" s="553"/>
      <c r="AL48" s="553"/>
      <c r="AM48" s="554"/>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52"/>
      <c r="K49" s="553"/>
      <c r="L49" s="553"/>
      <c r="M49" s="553"/>
      <c r="N49" s="553"/>
      <c r="O49" s="554"/>
      <c r="P49" s="552"/>
      <c r="Q49" s="553"/>
      <c r="R49" s="553"/>
      <c r="S49" s="553"/>
      <c r="T49" s="553"/>
      <c r="U49" s="554"/>
      <c r="V49" s="552"/>
      <c r="W49" s="553"/>
      <c r="X49" s="553"/>
      <c r="Y49" s="553"/>
      <c r="Z49" s="553"/>
      <c r="AA49" s="554"/>
      <c r="AB49" s="552"/>
      <c r="AC49" s="553"/>
      <c r="AD49" s="553"/>
      <c r="AE49" s="553"/>
      <c r="AF49" s="553"/>
      <c r="AG49" s="554"/>
      <c r="AH49" s="552"/>
      <c r="AI49" s="553"/>
      <c r="AJ49" s="553"/>
      <c r="AK49" s="553"/>
      <c r="AL49" s="553"/>
      <c r="AM49" s="554"/>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52"/>
      <c r="K50" s="553"/>
      <c r="L50" s="553"/>
      <c r="M50" s="553"/>
      <c r="N50" s="553"/>
      <c r="O50" s="554"/>
      <c r="P50" s="552"/>
      <c r="Q50" s="553"/>
      <c r="R50" s="553"/>
      <c r="S50" s="553"/>
      <c r="T50" s="553"/>
      <c r="U50" s="554"/>
      <c r="V50" s="552"/>
      <c r="W50" s="553"/>
      <c r="X50" s="553"/>
      <c r="Y50" s="553"/>
      <c r="Z50" s="553"/>
      <c r="AA50" s="554"/>
      <c r="AB50" s="552"/>
      <c r="AC50" s="553"/>
      <c r="AD50" s="553"/>
      <c r="AE50" s="553"/>
      <c r="AF50" s="553"/>
      <c r="AG50" s="554"/>
      <c r="AH50" s="552"/>
      <c r="AI50" s="553"/>
      <c r="AJ50" s="553"/>
      <c r="AK50" s="553"/>
      <c r="AL50" s="553"/>
      <c r="AM50" s="554"/>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55"/>
      <c r="K51" s="556"/>
      <c r="L51" s="556"/>
      <c r="M51" s="556"/>
      <c r="N51" s="556"/>
      <c r="O51" s="557"/>
      <c r="P51" s="555"/>
      <c r="Q51" s="556"/>
      <c r="R51" s="556"/>
      <c r="S51" s="556"/>
      <c r="T51" s="556"/>
      <c r="U51" s="557"/>
      <c r="V51" s="555"/>
      <c r="W51" s="556"/>
      <c r="X51" s="556"/>
      <c r="Y51" s="556"/>
      <c r="Z51" s="556"/>
      <c r="AA51" s="557"/>
      <c r="AB51" s="555"/>
      <c r="AC51" s="556"/>
      <c r="AD51" s="556"/>
      <c r="AE51" s="556"/>
      <c r="AF51" s="556"/>
      <c r="AG51" s="557"/>
      <c r="AH51" s="555"/>
      <c r="AI51" s="556"/>
      <c r="AJ51" s="556"/>
      <c r="AK51" s="556"/>
      <c r="AL51" s="556"/>
      <c r="AM51" s="557"/>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654" t="s">
        <v>143</v>
      </c>
      <c r="C2" s="655"/>
      <c r="D2" s="655"/>
      <c r="E2" s="655"/>
      <c r="F2" s="655"/>
      <c r="G2" s="655"/>
      <c r="H2" s="655"/>
      <c r="I2" s="655"/>
      <c r="J2" s="608" t="s">
        <v>15</v>
      </c>
      <c r="K2" s="608"/>
      <c r="L2" s="608"/>
      <c r="M2" s="608"/>
      <c r="N2" s="608"/>
      <c r="O2" s="608"/>
      <c r="P2" s="608"/>
      <c r="Q2" s="608"/>
      <c r="R2" s="608"/>
      <c r="S2" s="608"/>
      <c r="T2" s="608"/>
      <c r="U2" s="608"/>
      <c r="V2" s="608"/>
      <c r="W2" s="608"/>
      <c r="X2" s="608"/>
      <c r="Y2" s="608"/>
      <c r="Z2" s="608"/>
      <c r="AA2" s="608"/>
      <c r="AB2" s="608"/>
      <c r="AC2" s="608"/>
      <c r="AD2" s="608"/>
      <c r="AE2" s="608"/>
      <c r="AF2" s="608"/>
      <c r="AG2" s="608"/>
      <c r="AH2" s="608"/>
      <c r="AI2" s="608"/>
      <c r="AJ2" s="608"/>
      <c r="AK2" s="608"/>
      <c r="AL2" s="608"/>
      <c r="AM2" s="608"/>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655"/>
      <c r="C3" s="655"/>
      <c r="D3" s="655"/>
      <c r="E3" s="655"/>
      <c r="F3" s="655"/>
      <c r="G3" s="655"/>
      <c r="H3" s="655"/>
      <c r="I3" s="655"/>
      <c r="J3" s="608"/>
      <c r="K3" s="608"/>
      <c r="L3" s="608"/>
      <c r="M3" s="608"/>
      <c r="N3" s="608"/>
      <c r="O3" s="608"/>
      <c r="P3" s="608"/>
      <c r="Q3" s="608"/>
      <c r="R3" s="608"/>
      <c r="S3" s="608"/>
      <c r="T3" s="608"/>
      <c r="U3" s="608"/>
      <c r="V3" s="608"/>
      <c r="W3" s="608"/>
      <c r="X3" s="608"/>
      <c r="Y3" s="608"/>
      <c r="Z3" s="608"/>
      <c r="AA3" s="608"/>
      <c r="AB3" s="608"/>
      <c r="AC3" s="608"/>
      <c r="AD3" s="608"/>
      <c r="AE3" s="608"/>
      <c r="AF3" s="608"/>
      <c r="AG3" s="608"/>
      <c r="AH3" s="608"/>
      <c r="AI3" s="608"/>
      <c r="AJ3" s="608"/>
      <c r="AK3" s="608"/>
      <c r="AL3" s="608"/>
      <c r="AM3" s="608"/>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655"/>
      <c r="C4" s="655"/>
      <c r="D4" s="655"/>
      <c r="E4" s="655"/>
      <c r="F4" s="655"/>
      <c r="G4" s="655"/>
      <c r="H4" s="655"/>
      <c r="I4" s="655"/>
      <c r="J4" s="608"/>
      <c r="K4" s="608"/>
      <c r="L4" s="608"/>
      <c r="M4" s="608"/>
      <c r="N4" s="608"/>
      <c r="O4" s="608"/>
      <c r="P4" s="608"/>
      <c r="Q4" s="608"/>
      <c r="R4" s="608"/>
      <c r="S4" s="608"/>
      <c r="T4" s="608"/>
      <c r="U4" s="608"/>
      <c r="V4" s="608"/>
      <c r="W4" s="608"/>
      <c r="X4" s="608"/>
      <c r="Y4" s="608"/>
      <c r="Z4" s="608"/>
      <c r="AA4" s="608"/>
      <c r="AB4" s="608"/>
      <c r="AC4" s="608"/>
      <c r="AD4" s="608"/>
      <c r="AE4" s="608"/>
      <c r="AF4" s="608"/>
      <c r="AG4" s="608"/>
      <c r="AH4" s="608"/>
      <c r="AI4" s="608"/>
      <c r="AJ4" s="608"/>
      <c r="AK4" s="608"/>
      <c r="AL4" s="608"/>
      <c r="AM4" s="608"/>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60" t="s">
        <v>128</v>
      </c>
      <c r="C6" s="560"/>
      <c r="D6" s="561"/>
      <c r="E6" s="635" t="s">
        <v>129</v>
      </c>
      <c r="F6" s="636"/>
      <c r="G6" s="636"/>
      <c r="H6" s="636"/>
      <c r="I6" s="637"/>
      <c r="J6" s="32" t="str">
        <f ca="1">IF(AND('Mapa final'!$AG$13="Muy Alta",'Mapa final'!$AI$13="Leve"),CONCATENATE("R1C",'Mapa final'!$W$13),"")</f>
        <v/>
      </c>
      <c r="K6" s="33" t="str">
        <f ca="1">IF(AND('Mapa final'!$AG$14="Muy Alta",'Mapa final'!$AI$14="Leve"),CONCATENATE("R1C",'Mapa final'!$W$14),"")</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 ca="1">IF(AND('Mapa final'!$AG$13="Muy Alta",'Mapa final'!$AI$13="Menor"),CONCATENATE("R1C",'Mapa final'!$W$13),"")</f>
        <v/>
      </c>
      <c r="Q6" s="33" t="str">
        <f ca="1">IF(AND('Mapa final'!$AG$14="Muy Alta",'Mapa final'!$AI$14="Menor"),CONCATENATE("R1C",'Mapa final'!$W$14),"")</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 ca="1">IF(AND('Mapa final'!$AG$13="Muy Alta",'Mapa final'!$AI$13="Moderado"),CONCATENATE("R1C",'Mapa final'!$W$13),"")</f>
        <v/>
      </c>
      <c r="W6" s="33" t="str">
        <f ca="1">IF(AND('Mapa final'!$AG$14="Muy Alta",'Mapa final'!$AI$14="Moderado"),CONCATENATE("R1C",'Mapa final'!$W$14),"")</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 ca="1">IF(AND('Mapa final'!$AG$13="Muy Alta",'Mapa final'!$AI$13="Mayor"),CONCATENATE("R1C",'Mapa final'!$W$13),"")</f>
        <v/>
      </c>
      <c r="AC6" s="33" t="str">
        <f ca="1">IF(AND('Mapa final'!$AG$14="Muy Alta",'Mapa final'!$AI$14="Mayor"),CONCATENATE("R1C",'Mapa final'!$W$14),"")</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 ca="1">IF(AND('Mapa final'!$AG$13="Muy Alta",'Mapa final'!$AI$13="Catastrófico"),CONCATENATE("R1C",'Mapa final'!$W$13),"")</f>
        <v/>
      </c>
      <c r="AI6" s="36" t="str">
        <f ca="1">IF(AND('Mapa final'!$AG$14="Muy Alta",'Mapa final'!$AI$14="Catastrófico"),CONCATENATE("R1C",'Mapa final'!$W$14),"")</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645" t="s">
        <v>130</v>
      </c>
      <c r="AP6" s="646"/>
      <c r="AQ6" s="646"/>
      <c r="AR6" s="646"/>
      <c r="AS6" s="646"/>
      <c r="AT6" s="64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60"/>
      <c r="C7" s="560"/>
      <c r="D7" s="561"/>
      <c r="E7" s="641"/>
      <c r="F7" s="639"/>
      <c r="G7" s="639"/>
      <c r="H7" s="639"/>
      <c r="I7" s="640"/>
      <c r="J7" s="38" t="str">
        <f ca="1">IF(AND('Mapa final'!$AG$15="Muy Alta",'Mapa final'!$AI$15="Leve"),CONCATENATE("R2C",'Mapa final'!$W$15),"")</f>
        <v/>
      </c>
      <c r="K7" s="39" t="str">
        <f ca="1">IF(AND('Mapa final'!$AG$16="Muy Alta",'Mapa final'!$AI$16="Leve"),CONCATENATE("R2C",'Mapa final'!$W$16),"")</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 ca="1">IF(AND('Mapa final'!$AG$15="Muy Alta",'Mapa final'!$AI$15="Menor"),CONCATENATE("R2C",'Mapa final'!$W$15),"")</f>
        <v/>
      </c>
      <c r="Q7" s="39" t="str">
        <f ca="1">IF(AND('Mapa final'!$AG$16="Muy Alta",'Mapa final'!$AI$16="Menor"),CONCATENATE("R2C",'Mapa final'!$W$16),"")</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 ca="1">IF(AND('Mapa final'!$AG$15="Muy Alta",'Mapa final'!$AI$15="Moderado"),CONCATENATE("R2C",'Mapa final'!$W$15),"")</f>
        <v/>
      </c>
      <c r="W7" s="39" t="str">
        <f ca="1">IF(AND('Mapa final'!$AG$16="Muy Alta",'Mapa final'!$AI$16="Moderado"),CONCATENATE("R2C",'Mapa final'!$W$16),"")</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 ca="1">IF(AND('Mapa final'!$AG$15="Muy Alta",'Mapa final'!$AI$15="Mayor"),CONCATENATE("R2C",'Mapa final'!$W$15),"")</f>
        <v/>
      </c>
      <c r="AC7" s="39" t="str">
        <f ca="1">IF(AND('Mapa final'!$AG$16="Muy Alta",'Mapa final'!$AI$16="Mayor"),CONCATENATE("R2C",'Mapa final'!$W$16),"")</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 ca="1">IF(AND('Mapa final'!$AG$15="Muy Alta",'Mapa final'!$AI$15="Catastrófico"),CONCATENATE("R2C",'Mapa final'!$W$15),"")</f>
        <v/>
      </c>
      <c r="AI7" s="42" t="str">
        <f ca="1">IF(AND('Mapa final'!$AG$16="Muy Alta",'Mapa final'!$AI$16="Catastrófico"),CONCATENATE("R2C",'Mapa final'!$W$16),"")</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648"/>
      <c r="AP7" s="649"/>
      <c r="AQ7" s="649"/>
      <c r="AR7" s="649"/>
      <c r="AS7" s="649"/>
      <c r="AT7" s="65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60"/>
      <c r="C8" s="560"/>
      <c r="D8" s="561"/>
      <c r="E8" s="641"/>
      <c r="F8" s="639"/>
      <c r="G8" s="639"/>
      <c r="H8" s="639"/>
      <c r="I8" s="640"/>
      <c r="J8" s="38" t="str">
        <f ca="1">IF(AND('Mapa final'!$AG$17="Muy Alta",'Mapa final'!$AI$17="Leve"),CONCATENATE("R3C",'Mapa final'!$W$17),"")</f>
        <v/>
      </c>
      <c r="K8" s="39" t="str">
        <f ca="1">IF(AND('Mapa final'!$AG$18="Muy Alta",'Mapa final'!$AI$18="Leve"),CONCATENATE("R3C",'Mapa final'!$W$18),"")</f>
        <v/>
      </c>
      <c r="L8" s="39" t="str">
        <f ca="1">IF(AND('Mapa final'!$AG$19="Muy Alta",'Mapa final'!$AI$19="Leve"),CONCATENATE("R3C",'Mapa final'!$W$19),"")</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 ca="1">IF(AND('Mapa final'!$AG$17="Muy Alta",'Mapa final'!$AI$17="Menor"),CONCATENATE("R3C",'Mapa final'!$W$17),"")</f>
        <v/>
      </c>
      <c r="Q8" s="39" t="str">
        <f ca="1">IF(AND('Mapa final'!$AG$18="Muy Alta",'Mapa final'!$AI$18="Menor"),CONCATENATE("R3C",'Mapa final'!$W$18),"")</f>
        <v/>
      </c>
      <c r="R8" s="39" t="str">
        <f ca="1">IF(AND('Mapa final'!$AG$19="Muy Alta",'Mapa final'!$AI$19="Menor"),CONCATENATE("R3C",'Mapa final'!$W$19),"")</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 ca="1">IF(AND('Mapa final'!$AG$17="Muy Alta",'Mapa final'!$AI$17="Moderado"),CONCATENATE("R3C",'Mapa final'!$W$17),"")</f>
        <v/>
      </c>
      <c r="W8" s="39" t="str">
        <f ca="1">IF(AND('Mapa final'!$AG$18="Muy Alta",'Mapa final'!$AI$18="Moderado"),CONCATENATE("R3C",'Mapa final'!$W$18),"")</f>
        <v/>
      </c>
      <c r="X8" s="39" t="str">
        <f ca="1">IF(AND('Mapa final'!$AG$19="Muy Alta",'Mapa final'!$AI$19="Moderado"),CONCATENATE("R3C",'Mapa final'!$W$19),"")</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 ca="1">IF(AND('Mapa final'!$AG$17="Muy Alta",'Mapa final'!$AI$17="Mayor"),CONCATENATE("R3C",'Mapa final'!$W$17),"")</f>
        <v/>
      </c>
      <c r="AC8" s="39" t="str">
        <f ca="1">IF(AND('Mapa final'!$AG$18="Muy Alta",'Mapa final'!$AI$18="Mayor"),CONCATENATE("R3C",'Mapa final'!$W$18),"")</f>
        <v/>
      </c>
      <c r="AD8" s="39" t="str">
        <f ca="1">IF(AND('Mapa final'!$AG$19="Muy Alta",'Mapa final'!$AI$19="Mayor"),CONCATENATE("R3C",'Mapa final'!$W$19),"")</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 ca="1">IF(AND('Mapa final'!$AG$17="Muy Alta",'Mapa final'!$AI$17="Catastrófico"),CONCATENATE("R3C",'Mapa final'!$W$17),"")</f>
        <v/>
      </c>
      <c r="AI8" s="42" t="str">
        <f ca="1">IF(AND('Mapa final'!$AG$18="Muy Alta",'Mapa final'!$AI$18="Catastrófico"),CONCATENATE("R3C",'Mapa final'!$W$18),"")</f>
        <v/>
      </c>
      <c r="AJ8" s="42" t="str">
        <f ca="1">IF(AND('Mapa final'!$AG$19="Muy Alta",'Mapa final'!$AI$19="Catastrófico"),CONCATENATE("R3C",'Mapa final'!$W$19),"")</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648"/>
      <c r="AP8" s="649"/>
      <c r="AQ8" s="649"/>
      <c r="AR8" s="649"/>
      <c r="AS8" s="649"/>
      <c r="AT8" s="65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60"/>
      <c r="C9" s="560"/>
      <c r="D9" s="561"/>
      <c r="E9" s="641"/>
      <c r="F9" s="639"/>
      <c r="G9" s="639"/>
      <c r="H9" s="639"/>
      <c r="I9" s="640"/>
      <c r="J9" s="38" t="str">
        <f ca="1">IF(AND('Mapa final'!$AG$20="Muy Alta",'Mapa final'!$AI$20="Leve"),CONCATENATE("R4C",'Mapa final'!$W$20),"")</f>
        <v/>
      </c>
      <c r="K9" s="39" t="str">
        <f ca="1">IF(AND('Mapa final'!$AG$21="Muy Alta",'Mapa final'!$AI$21="Leve"),CONCATENATE("R4C",'Mapa final'!$W$21),"")</f>
        <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str">
        <f ca="1">IF(AND('Mapa final'!$AG$20="Muy Alta",'Mapa final'!$AI$20="Menor"),CONCATENATE("R4C",'Mapa final'!$W$20),"")</f>
        <v/>
      </c>
      <c r="Q9" s="39" t="str">
        <f ca="1">IF(AND('Mapa final'!$AG$21="Muy Alta",'Mapa final'!$AI$21="Menor"),CONCATENATE("R4C",'Mapa final'!$W$21),"")</f>
        <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str">
        <f ca="1">IF(AND('Mapa final'!$AG$20="Muy Alta",'Mapa final'!$AI$20="Moderado"),CONCATENATE("R4C",'Mapa final'!$W$20),"")</f>
        <v/>
      </c>
      <c r="W9" s="39" t="str">
        <f ca="1">IF(AND('Mapa final'!$AG$21="Muy Alta",'Mapa final'!$AI$21="Moderado"),CONCATENATE("R4C",'Mapa final'!$W$21),"")</f>
        <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str">
        <f ca="1">IF(AND('Mapa final'!$AG$20="Muy Alta",'Mapa final'!$AI$20="Mayor"),CONCATENATE("R4C",'Mapa final'!$W$20),"")</f>
        <v/>
      </c>
      <c r="AC9" s="39" t="str">
        <f ca="1">IF(AND('Mapa final'!$AG$21="Muy Alta",'Mapa final'!$AI$21="Mayor"),CONCATENATE("R4C",'Mapa final'!$W$21),"")</f>
        <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str">
        <f ca="1">IF(AND('Mapa final'!$AG$20="Muy Alta",'Mapa final'!$AI$20="Catastrófico"),CONCATENATE("R4C",'Mapa final'!$W$20),"")</f>
        <v/>
      </c>
      <c r="AI9" s="42" t="str">
        <f ca="1">IF(AND('Mapa final'!$AG$21="Muy Alta",'Mapa final'!$AI$21="Catastrófico"),CONCATENATE("R4C",'Mapa final'!$W$21),"")</f>
        <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648"/>
      <c r="AP9" s="649"/>
      <c r="AQ9" s="649"/>
      <c r="AR9" s="649"/>
      <c r="AS9" s="649"/>
      <c r="AT9" s="65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60"/>
      <c r="C10" s="560"/>
      <c r="D10" s="561"/>
      <c r="E10" s="641"/>
      <c r="F10" s="639"/>
      <c r="G10" s="639"/>
      <c r="H10" s="639"/>
      <c r="I10" s="640"/>
      <c r="J10" s="38" t="str">
        <f ca="1">IF(AND('Mapa final'!$AG$22="Muy Alta",'Mapa final'!$AI$22="Leve"),CONCATENATE("R5C",'Mapa final'!$W$22),"")</f>
        <v/>
      </c>
      <c r="K10" s="39" t="str">
        <f ca="1">IF(AND('Mapa final'!$AG$23="Muy Alta",'Mapa final'!$AI$23="Leve"),CONCATENATE("R5C",'Mapa final'!$W$23),"")</f>
        <v/>
      </c>
      <c r="L10" s="39" t="str">
        <f ca="1">IF(AND('Mapa final'!$AG$24="Muy Alta",'Mapa final'!$AI$24="Leve"),CONCATENATE("R5C",'Mapa final'!$W$24),"")</f>
        <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str">
        <f ca="1">IF(AND('Mapa final'!$AG$22="Muy Alta",'Mapa final'!$AI$22="Menor"),CONCATENATE("R5C",'Mapa final'!$W$22),"")</f>
        <v/>
      </c>
      <c r="Q10" s="39" t="str">
        <f ca="1">IF(AND('Mapa final'!$AG$23="Muy Alta",'Mapa final'!$AI$23="Menor"),CONCATENATE("R5C",'Mapa final'!$W$23),"")</f>
        <v/>
      </c>
      <c r="R10" s="39" t="str">
        <f ca="1">IF(AND('Mapa final'!$AG$24="Muy Alta",'Mapa final'!$AI$24="Menor"),CONCATENATE("R5C",'Mapa final'!$W$24),"")</f>
        <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str">
        <f ca="1">IF(AND('Mapa final'!$AG$22="Muy Alta",'Mapa final'!$AI$22="Moderado"),CONCATENATE("R5C",'Mapa final'!$W$22),"")</f>
        <v/>
      </c>
      <c r="W10" s="39" t="str">
        <f ca="1">IF(AND('Mapa final'!$AG$23="Muy Alta",'Mapa final'!$AI$23="Moderado"),CONCATENATE("R5C",'Mapa final'!$W$23),"")</f>
        <v/>
      </c>
      <c r="X10" s="39" t="str">
        <f ca="1">IF(AND('Mapa final'!$AG$24="Muy Alta",'Mapa final'!$AI$24="Moderado"),CONCATENATE("R5C",'Mapa final'!$W$24),"")</f>
        <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str">
        <f ca="1">IF(AND('Mapa final'!$AG$22="Muy Alta",'Mapa final'!$AI$22="Mayor"),CONCATENATE("R5C",'Mapa final'!$W$22),"")</f>
        <v/>
      </c>
      <c r="AC10" s="39" t="str">
        <f ca="1">IF(AND('Mapa final'!$AG$23="Muy Alta",'Mapa final'!$AI$23="Mayor"),CONCATENATE("R5C",'Mapa final'!$W$23),"")</f>
        <v/>
      </c>
      <c r="AD10" s="39" t="str">
        <f ca="1">IF(AND('Mapa final'!$AG$24="Muy Alta",'Mapa final'!$AI$24="Mayor"),CONCATENATE("R5C",'Mapa final'!$W$24),"")</f>
        <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str">
        <f ca="1">IF(AND('Mapa final'!$AG$22="Muy Alta",'Mapa final'!$AI$22="Catastrófico"),CONCATENATE("R5C",'Mapa final'!$W$22),"")</f>
        <v/>
      </c>
      <c r="AI10" s="42" t="str">
        <f ca="1">IF(AND('Mapa final'!$AG$23="Muy Alta",'Mapa final'!$AI$23="Catastrófico"),CONCATENATE("R5C",'Mapa final'!$W$23),"")</f>
        <v/>
      </c>
      <c r="AJ10" s="42" t="str">
        <f ca="1">IF(AND('Mapa final'!$AG$24="Muy Alta",'Mapa final'!$AI$24="Catastrófico"),CONCATENATE("R5C",'Mapa final'!$W$24),"")</f>
        <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648"/>
      <c r="AP10" s="649"/>
      <c r="AQ10" s="649"/>
      <c r="AR10" s="649"/>
      <c r="AS10" s="649"/>
      <c r="AT10" s="65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60"/>
      <c r="C11" s="560"/>
      <c r="D11" s="561"/>
      <c r="E11" s="641"/>
      <c r="F11" s="639"/>
      <c r="G11" s="639"/>
      <c r="H11" s="639"/>
      <c r="I11" s="640"/>
      <c r="J11" s="38" t="str">
        <f ca="1">IF(AND('Mapa final'!$AG$25="Muy Alta",'Mapa final'!$AI$25="Leve"),CONCATENATE("R6C",'Mapa final'!$W$25),"")</f>
        <v/>
      </c>
      <c r="K11" s="39" t="str">
        <f ca="1">IF(AND('Mapa final'!$AG$26="Muy Alta",'Mapa final'!$AI$26="Leve"),CONCATENATE("R6C",'Mapa final'!$W$26),"")</f>
        <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str">
        <f ca="1">IF(AND('Mapa final'!$AG$25="Muy Alta",'Mapa final'!$AI$25="Menor"),CONCATENATE("R6C",'Mapa final'!$W$25),"")</f>
        <v/>
      </c>
      <c r="Q11" s="39" t="str">
        <f ca="1">IF(AND('Mapa final'!$AG$26="Muy Alta",'Mapa final'!$AI$26="Menor"),CONCATENATE("R6C",'Mapa final'!$W$26),"")</f>
        <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str">
        <f ca="1">IF(AND('Mapa final'!$AG$25="Muy Alta",'Mapa final'!$AI$25="Moderado"),CONCATENATE("R6C",'Mapa final'!$W$25),"")</f>
        <v/>
      </c>
      <c r="W11" s="39" t="str">
        <f ca="1">IF(AND('Mapa final'!$AG$26="Muy Alta",'Mapa final'!$AI$26="Moderado"),CONCATENATE("R6C",'Mapa final'!$W$26),"")</f>
        <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str">
        <f ca="1">IF(AND('Mapa final'!$AG$25="Muy Alta",'Mapa final'!$AI$25="Mayor"),CONCATENATE("R6C",'Mapa final'!$W$25),"")</f>
        <v/>
      </c>
      <c r="AC11" s="39" t="str">
        <f ca="1">IF(AND('Mapa final'!$AG$26="Muy Alta",'Mapa final'!$AI$26="Mayor"),CONCATENATE("R6C",'Mapa final'!$W$26),"")</f>
        <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str">
        <f ca="1">IF(AND('Mapa final'!$AG$25="Muy Alta",'Mapa final'!$AI$25="Catastrófico"),CONCATENATE("R6C",'Mapa final'!$W$25),"")</f>
        <v/>
      </c>
      <c r="AI11" s="42" t="str">
        <f ca="1">IF(AND('Mapa final'!$AG$26="Muy Alta",'Mapa final'!$AI$26="Catastrófico"),CONCATENATE("R6C",'Mapa final'!$W$26),"")</f>
        <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648"/>
      <c r="AP11" s="649"/>
      <c r="AQ11" s="649"/>
      <c r="AR11" s="649"/>
      <c r="AS11" s="649"/>
      <c r="AT11" s="65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60"/>
      <c r="C12" s="560"/>
      <c r="D12" s="561"/>
      <c r="E12" s="641"/>
      <c r="F12" s="639"/>
      <c r="G12" s="639"/>
      <c r="H12" s="639"/>
      <c r="I12" s="640"/>
      <c r="J12" s="38" t="str">
        <f ca="1">IF(AND('Mapa final'!$AG$27="Muy Alta",'Mapa final'!$AI$27="Leve"),CONCATENATE("R7C",'Mapa final'!$W$27),"")</f>
        <v/>
      </c>
      <c r="K12" s="39" t="str">
        <f ca="1">IF(AND('Mapa final'!$AG$28="Muy Alta",'Mapa final'!$AI$28="Leve"),CONCATENATE("R7C",'Mapa final'!$W$28),"")</f>
        <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str">
        <f ca="1">IF(AND('Mapa final'!$AG$27="Muy Alta",'Mapa final'!$AI$27="Menor"),CONCATENATE("R7C",'Mapa final'!$W$27),"")</f>
        <v/>
      </c>
      <c r="Q12" s="39" t="str">
        <f ca="1">IF(AND('Mapa final'!$AG$28="Muy Alta",'Mapa final'!$AI$28="Menor"),CONCATENATE("R7C",'Mapa final'!$W$28),"")</f>
        <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str">
        <f ca="1">IF(AND('Mapa final'!$AG$27="Muy Alta",'Mapa final'!$AI$27="Moderado"),CONCATENATE("R7C",'Mapa final'!$W$27),"")</f>
        <v/>
      </c>
      <c r="W12" s="39" t="str">
        <f ca="1">IF(AND('Mapa final'!$AG$28="Muy Alta",'Mapa final'!$AI$28="Moderado"),CONCATENATE("R7C",'Mapa final'!$W$28),"")</f>
        <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str">
        <f ca="1">IF(AND('Mapa final'!$AG$27="Muy Alta",'Mapa final'!$AI$27="Mayor"),CONCATENATE("R7C",'Mapa final'!$W$27),"")</f>
        <v/>
      </c>
      <c r="AC12" s="39" t="str">
        <f ca="1">IF(AND('Mapa final'!$AG$28="Muy Alta",'Mapa final'!$AI$28="Mayor"),CONCATENATE("R7C",'Mapa final'!$W$28),"")</f>
        <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str">
        <f ca="1">IF(AND('Mapa final'!$AG$27="Muy Alta",'Mapa final'!$AI$27="Catastrófico"),CONCATENATE("R7C",'Mapa final'!$W$27),"")</f>
        <v/>
      </c>
      <c r="AI12" s="42" t="str">
        <f ca="1">IF(AND('Mapa final'!$AG$28="Muy Alta",'Mapa final'!$AI$28="Catastrófico"),CONCATENATE("R7C",'Mapa final'!$W$28),"")</f>
        <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648"/>
      <c r="AP12" s="649"/>
      <c r="AQ12" s="649"/>
      <c r="AR12" s="649"/>
      <c r="AS12" s="649"/>
      <c r="AT12" s="65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60"/>
      <c r="C13" s="560"/>
      <c r="D13" s="561"/>
      <c r="E13" s="641"/>
      <c r="F13" s="639"/>
      <c r="G13" s="639"/>
      <c r="H13" s="639"/>
      <c r="I13" s="640"/>
      <c r="J13" s="38" t="str">
        <f ca="1">IF(AND('Mapa final'!$AG$29="Muy Alta",'Mapa final'!$AI$29="Leve"),CONCATENATE("R8C",'Mapa final'!$W$29),"")</f>
        <v/>
      </c>
      <c r="K13" s="39" t="str">
        <f ca="1">IF(AND('Mapa final'!$AG$30="Muy Alta",'Mapa final'!$AI$30="Leve"),CONCATENATE("R8C",'Mapa final'!$W$30),"")</f>
        <v/>
      </c>
      <c r="L13" s="39" t="str">
        <f ca="1">IF(AND('Mapa final'!$AG$31="Muy Alta",'Mapa final'!$AI$31="Leve"),CONCATENATE("R8C",'Mapa final'!$W$31),"")</f>
        <v/>
      </c>
      <c r="M13" s="39" t="str">
        <f ca="1">IF(AND('Mapa final'!$AG$32="Muy Alta",'Mapa final'!$AI$32="Leve"),CONCATENATE("R8C",'Mapa final'!$W$32),"")</f>
        <v/>
      </c>
      <c r="N13" s="39" t="e">
        <f>IF(AND('Mapa final'!#REF!="Muy Alta",'Mapa final'!#REF!="Leve"),CONCATENATE("R8C",'Mapa final'!#REF!),"")</f>
        <v>#REF!</v>
      </c>
      <c r="O13" s="40" t="e">
        <f>IF(AND('Mapa final'!#REF!="Muy Alta",'Mapa final'!#REF!="Leve"),CONCATENATE("R8C",'Mapa final'!#REF!),"")</f>
        <v>#REF!</v>
      </c>
      <c r="P13" s="38" t="str">
        <f ca="1">IF(AND('Mapa final'!$AG$29="Muy Alta",'Mapa final'!$AI$29="Menor"),CONCATENATE("R8C",'Mapa final'!$W$29),"")</f>
        <v/>
      </c>
      <c r="Q13" s="39" t="str">
        <f ca="1">IF(AND('Mapa final'!$AG$30="Muy Alta",'Mapa final'!$AI$30="Menor"),CONCATENATE("R8C",'Mapa final'!$W$30),"")</f>
        <v/>
      </c>
      <c r="R13" s="39" t="str">
        <f ca="1">IF(AND('Mapa final'!$AG$31="Muy Alta",'Mapa final'!$AI$31="Menor"),CONCATENATE("R8C",'Mapa final'!$W$31),"")</f>
        <v/>
      </c>
      <c r="S13" s="39" t="str">
        <f ca="1">IF(AND('Mapa final'!$AG$32="Muy Alta",'Mapa final'!$AI$32="Menor"),CONCATENATE("R8C",'Mapa final'!$W$32),"")</f>
        <v/>
      </c>
      <c r="T13" s="39" t="e">
        <f>IF(AND('Mapa final'!#REF!="Muy Alta",'Mapa final'!#REF!="Menor"),CONCATENATE("R8C",'Mapa final'!#REF!),"")</f>
        <v>#REF!</v>
      </c>
      <c r="U13" s="40" t="e">
        <f>IF(AND('Mapa final'!#REF!="Muy Alta",'Mapa final'!#REF!="Menor"),CONCATENATE("R8C",'Mapa final'!#REF!),"")</f>
        <v>#REF!</v>
      </c>
      <c r="V13" s="38" t="str">
        <f ca="1">IF(AND('Mapa final'!$AG$29="Muy Alta",'Mapa final'!$AI$29="Moderado"),CONCATENATE("R8C",'Mapa final'!$W$29),"")</f>
        <v/>
      </c>
      <c r="W13" s="39" t="str">
        <f ca="1">IF(AND('Mapa final'!$AG$30="Muy Alta",'Mapa final'!$AI$30="Moderado"),CONCATENATE("R8C",'Mapa final'!$W$30),"")</f>
        <v/>
      </c>
      <c r="X13" s="39" t="str">
        <f ca="1">IF(AND('Mapa final'!$AG$31="Muy Alta",'Mapa final'!$AI$31="Moderado"),CONCATENATE("R8C",'Mapa final'!$W$31),"")</f>
        <v/>
      </c>
      <c r="Y13" s="39" t="str">
        <f ca="1">IF(AND('Mapa final'!$AG$32="Muy Alta",'Mapa final'!$AI$32="Moderado"),CONCATENATE("R8C",'Mapa final'!$W$32),"")</f>
        <v/>
      </c>
      <c r="Z13" s="39" t="e">
        <f>IF(AND('Mapa final'!#REF!="Muy Alta",'Mapa final'!#REF!="Moderado"),CONCATENATE("R8C",'Mapa final'!#REF!),"")</f>
        <v>#REF!</v>
      </c>
      <c r="AA13" s="40" t="e">
        <f>IF(AND('Mapa final'!#REF!="Muy Alta",'Mapa final'!#REF!="Moderado"),CONCATENATE("R8C",'Mapa final'!#REF!),"")</f>
        <v>#REF!</v>
      </c>
      <c r="AB13" s="38" t="str">
        <f ca="1">IF(AND('Mapa final'!$AG$29="Muy Alta",'Mapa final'!$AI$29="Mayor"),CONCATENATE("R8C",'Mapa final'!$W$29),"")</f>
        <v/>
      </c>
      <c r="AC13" s="39" t="str">
        <f ca="1">IF(AND('Mapa final'!$AG$30="Muy Alta",'Mapa final'!$AI$30="Mayor"),CONCATENATE("R8C",'Mapa final'!$W$30),"")</f>
        <v/>
      </c>
      <c r="AD13" s="39" t="str">
        <f ca="1">IF(AND('Mapa final'!$AG$31="Muy Alta",'Mapa final'!$AI$31="Mayor"),CONCATENATE("R8C",'Mapa final'!$W$31),"")</f>
        <v/>
      </c>
      <c r="AE13" s="39" t="str">
        <f ca="1">IF(AND('Mapa final'!$AG$32="Muy Alta",'Mapa final'!$AI$32="Mayor"),CONCATENATE("R8C",'Mapa final'!$W$32),"")</f>
        <v/>
      </c>
      <c r="AF13" s="39" t="e">
        <f>IF(AND('Mapa final'!#REF!="Muy Alta",'Mapa final'!#REF!="Mayor"),CONCATENATE("R8C",'Mapa final'!#REF!),"")</f>
        <v>#REF!</v>
      </c>
      <c r="AG13" s="40" t="e">
        <f>IF(AND('Mapa final'!#REF!="Muy Alta",'Mapa final'!#REF!="Mayor"),CONCATENATE("R8C",'Mapa final'!#REF!),"")</f>
        <v>#REF!</v>
      </c>
      <c r="AH13" s="41" t="str">
        <f ca="1">IF(AND('Mapa final'!$AG$29="Muy Alta",'Mapa final'!$AI$29="Catastrófico"),CONCATENATE("R8C",'Mapa final'!$W$29),"")</f>
        <v/>
      </c>
      <c r="AI13" s="42" t="str">
        <f ca="1">IF(AND('Mapa final'!$AG$30="Muy Alta",'Mapa final'!$AI$30="Catastrófico"),CONCATENATE("R8C",'Mapa final'!$W$30),"")</f>
        <v/>
      </c>
      <c r="AJ13" s="42" t="str">
        <f ca="1">IF(AND('Mapa final'!$AG$31="Muy Alta",'Mapa final'!$AI$31="Catastrófico"),CONCATENATE("R8C",'Mapa final'!$W$31),"")</f>
        <v/>
      </c>
      <c r="AK13" s="42" t="str">
        <f ca="1">IF(AND('Mapa final'!$AG$32="Muy Alta",'Mapa final'!$AI$32="Catastrófico"),CONCATENATE("R8C",'Mapa final'!$W$32),"")</f>
        <v/>
      </c>
      <c r="AL13" s="42" t="e">
        <f>IF(AND('Mapa final'!#REF!="Muy Alta",'Mapa final'!#REF!="Catastrófico"),CONCATENATE("R8C",'Mapa final'!#REF!),"")</f>
        <v>#REF!</v>
      </c>
      <c r="AM13" s="43" t="e">
        <f>IF(AND('Mapa final'!#REF!="Muy Alta",'Mapa final'!#REF!="Catastrófico"),CONCATENATE("R8C",'Mapa final'!#REF!),"")</f>
        <v>#REF!</v>
      </c>
      <c r="AN13" s="69"/>
      <c r="AO13" s="648"/>
      <c r="AP13" s="649"/>
      <c r="AQ13" s="649"/>
      <c r="AR13" s="649"/>
      <c r="AS13" s="649"/>
      <c r="AT13" s="650"/>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60"/>
      <c r="C14" s="560"/>
      <c r="D14" s="561"/>
      <c r="E14" s="641"/>
      <c r="F14" s="639"/>
      <c r="G14" s="639"/>
      <c r="H14" s="639"/>
      <c r="I14" s="640"/>
      <c r="J14" s="38" t="str">
        <f ca="1">IF(AND('Mapa final'!$AG$33="Muy Alta",'Mapa final'!$AI$33="Leve"),CONCATENATE("R9C",'Mapa final'!$W$33),"")</f>
        <v/>
      </c>
      <c r="K14" s="39" t="str">
        <f ca="1">IF(AND('Mapa final'!$AG$34="Muy Alta",'Mapa final'!$AI$34="Leve"),CONCATENATE("R9C",'Mapa final'!$W$34),"")</f>
        <v/>
      </c>
      <c r="L14" s="39" t="str">
        <f ca="1">IF(AND('Mapa final'!$AG$35="Muy Alta",'Mapa final'!$AI$35="Leve"),CONCATENATE("R9C",'Mapa final'!$W$35),"")</f>
        <v/>
      </c>
      <c r="M14" s="39" t="str">
        <f ca="1">IF(AND('Mapa final'!$AG$36="Muy Alta",'Mapa final'!$AI$36="Leve"),CONCATENATE("R9C",'Mapa final'!$W$36),"")</f>
        <v/>
      </c>
      <c r="N14" s="39" t="str">
        <f ca="1">IF(AND('Mapa final'!$AG$37="Muy Alta",'Mapa final'!$AI$37="Leve"),CONCATENATE("R9C",'Mapa final'!$W$37),"")</f>
        <v/>
      </c>
      <c r="O14" s="40" t="e">
        <f>IF(AND('Mapa final'!#REF!="Muy Alta",'Mapa final'!#REF!="Leve"),CONCATENATE("R9C",'Mapa final'!#REF!),"")</f>
        <v>#REF!</v>
      </c>
      <c r="P14" s="38" t="str">
        <f ca="1">IF(AND('Mapa final'!$AG$33="Muy Alta",'Mapa final'!$AI$33="Menor"),CONCATENATE("R9C",'Mapa final'!$W$33),"")</f>
        <v/>
      </c>
      <c r="Q14" s="39" t="str">
        <f ca="1">IF(AND('Mapa final'!$AG$34="Muy Alta",'Mapa final'!$AI$34="Menor"),CONCATENATE("R9C",'Mapa final'!$W$34),"")</f>
        <v/>
      </c>
      <c r="R14" s="39" t="str">
        <f ca="1">IF(AND('Mapa final'!$AG$35="Muy Alta",'Mapa final'!$AI$35="Menor"),CONCATENATE("R9C",'Mapa final'!$W$35),"")</f>
        <v/>
      </c>
      <c r="S14" s="39" t="str">
        <f ca="1">IF(AND('Mapa final'!$AG$36="Muy Alta",'Mapa final'!$AI$36="Menor"),CONCATENATE("R9C",'Mapa final'!$W$36),"")</f>
        <v/>
      </c>
      <c r="T14" s="39" t="str">
        <f ca="1">IF(AND('Mapa final'!$AG$37="Muy Alta",'Mapa final'!$AI$37="Menor"),CONCATENATE("R9C",'Mapa final'!$W$37),"")</f>
        <v/>
      </c>
      <c r="U14" s="40" t="e">
        <f>IF(AND('Mapa final'!#REF!="Muy Alta",'Mapa final'!#REF!="Menor"),CONCATENATE("R9C",'Mapa final'!#REF!),"")</f>
        <v>#REF!</v>
      </c>
      <c r="V14" s="38" t="str">
        <f ca="1">IF(AND('Mapa final'!$AG$33="Muy Alta",'Mapa final'!$AI$33="Moderado"),CONCATENATE("R9C",'Mapa final'!$W$33),"")</f>
        <v/>
      </c>
      <c r="W14" s="39" t="str">
        <f ca="1">IF(AND('Mapa final'!$AG$34="Muy Alta",'Mapa final'!$AI$34="Moderado"),CONCATENATE("R9C",'Mapa final'!$W$34),"")</f>
        <v/>
      </c>
      <c r="X14" s="39" t="str">
        <f ca="1">IF(AND('Mapa final'!$AG$35="Muy Alta",'Mapa final'!$AI$35="Moderado"),CONCATENATE("R9C",'Mapa final'!$W$35),"")</f>
        <v/>
      </c>
      <c r="Y14" s="39" t="str">
        <f ca="1">IF(AND('Mapa final'!$AG$36="Muy Alta",'Mapa final'!$AI$36="Moderado"),CONCATENATE("R9C",'Mapa final'!$W$36),"")</f>
        <v/>
      </c>
      <c r="Z14" s="39" t="str">
        <f ca="1">IF(AND('Mapa final'!$AG$37="Muy Alta",'Mapa final'!$AI$37="Moderado"),CONCATENATE("R9C",'Mapa final'!$W$37),"")</f>
        <v/>
      </c>
      <c r="AA14" s="40" t="e">
        <f>IF(AND('Mapa final'!#REF!="Muy Alta",'Mapa final'!#REF!="Moderado"),CONCATENATE("R9C",'Mapa final'!#REF!),"")</f>
        <v>#REF!</v>
      </c>
      <c r="AB14" s="38" t="str">
        <f ca="1">IF(AND('Mapa final'!$AG$33="Muy Alta",'Mapa final'!$AI$33="Mayor"),CONCATENATE("R9C",'Mapa final'!$W$33),"")</f>
        <v/>
      </c>
      <c r="AC14" s="39" t="str">
        <f ca="1">IF(AND('Mapa final'!$AG$34="Muy Alta",'Mapa final'!$AI$34="Mayor"),CONCATENATE("R9C",'Mapa final'!$W$34),"")</f>
        <v/>
      </c>
      <c r="AD14" s="39" t="str">
        <f ca="1">IF(AND('Mapa final'!$AG$35="Muy Alta",'Mapa final'!$AI$35="Mayor"),CONCATENATE("R9C",'Mapa final'!$W$35),"")</f>
        <v/>
      </c>
      <c r="AE14" s="39" t="str">
        <f ca="1">IF(AND('Mapa final'!$AG$36="Muy Alta",'Mapa final'!$AI$36="Mayor"),CONCATENATE("R9C",'Mapa final'!$W$36),"")</f>
        <v/>
      </c>
      <c r="AF14" s="39" t="str">
        <f ca="1">IF(AND('Mapa final'!$AG$37="Muy Alta",'Mapa final'!$AI$37="Mayor"),CONCATENATE("R9C",'Mapa final'!$W$37),"")</f>
        <v/>
      </c>
      <c r="AG14" s="40" t="e">
        <f>IF(AND('Mapa final'!#REF!="Muy Alta",'Mapa final'!#REF!="Mayor"),CONCATENATE("R9C",'Mapa final'!#REF!),"")</f>
        <v>#REF!</v>
      </c>
      <c r="AH14" s="41" t="str">
        <f ca="1">IF(AND('Mapa final'!$AG$33="Muy Alta",'Mapa final'!$AI$33="Catastrófico"),CONCATENATE("R9C",'Mapa final'!$W$33),"")</f>
        <v/>
      </c>
      <c r="AI14" s="42" t="str">
        <f ca="1">IF(AND('Mapa final'!$AG$34="Muy Alta",'Mapa final'!$AI$34="Catastrófico"),CONCATENATE("R9C",'Mapa final'!$W$34),"")</f>
        <v/>
      </c>
      <c r="AJ14" s="42" t="str">
        <f ca="1">IF(AND('Mapa final'!$AG$35="Muy Alta",'Mapa final'!$AI$35="Catastrófico"),CONCATENATE("R9C",'Mapa final'!$W$35),"")</f>
        <v/>
      </c>
      <c r="AK14" s="42" t="str">
        <f ca="1">IF(AND('Mapa final'!$AG$36="Muy Alta",'Mapa final'!$AI$36="Catastrófico"),CONCATENATE("R9C",'Mapa final'!$W$36),"")</f>
        <v/>
      </c>
      <c r="AL14" s="42" t="str">
        <f ca="1">IF(AND('Mapa final'!$AG$37="Muy Alta",'Mapa final'!$AI$37="Catastrófico"),CONCATENATE("R9C",'Mapa final'!$W$37),"")</f>
        <v/>
      </c>
      <c r="AM14" s="43" t="e">
        <f>IF(AND('Mapa final'!#REF!="Muy Alta",'Mapa final'!#REF!="Catastrófico"),CONCATENATE("R9C",'Mapa final'!#REF!),"")</f>
        <v>#REF!</v>
      </c>
      <c r="AN14" s="69"/>
      <c r="AO14" s="648"/>
      <c r="AP14" s="649"/>
      <c r="AQ14" s="649"/>
      <c r="AR14" s="649"/>
      <c r="AS14" s="649"/>
      <c r="AT14" s="650"/>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60"/>
      <c r="C15" s="560"/>
      <c r="D15" s="561"/>
      <c r="E15" s="642"/>
      <c r="F15" s="643"/>
      <c r="G15" s="643"/>
      <c r="H15" s="643"/>
      <c r="I15" s="644"/>
      <c r="J15" s="44" t="str">
        <f ca="1">IF(AND('Mapa final'!$AG$38="Muy Alta",'Mapa final'!$AI$38="Leve"),CONCATENATE("R10C",'Mapa final'!$W$38),"")</f>
        <v/>
      </c>
      <c r="K15" s="45" t="str">
        <f ca="1">IF(AND('Mapa final'!$AG$39="Muy Alta",'Mapa final'!$AI$39="Leve"),CONCATENATE("R10C",'Mapa final'!$W$39),"")</f>
        <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str">
        <f ca="1">IF(AND('Mapa final'!$AG$38="Muy Alta",'Mapa final'!$AI$38="Menor"),CONCATENATE("R10C",'Mapa final'!$W$38),"")</f>
        <v/>
      </c>
      <c r="Q15" s="39" t="str">
        <f ca="1">IF(AND('Mapa final'!$AG$39="Muy Alta",'Mapa final'!$AI$39="Menor"),CONCATENATE("R10C",'Mapa final'!$W$39),"")</f>
        <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str">
        <f ca="1">IF(AND('Mapa final'!$AG$38="Muy Alta",'Mapa final'!$AI$38="Moderado"),CONCATENATE("R10C",'Mapa final'!$W$38),"")</f>
        <v/>
      </c>
      <c r="W15" s="45" t="str">
        <f ca="1">IF(AND('Mapa final'!$AG$39="Muy Alta",'Mapa final'!$AI$39="Moderado"),CONCATENATE("R10C",'Mapa final'!$W$39),"")</f>
        <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str">
        <f ca="1">IF(AND('Mapa final'!$AG$38="Muy Alta",'Mapa final'!$AI$38="Mayor"),CONCATENATE("R10C",'Mapa final'!$W$38),"")</f>
        <v/>
      </c>
      <c r="AC15" s="39" t="str">
        <f ca="1">IF(AND('Mapa final'!$AG$39="Muy Alta",'Mapa final'!$AI$39="Mayor"),CONCATENATE("R10C",'Mapa final'!$W$39),"")</f>
        <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str">
        <f ca="1">IF(AND('Mapa final'!$AG$38="Muy Alta",'Mapa final'!$AI$38="Catastrófico"),CONCATENATE("R10C",'Mapa final'!$W$38),"")</f>
        <v/>
      </c>
      <c r="AI15" s="48" t="str">
        <f ca="1">IF(AND('Mapa final'!$AG$39="Muy Alta",'Mapa final'!$AI$39="Catastrófico"),CONCATENATE("R10C",'Mapa final'!$W$39),"")</f>
        <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651"/>
      <c r="AP15" s="652"/>
      <c r="AQ15" s="652"/>
      <c r="AR15" s="652"/>
      <c r="AS15" s="652"/>
      <c r="AT15" s="653"/>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60"/>
      <c r="C16" s="560"/>
      <c r="D16" s="561"/>
      <c r="E16" s="635" t="s">
        <v>131</v>
      </c>
      <c r="F16" s="636"/>
      <c r="G16" s="636"/>
      <c r="H16" s="636"/>
      <c r="I16" s="636"/>
      <c r="J16" s="50" t="str">
        <f ca="1">IF(AND('Mapa final'!$AG$13="Alta",'Mapa final'!$AI$13="Leve"),CONCATENATE("R1C",'Mapa final'!$W$13),"")</f>
        <v/>
      </c>
      <c r="K16" s="51" t="str">
        <f ca="1">IF(AND('Mapa final'!$AG$14="Alta",'Mapa final'!$AI$14="Leve"),CONCATENATE("R1C",'Mapa final'!$W$14),"")</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 ca="1">IF(AND('Mapa final'!$AG$13="Alta",'Mapa final'!$AI$13="Menor"),CONCATENATE("R1C",'Mapa final'!$W$13),"")</f>
        <v/>
      </c>
      <c r="Q16" s="51" t="str">
        <f ca="1">IF(AND('Mapa final'!$AG$14="Alta",'Mapa final'!$AI$14="Menor"),CONCATENATE("R1C",'Mapa final'!$W$14),"")</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 ca="1">IF(AND('Mapa final'!$AG$13="Alta",'Mapa final'!$AI$13="Moderado"),CONCATENATE("R1C",'Mapa final'!$W$13),"")</f>
        <v/>
      </c>
      <c r="W16" s="33" t="str">
        <f ca="1">IF(AND('Mapa final'!$AG$14="Alta",'Mapa final'!$AI$14="Moderado"),CONCATENATE("R1C",'Mapa final'!$W$14),"")</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 ca="1">IF(AND('Mapa final'!$AG$13="Alta",'Mapa final'!$AI$13="Mayor"),CONCATENATE("R1C",'Mapa final'!$W$13),"")</f>
        <v/>
      </c>
      <c r="AC16" s="33" t="str">
        <f ca="1">IF(AND('Mapa final'!$AG$14="Alta",'Mapa final'!$AI$14="Mayor"),CONCATENATE("R1C",'Mapa final'!$W$14),"")</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 ca="1">IF(AND('Mapa final'!$AG$13="Alta",'Mapa final'!$AI$13="Catastrófico"),CONCATENATE("R1C",'Mapa final'!$W$13),"")</f>
        <v/>
      </c>
      <c r="AI16" s="36" t="str">
        <f ca="1">IF(AND('Mapa final'!$AG$14="Alta",'Mapa final'!$AI$14="Catastrófico"),CONCATENATE("R1C",'Mapa final'!$W$14),"")</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665" t="s">
        <v>132</v>
      </c>
      <c r="AP16" s="666"/>
      <c r="AQ16" s="666"/>
      <c r="AR16" s="666"/>
      <c r="AS16" s="666"/>
      <c r="AT16" s="667"/>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60"/>
      <c r="C17" s="560"/>
      <c r="D17" s="561"/>
      <c r="E17" s="638"/>
      <c r="F17" s="639"/>
      <c r="G17" s="639"/>
      <c r="H17" s="639"/>
      <c r="I17" s="639"/>
      <c r="J17" s="53" t="str">
        <f ca="1">IF(AND('Mapa final'!$AG$15="Alta",'Mapa final'!$AI$15="Leve"),CONCATENATE("R2C",'Mapa final'!$W$15),"")</f>
        <v/>
      </c>
      <c r="K17" s="54" t="str">
        <f ca="1">IF(AND('Mapa final'!$AG$16="Alta",'Mapa final'!$AI$16="Leve"),CONCATENATE("R2C",'Mapa final'!$W$16),"")</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 ca="1">IF(AND('Mapa final'!$AG$15="Alta",'Mapa final'!$AI$15="Menor"),CONCATENATE("R2C",'Mapa final'!$W$15),"")</f>
        <v/>
      </c>
      <c r="Q17" s="54" t="str">
        <f ca="1">IF(AND('Mapa final'!$AG$16="Alta",'Mapa final'!$AI$16="Menor"),CONCATENATE("R2C",'Mapa final'!$W$16),"")</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 ca="1">IF(AND('Mapa final'!$AG$15="Alta",'Mapa final'!$AI$15="Moderado"),CONCATENATE("R2C",'Mapa final'!$W$15),"")</f>
        <v/>
      </c>
      <c r="W17" s="39" t="str">
        <f ca="1">IF(AND('Mapa final'!$AG$16="Alta",'Mapa final'!$AI$16="Moderado"),CONCATENATE("R2C",'Mapa final'!$W$16),"")</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 ca="1">IF(AND('Mapa final'!$AG$15="Alta",'Mapa final'!$AI$15="Mayor"),CONCATENATE("R2C",'Mapa final'!$W$15),"")</f>
        <v/>
      </c>
      <c r="AC17" s="39" t="str">
        <f ca="1">IF(AND('Mapa final'!$AG$16="Alta",'Mapa final'!$AI$16="Mayor"),CONCATENATE("R2C",'Mapa final'!$W$16),"")</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 ca="1">IF(AND('Mapa final'!$AG$15="Alta",'Mapa final'!$AI$15="Catastrófico"),CONCATENATE("R2C",'Mapa final'!$W$15),"")</f>
        <v/>
      </c>
      <c r="AI17" s="42" t="str">
        <f ca="1">IF(AND('Mapa final'!$AG$16="Alta",'Mapa final'!$AI$16="Catastrófico"),CONCATENATE("R2C",'Mapa final'!$W$16),"")</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668"/>
      <c r="AP17" s="669"/>
      <c r="AQ17" s="669"/>
      <c r="AR17" s="669"/>
      <c r="AS17" s="669"/>
      <c r="AT17" s="670"/>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60"/>
      <c r="C18" s="560"/>
      <c r="D18" s="561"/>
      <c r="E18" s="641"/>
      <c r="F18" s="639"/>
      <c r="G18" s="639"/>
      <c r="H18" s="639"/>
      <c r="I18" s="639"/>
      <c r="J18" s="53" t="str">
        <f ca="1">IF(AND('Mapa final'!$AG$17="Alta",'Mapa final'!$AI$17="Leve"),CONCATENATE("R3C",'Mapa final'!$W$17),"")</f>
        <v/>
      </c>
      <c r="K18" s="54" t="str">
        <f ca="1">IF(AND('Mapa final'!$AG$18="Alta",'Mapa final'!$AI$18="Leve"),CONCATENATE("R3C",'Mapa final'!$W$18),"")</f>
        <v/>
      </c>
      <c r="L18" s="54" t="str">
        <f ca="1">IF(AND('Mapa final'!$AG$19="Alta",'Mapa final'!$AI$19="Leve"),CONCATENATE("R3C",'Mapa final'!$W$19),"")</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 ca="1">IF(AND('Mapa final'!$AG$17="Alta",'Mapa final'!$AI$17="Menor"),CONCATENATE("R3C",'Mapa final'!$W$17),"")</f>
        <v/>
      </c>
      <c r="Q18" s="54" t="str">
        <f ca="1">IF(AND('Mapa final'!$AG$18="Alta",'Mapa final'!$AI$18="Menor"),CONCATENATE("R3C",'Mapa final'!$W$18),"")</f>
        <v/>
      </c>
      <c r="R18" s="54" t="str">
        <f ca="1">IF(AND('Mapa final'!$AG$19="Alta",'Mapa final'!$AI$19="Menor"),CONCATENATE("R3C",'Mapa final'!$W$19),"")</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 ca="1">IF(AND('Mapa final'!$AG$17="Alta",'Mapa final'!$AI$17="Moderado"),CONCATENATE("R3C",'Mapa final'!$W$17),"")</f>
        <v/>
      </c>
      <c r="W18" s="39" t="str">
        <f ca="1">IF(AND('Mapa final'!$AG$18="Alta",'Mapa final'!$AI$18="Moderado"),CONCATENATE("R3C",'Mapa final'!$W$18),"")</f>
        <v/>
      </c>
      <c r="X18" s="39" t="str">
        <f ca="1">IF(AND('Mapa final'!$AG$19="Alta",'Mapa final'!$AI$19="Moderado"),CONCATENATE("R3C",'Mapa final'!$W$19),"")</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 ca="1">IF(AND('Mapa final'!$AG$17="Alta",'Mapa final'!$AI$17="Mayor"),CONCATENATE("R3C",'Mapa final'!$W$17),"")</f>
        <v/>
      </c>
      <c r="AC18" s="39" t="str">
        <f ca="1">IF(AND('Mapa final'!$AG$18="Alta",'Mapa final'!$AI$18="Mayor"),CONCATENATE("R3C",'Mapa final'!$W$18),"")</f>
        <v/>
      </c>
      <c r="AD18" s="39" t="str">
        <f ca="1">IF(AND('Mapa final'!$AG$19="Alta",'Mapa final'!$AI$19="Mayor"),CONCATENATE("R3C",'Mapa final'!$W$19),"")</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 ca="1">IF(AND('Mapa final'!$AG$17="Alta",'Mapa final'!$AI$17="Catastrófico"),CONCATENATE("R3C",'Mapa final'!$W$17),"")</f>
        <v/>
      </c>
      <c r="AI18" s="42" t="str">
        <f ca="1">IF(AND('Mapa final'!$AG$18="Alta",'Mapa final'!$AI$18="Catastrófico"),CONCATENATE("R3C",'Mapa final'!$W$18),"")</f>
        <v/>
      </c>
      <c r="AJ18" s="42" t="str">
        <f ca="1">IF(AND('Mapa final'!$AG$19="Alta",'Mapa final'!$AI$19="Catastrófico"),CONCATENATE("R3C",'Mapa final'!$W$19),"")</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668"/>
      <c r="AP18" s="669"/>
      <c r="AQ18" s="669"/>
      <c r="AR18" s="669"/>
      <c r="AS18" s="669"/>
      <c r="AT18" s="670"/>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60"/>
      <c r="C19" s="560"/>
      <c r="D19" s="561"/>
      <c r="E19" s="641"/>
      <c r="F19" s="639"/>
      <c r="G19" s="639"/>
      <c r="H19" s="639"/>
      <c r="I19" s="639"/>
      <c r="J19" s="53" t="str">
        <f ca="1">IF(AND('Mapa final'!$AG$20="Alta",'Mapa final'!$AI$20="Leve"),CONCATENATE("R4C",'Mapa final'!$W$20),"")</f>
        <v/>
      </c>
      <c r="K19" s="54" t="str">
        <f ca="1">IF(AND('Mapa final'!$AG$21="Alta",'Mapa final'!$AI$21="Leve"),CONCATENATE("R4C",'Mapa final'!$W$21),"")</f>
        <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str">
        <f ca="1">IF(AND('Mapa final'!$AG$20="Alta",'Mapa final'!$AI$20="Menor"),CONCATENATE("R4C",'Mapa final'!$W$20),"")</f>
        <v/>
      </c>
      <c r="Q19" s="54" t="str">
        <f ca="1">IF(AND('Mapa final'!$AG$21="Alta",'Mapa final'!$AI$21="Menor"),CONCATENATE("R4C",'Mapa final'!$W$21),"")</f>
        <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str">
        <f ca="1">IF(AND('Mapa final'!$AG$20="Alta",'Mapa final'!$AI$20="Moderado"),CONCATENATE("R4C",'Mapa final'!$W$20),"")</f>
        <v/>
      </c>
      <c r="W19" s="39" t="str">
        <f ca="1">IF(AND('Mapa final'!$AG$21="Alta",'Mapa final'!$AI$21="Moderado"),CONCATENATE("R4C",'Mapa final'!$W$21),"")</f>
        <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str">
        <f ca="1">IF(AND('Mapa final'!$AG$20="Alta",'Mapa final'!$AI$20="Mayor"),CONCATENATE("R4C",'Mapa final'!$W$20),"")</f>
        <v/>
      </c>
      <c r="AC19" s="39" t="str">
        <f ca="1">IF(AND('Mapa final'!$AG$21="Alta",'Mapa final'!$AI$21="Mayor"),CONCATENATE("R4C",'Mapa final'!$W$21),"")</f>
        <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str">
        <f ca="1">IF(AND('Mapa final'!$AG$20="Alta",'Mapa final'!$AI$20="Catastrófico"),CONCATENATE("R4C",'Mapa final'!$W$20),"")</f>
        <v/>
      </c>
      <c r="AI19" s="42" t="str">
        <f ca="1">IF(AND('Mapa final'!$AG$21="Alta",'Mapa final'!$AI$21="Catastrófico"),CONCATENATE("R4C",'Mapa final'!$W$21),"")</f>
        <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668"/>
      <c r="AP19" s="669"/>
      <c r="AQ19" s="669"/>
      <c r="AR19" s="669"/>
      <c r="AS19" s="669"/>
      <c r="AT19" s="670"/>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60"/>
      <c r="C20" s="560"/>
      <c r="D20" s="561"/>
      <c r="E20" s="641"/>
      <c r="F20" s="639"/>
      <c r="G20" s="639"/>
      <c r="H20" s="639"/>
      <c r="I20" s="639"/>
      <c r="J20" s="53" t="str">
        <f ca="1">IF(AND('Mapa final'!$AG$22="Alta",'Mapa final'!$AI$22="Leve"),CONCATENATE("R5C",'Mapa final'!$W$22),"")</f>
        <v/>
      </c>
      <c r="K20" s="54" t="str">
        <f ca="1">IF(AND('Mapa final'!$AG$23="Alta",'Mapa final'!$AI$23="Leve"),CONCATENATE("R5C",'Mapa final'!$W$23),"")</f>
        <v/>
      </c>
      <c r="L20" s="54" t="str">
        <f ca="1">IF(AND('Mapa final'!$AG$24="Alta",'Mapa final'!$AI$24="Leve"),CONCATENATE("R5C",'Mapa final'!$W$24),"")</f>
        <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str">
        <f ca="1">IF(AND('Mapa final'!$AG$22="Alta",'Mapa final'!$AI$22="Menor"),CONCATENATE("R5C",'Mapa final'!$W$22),"")</f>
        <v/>
      </c>
      <c r="Q20" s="54" t="str">
        <f ca="1">IF(AND('Mapa final'!$AG$23="Alta",'Mapa final'!$AI$23="Menor"),CONCATENATE("R5C",'Mapa final'!$W$23),"")</f>
        <v/>
      </c>
      <c r="R20" s="54" t="str">
        <f ca="1">IF(AND('Mapa final'!$AG$24="Alta",'Mapa final'!$AI$24="Menor"),CONCATENATE("R5C",'Mapa final'!$W$24),"")</f>
        <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str">
        <f ca="1">IF(AND('Mapa final'!$AG$22="Alta",'Mapa final'!$AI$22="Moderado"),CONCATENATE("R5C",'Mapa final'!$W$22),"")</f>
        <v/>
      </c>
      <c r="W20" s="39" t="str">
        <f ca="1">IF(AND('Mapa final'!$AG$23="Alta",'Mapa final'!$AI$23="Moderado"),CONCATENATE("R5C",'Mapa final'!$W$23),"")</f>
        <v/>
      </c>
      <c r="X20" s="39" t="str">
        <f ca="1">IF(AND('Mapa final'!$AG$24="Alta",'Mapa final'!$AI$24="Moderado"),CONCATENATE("R5C",'Mapa final'!$W$24),"")</f>
        <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str">
        <f ca="1">IF(AND('Mapa final'!$AG$22="Alta",'Mapa final'!$AI$22="Mayor"),CONCATENATE("R5C",'Mapa final'!$W$22),"")</f>
        <v/>
      </c>
      <c r="AC20" s="39" t="str">
        <f ca="1">IF(AND('Mapa final'!$AG$23="Alta",'Mapa final'!$AI$23="Mayor"),CONCATENATE("R5C",'Mapa final'!$W$23),"")</f>
        <v/>
      </c>
      <c r="AD20" s="39" t="str">
        <f ca="1">IF(AND('Mapa final'!$AG$24="Alta",'Mapa final'!$AI$24="Mayor"),CONCATENATE("R5C",'Mapa final'!$W$24),"")</f>
        <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str">
        <f ca="1">IF(AND('Mapa final'!$AG$22="Alta",'Mapa final'!$AI$22="Catastrófico"),CONCATENATE("R5C",'Mapa final'!$W$22),"")</f>
        <v/>
      </c>
      <c r="AI20" s="42" t="str">
        <f ca="1">IF(AND('Mapa final'!$AG$23="Alta",'Mapa final'!$AI$23="Catastrófico"),CONCATENATE("R5C",'Mapa final'!$W$23),"")</f>
        <v/>
      </c>
      <c r="AJ20" s="42" t="str">
        <f ca="1">IF(AND('Mapa final'!$AG$24="Alta",'Mapa final'!$AI$24="Catastrófico"),CONCATENATE("R5C",'Mapa final'!$W$24),"")</f>
        <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668"/>
      <c r="AP20" s="669"/>
      <c r="AQ20" s="669"/>
      <c r="AR20" s="669"/>
      <c r="AS20" s="669"/>
      <c r="AT20" s="670"/>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60"/>
      <c r="C21" s="560"/>
      <c r="D21" s="561"/>
      <c r="E21" s="641"/>
      <c r="F21" s="639"/>
      <c r="G21" s="639"/>
      <c r="H21" s="639"/>
      <c r="I21" s="639"/>
      <c r="J21" s="53" t="str">
        <f ca="1">IF(AND('Mapa final'!$AG$25="Alta",'Mapa final'!$AI$25="Leve"),CONCATENATE("R6C",'Mapa final'!$W$25),"")</f>
        <v/>
      </c>
      <c r="K21" s="54" t="str">
        <f ca="1">IF(AND('Mapa final'!$AG$26="Alta",'Mapa final'!$AI$26="Leve"),CONCATENATE("R6C",'Mapa final'!$W$26),"")</f>
        <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str">
        <f ca="1">IF(AND('Mapa final'!$AG$25="Alta",'Mapa final'!$AI$25="Menor"),CONCATENATE("R6C",'Mapa final'!$W$25),"")</f>
        <v/>
      </c>
      <c r="Q21" s="54" t="str">
        <f ca="1">IF(AND('Mapa final'!$AG$26="Alta",'Mapa final'!$AI$26="Menor"),CONCATENATE("R6C",'Mapa final'!$W$26),"")</f>
        <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str">
        <f ca="1">IF(AND('Mapa final'!$AG$25="Alta",'Mapa final'!$AI$25="Moderado"),CONCATENATE("R6C",'Mapa final'!$W$25),"")</f>
        <v/>
      </c>
      <c r="W21" s="39" t="str">
        <f ca="1">IF(AND('Mapa final'!$AG$26="Alta",'Mapa final'!$AI$26="Moderado"),CONCATENATE("R6C",'Mapa final'!$W$26),"")</f>
        <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str">
        <f ca="1">IF(AND('Mapa final'!$AG$25="Alta",'Mapa final'!$AI$25="Mayor"),CONCATENATE("R6C",'Mapa final'!$W$25),"")</f>
        <v/>
      </c>
      <c r="AC21" s="39" t="str">
        <f ca="1">IF(AND('Mapa final'!$AG$26="Alta",'Mapa final'!$AI$26="Mayor"),CONCATENATE("R6C",'Mapa final'!$W$26),"")</f>
        <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str">
        <f ca="1">IF(AND('Mapa final'!$AG$25="Alta",'Mapa final'!$AI$25="Catastrófico"),CONCATENATE("R6C",'Mapa final'!$W$25),"")</f>
        <v/>
      </c>
      <c r="AI21" s="42" t="str">
        <f ca="1">IF(AND('Mapa final'!$AG$26="Alta",'Mapa final'!$AI$26="Catastrófico"),CONCATENATE("R6C",'Mapa final'!$W$26),"")</f>
        <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668"/>
      <c r="AP21" s="669"/>
      <c r="AQ21" s="669"/>
      <c r="AR21" s="669"/>
      <c r="AS21" s="669"/>
      <c r="AT21" s="670"/>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60"/>
      <c r="C22" s="560"/>
      <c r="D22" s="561"/>
      <c r="E22" s="641"/>
      <c r="F22" s="639"/>
      <c r="G22" s="639"/>
      <c r="H22" s="639"/>
      <c r="I22" s="639"/>
      <c r="J22" s="53" t="str">
        <f ca="1">IF(AND('Mapa final'!$AG$27="Alta",'Mapa final'!$AI$27="Leve"),CONCATENATE("R7C",'Mapa final'!$W$27),"")</f>
        <v/>
      </c>
      <c r="K22" s="54" t="str">
        <f ca="1">IF(AND('Mapa final'!$AG$28="Alta",'Mapa final'!$AI$28="Leve"),CONCATENATE("R7C",'Mapa final'!$W$28),"")</f>
        <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str">
        <f ca="1">IF(AND('Mapa final'!$AG$27="Alta",'Mapa final'!$AI$27="Menor"),CONCATENATE("R7C",'Mapa final'!$W$27),"")</f>
        <v/>
      </c>
      <c r="Q22" s="54" t="str">
        <f ca="1">IF(AND('Mapa final'!$AG$28="Alta",'Mapa final'!$AI$28="Menor"),CONCATENATE("R7C",'Mapa final'!$W$28),"")</f>
        <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str">
        <f ca="1">IF(AND('Mapa final'!$AG$27="Alta",'Mapa final'!$AI$27="Moderado"),CONCATENATE("R7C",'Mapa final'!$W$27),"")</f>
        <v/>
      </c>
      <c r="W22" s="39" t="str">
        <f ca="1">IF(AND('Mapa final'!$AG$28="Alta",'Mapa final'!$AI$28="Moderado"),CONCATENATE("R7C",'Mapa final'!$W$28),"")</f>
        <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str">
        <f ca="1">IF(AND('Mapa final'!$AG$27="Alta",'Mapa final'!$AI$27="Mayor"),CONCATENATE("R7C",'Mapa final'!$W$27),"")</f>
        <v/>
      </c>
      <c r="AC22" s="39" t="str">
        <f ca="1">IF(AND('Mapa final'!$AG$28="Alta",'Mapa final'!$AI$28="Mayor"),CONCATENATE("R7C",'Mapa final'!$W$28),"")</f>
        <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str">
        <f ca="1">IF(AND('Mapa final'!$AG$27="Alta",'Mapa final'!$AI$27="Catastrófico"),CONCATENATE("R7C",'Mapa final'!$W$27),"")</f>
        <v/>
      </c>
      <c r="AI22" s="42" t="str">
        <f ca="1">IF(AND('Mapa final'!$AG$28="Alta",'Mapa final'!$AI$28="Catastrófico"),CONCATENATE("R7C",'Mapa final'!$W$28),"")</f>
        <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668"/>
      <c r="AP22" s="669"/>
      <c r="AQ22" s="669"/>
      <c r="AR22" s="669"/>
      <c r="AS22" s="669"/>
      <c r="AT22" s="670"/>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60"/>
      <c r="C23" s="560"/>
      <c r="D23" s="561"/>
      <c r="E23" s="641"/>
      <c r="F23" s="639"/>
      <c r="G23" s="639"/>
      <c r="H23" s="639"/>
      <c r="I23" s="639"/>
      <c r="J23" s="53" t="str">
        <f ca="1">IF(AND('Mapa final'!$AG$29="Alta",'Mapa final'!$AI$29="Leve"),CONCATENATE("R8C",'Mapa final'!$W$29),"")</f>
        <v/>
      </c>
      <c r="K23" s="54" t="str">
        <f ca="1">IF(AND('Mapa final'!$AG$30="Alta",'Mapa final'!$AI$30="Leve"),CONCATENATE("R8C",'Mapa final'!$W$30),"")</f>
        <v/>
      </c>
      <c r="L23" s="54" t="str">
        <f ca="1">IF(AND('Mapa final'!$AG$31="Alta",'Mapa final'!$AI$31="Leve"),CONCATENATE("R8C",'Mapa final'!$W$31),"")</f>
        <v/>
      </c>
      <c r="M23" s="54" t="str">
        <f ca="1">IF(AND('Mapa final'!$AG$32="Alta",'Mapa final'!$AI$32="Leve"),CONCATENATE("R8C",'Mapa final'!$W$32),"")</f>
        <v/>
      </c>
      <c r="N23" s="54" t="e">
        <f>IF(AND('Mapa final'!#REF!="Alta",'Mapa final'!#REF!="Leve"),CONCATENATE("R8C",'Mapa final'!#REF!),"")</f>
        <v>#REF!</v>
      </c>
      <c r="O23" s="55" t="e">
        <f>IF(AND('Mapa final'!#REF!="Alta",'Mapa final'!#REF!="Leve"),CONCATENATE("R8C",'Mapa final'!#REF!),"")</f>
        <v>#REF!</v>
      </c>
      <c r="P23" s="53" t="str">
        <f ca="1">IF(AND('Mapa final'!$AG$29="Alta",'Mapa final'!$AI$29="Menor"),CONCATENATE("R8C",'Mapa final'!$W$29),"")</f>
        <v/>
      </c>
      <c r="Q23" s="54" t="str">
        <f ca="1">IF(AND('Mapa final'!$AG$30="Alta",'Mapa final'!$AI$30="Menor"),CONCATENATE("R8C",'Mapa final'!$W$30),"")</f>
        <v/>
      </c>
      <c r="R23" s="54" t="str">
        <f ca="1">IF(AND('Mapa final'!$AG$31="Alta",'Mapa final'!$AI$31="Menor"),CONCATENATE("R8C",'Mapa final'!$W$31),"")</f>
        <v/>
      </c>
      <c r="S23" s="54" t="str">
        <f ca="1">IF(AND('Mapa final'!$AG$32="Alta",'Mapa final'!$AI$32="Menor"),CONCATENATE("R8C",'Mapa final'!$W$32),"")</f>
        <v/>
      </c>
      <c r="T23" s="54" t="e">
        <f>IF(AND('Mapa final'!#REF!="Alta",'Mapa final'!#REF!="Menor"),CONCATENATE("R8C",'Mapa final'!#REF!),"")</f>
        <v>#REF!</v>
      </c>
      <c r="U23" s="55" t="e">
        <f>IF(AND('Mapa final'!#REF!="Alta",'Mapa final'!#REF!="Menor"),CONCATENATE("R8C",'Mapa final'!#REF!),"")</f>
        <v>#REF!</v>
      </c>
      <c r="V23" s="38" t="str">
        <f ca="1">IF(AND('Mapa final'!$AG$29="Alta",'Mapa final'!$AI$29="Moderado"),CONCATENATE("R8C",'Mapa final'!$W$29),"")</f>
        <v/>
      </c>
      <c r="W23" s="39" t="str">
        <f ca="1">IF(AND('Mapa final'!$AG$30="Alta",'Mapa final'!$AI$30="Moderado"),CONCATENATE("R8C",'Mapa final'!$W$30),"")</f>
        <v/>
      </c>
      <c r="X23" s="39" t="str">
        <f ca="1">IF(AND('Mapa final'!$AG$31="Alta",'Mapa final'!$AI$31="Moderado"),CONCATENATE("R8C",'Mapa final'!$W$31),"")</f>
        <v/>
      </c>
      <c r="Y23" s="39" t="str">
        <f ca="1">IF(AND('Mapa final'!$AG$32="Alta",'Mapa final'!$AI$32="Moderado"),CONCATENATE("R8C",'Mapa final'!$W$32),"")</f>
        <v/>
      </c>
      <c r="Z23" s="39" t="e">
        <f>IF(AND('Mapa final'!#REF!="Alta",'Mapa final'!#REF!="Moderado"),CONCATENATE("R8C",'Mapa final'!#REF!),"")</f>
        <v>#REF!</v>
      </c>
      <c r="AA23" s="40" t="e">
        <f>IF(AND('Mapa final'!#REF!="Alta",'Mapa final'!#REF!="Moderado"),CONCATENATE("R8C",'Mapa final'!#REF!),"")</f>
        <v>#REF!</v>
      </c>
      <c r="AB23" s="38" t="str">
        <f ca="1">IF(AND('Mapa final'!$AG$29="Alta",'Mapa final'!$AI$29="Mayor"),CONCATENATE("R8C",'Mapa final'!$W$29),"")</f>
        <v/>
      </c>
      <c r="AC23" s="39" t="str">
        <f ca="1">IF(AND('Mapa final'!$AG$30="Alta",'Mapa final'!$AI$30="Mayor"),CONCATENATE("R8C",'Mapa final'!$W$30),"")</f>
        <v/>
      </c>
      <c r="AD23" s="39" t="str">
        <f ca="1">IF(AND('Mapa final'!$AG$31="Alta",'Mapa final'!$AI$31="Mayor"),CONCATENATE("R8C",'Mapa final'!$W$31),"")</f>
        <v/>
      </c>
      <c r="AE23" s="39" t="str">
        <f ca="1">IF(AND('Mapa final'!$AG$32="Alta",'Mapa final'!$AI$32="Mayor"),CONCATENATE("R8C",'Mapa final'!$W$32),"")</f>
        <v/>
      </c>
      <c r="AF23" s="39" t="e">
        <f>IF(AND('Mapa final'!#REF!="Alta",'Mapa final'!#REF!="Mayor"),CONCATENATE("R8C",'Mapa final'!#REF!),"")</f>
        <v>#REF!</v>
      </c>
      <c r="AG23" s="40" t="e">
        <f>IF(AND('Mapa final'!#REF!="Alta",'Mapa final'!#REF!="Mayor"),CONCATENATE("R8C",'Mapa final'!#REF!),"")</f>
        <v>#REF!</v>
      </c>
      <c r="AH23" s="41" t="str">
        <f ca="1">IF(AND('Mapa final'!$AG$29="Alta",'Mapa final'!$AI$29="Catastrófico"),CONCATENATE("R8C",'Mapa final'!$W$29),"")</f>
        <v/>
      </c>
      <c r="AI23" s="42" t="str">
        <f ca="1">IF(AND('Mapa final'!$AG$30="Alta",'Mapa final'!$AI$30="Catastrófico"),CONCATENATE("R8C",'Mapa final'!$W$30),"")</f>
        <v/>
      </c>
      <c r="AJ23" s="42" t="str">
        <f ca="1">IF(AND('Mapa final'!$AG$31="Alta",'Mapa final'!$AI$31="Catastrófico"),CONCATENATE("R8C",'Mapa final'!$W$31),"")</f>
        <v/>
      </c>
      <c r="AK23" s="42" t="str">
        <f ca="1">IF(AND('Mapa final'!$AG$32="Alta",'Mapa final'!$AI$32="Catastrófico"),CONCATENATE("R8C",'Mapa final'!$W$32),"")</f>
        <v/>
      </c>
      <c r="AL23" s="42" t="e">
        <f>IF(AND('Mapa final'!#REF!="Alta",'Mapa final'!#REF!="Catastrófico"),CONCATENATE("R8C",'Mapa final'!#REF!),"")</f>
        <v>#REF!</v>
      </c>
      <c r="AM23" s="43" t="e">
        <f>IF(AND('Mapa final'!#REF!="Alta",'Mapa final'!#REF!="Catastrófico"),CONCATENATE("R8C",'Mapa final'!#REF!),"")</f>
        <v>#REF!</v>
      </c>
      <c r="AN23" s="69"/>
      <c r="AO23" s="668"/>
      <c r="AP23" s="669"/>
      <c r="AQ23" s="669"/>
      <c r="AR23" s="669"/>
      <c r="AS23" s="669"/>
      <c r="AT23" s="670"/>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60"/>
      <c r="C24" s="560"/>
      <c r="D24" s="561"/>
      <c r="E24" s="641"/>
      <c r="F24" s="639"/>
      <c r="G24" s="639"/>
      <c r="H24" s="639"/>
      <c r="I24" s="639"/>
      <c r="J24" s="53" t="str">
        <f ca="1">IF(AND('Mapa final'!$AG$33="Alta",'Mapa final'!$AI$33="Leve"),CONCATENATE("R9C",'Mapa final'!$W$33),"")</f>
        <v/>
      </c>
      <c r="K24" s="54" t="str">
        <f ca="1">IF(AND('Mapa final'!$AG$34="Alta",'Mapa final'!$AI$34="Leve"),CONCATENATE("R9C",'Mapa final'!$W$34),"")</f>
        <v/>
      </c>
      <c r="L24" s="54" t="str">
        <f ca="1">IF(AND('Mapa final'!$AG$35="Alta",'Mapa final'!$AI$35="Leve"),CONCATENATE("R9C",'Mapa final'!$W$35),"")</f>
        <v/>
      </c>
      <c r="M24" s="54" t="str">
        <f ca="1">IF(AND('Mapa final'!$AG$36="Alta",'Mapa final'!$AI$36="Leve"),CONCATENATE("R9C",'Mapa final'!$W$36),"")</f>
        <v/>
      </c>
      <c r="N24" s="54" t="str">
        <f ca="1">IF(AND('Mapa final'!$AG$37="Alta",'Mapa final'!$AI$37="Leve"),CONCATENATE("R9C",'Mapa final'!$W$37),"")</f>
        <v/>
      </c>
      <c r="O24" s="55" t="e">
        <f>IF(AND('Mapa final'!#REF!="Alta",'Mapa final'!#REF!="Leve"),CONCATENATE("R9C",'Mapa final'!#REF!),"")</f>
        <v>#REF!</v>
      </c>
      <c r="P24" s="53" t="str">
        <f ca="1">IF(AND('Mapa final'!$AG$33="Alta",'Mapa final'!$AI$33="Menor"),CONCATENATE("R9C",'Mapa final'!$W$33),"")</f>
        <v/>
      </c>
      <c r="Q24" s="54" t="str">
        <f ca="1">IF(AND('Mapa final'!$AG$34="Alta",'Mapa final'!$AI$34="Menor"),CONCATENATE("R9C",'Mapa final'!$W$34),"")</f>
        <v/>
      </c>
      <c r="R24" s="54" t="str">
        <f ca="1">IF(AND('Mapa final'!$AG$35="Alta",'Mapa final'!$AI$35="Menor"),CONCATENATE("R9C",'Mapa final'!$W$35),"")</f>
        <v/>
      </c>
      <c r="S24" s="54" t="str">
        <f ca="1">IF(AND('Mapa final'!$AG$36="Alta",'Mapa final'!$AI$36="Menor"),CONCATENATE("R9C",'Mapa final'!$W$36),"")</f>
        <v/>
      </c>
      <c r="T24" s="54" t="str">
        <f ca="1">IF(AND('Mapa final'!$AG$37="Alta",'Mapa final'!$AI$37="Menor"),CONCATENATE("R9C",'Mapa final'!$W$37),"")</f>
        <v/>
      </c>
      <c r="U24" s="55" t="e">
        <f>IF(AND('Mapa final'!#REF!="Alta",'Mapa final'!#REF!="Menor"),CONCATENATE("R9C",'Mapa final'!#REF!),"")</f>
        <v>#REF!</v>
      </c>
      <c r="V24" s="38" t="str">
        <f ca="1">IF(AND('Mapa final'!$AG$33="Alta",'Mapa final'!$AI$33="Moderado"),CONCATENATE("R9C",'Mapa final'!$W$33),"")</f>
        <v/>
      </c>
      <c r="W24" s="39" t="str">
        <f ca="1">IF(AND('Mapa final'!$AG$34="Alta",'Mapa final'!$AI$34="Moderado"),CONCATENATE("R9C",'Mapa final'!$W$34),"")</f>
        <v/>
      </c>
      <c r="X24" s="39" t="str">
        <f ca="1">IF(AND('Mapa final'!$AG$35="Alta",'Mapa final'!$AI$35="Moderado"),CONCATENATE("R9C",'Mapa final'!$W$35),"")</f>
        <v/>
      </c>
      <c r="Y24" s="39" t="str">
        <f ca="1">IF(AND('Mapa final'!$AG$36="Alta",'Mapa final'!$AI$36="Moderado"),CONCATENATE("R9C",'Mapa final'!$W$36),"")</f>
        <v/>
      </c>
      <c r="Z24" s="39" t="str">
        <f ca="1">IF(AND('Mapa final'!$AG$37="Alta",'Mapa final'!$AI$37="Moderado"),CONCATENATE("R9C",'Mapa final'!$W$37),"")</f>
        <v/>
      </c>
      <c r="AA24" s="40" t="e">
        <f>IF(AND('Mapa final'!#REF!="Alta",'Mapa final'!#REF!="Moderado"),CONCATENATE("R9C",'Mapa final'!#REF!),"")</f>
        <v>#REF!</v>
      </c>
      <c r="AB24" s="38" t="str">
        <f ca="1">IF(AND('Mapa final'!$AG$33="Alta",'Mapa final'!$AI$33="Mayor"),CONCATENATE("R9C",'Mapa final'!$W$33),"")</f>
        <v/>
      </c>
      <c r="AC24" s="39" t="str">
        <f ca="1">IF(AND('Mapa final'!$AG$34="Alta",'Mapa final'!$AI$34="Mayor"),CONCATENATE("R9C",'Mapa final'!$W$34),"")</f>
        <v/>
      </c>
      <c r="AD24" s="39" t="str">
        <f ca="1">IF(AND('Mapa final'!$AG$35="Alta",'Mapa final'!$AI$35="Mayor"),CONCATENATE("R9C",'Mapa final'!$W$35),"")</f>
        <v/>
      </c>
      <c r="AE24" s="39" t="str">
        <f ca="1">IF(AND('Mapa final'!$AG$36="Alta",'Mapa final'!$AI$36="Mayor"),CONCATENATE("R9C",'Mapa final'!$W$36),"")</f>
        <v/>
      </c>
      <c r="AF24" s="39" t="str">
        <f ca="1">IF(AND('Mapa final'!$AG$37="Alta",'Mapa final'!$AI$37="Mayor"),CONCATENATE("R9C",'Mapa final'!$W$37),"")</f>
        <v/>
      </c>
      <c r="AG24" s="40" t="e">
        <f>IF(AND('Mapa final'!#REF!="Alta",'Mapa final'!#REF!="Mayor"),CONCATENATE("R9C",'Mapa final'!#REF!),"")</f>
        <v>#REF!</v>
      </c>
      <c r="AH24" s="41" t="str">
        <f ca="1">IF(AND('Mapa final'!$AG$33="Alta",'Mapa final'!$AI$33="Catastrófico"),CONCATENATE("R9C",'Mapa final'!$W$33),"")</f>
        <v/>
      </c>
      <c r="AI24" s="42" t="str">
        <f ca="1">IF(AND('Mapa final'!$AG$34="Alta",'Mapa final'!$AI$34="Catastrófico"),CONCATENATE("R9C",'Mapa final'!$W$34),"")</f>
        <v/>
      </c>
      <c r="AJ24" s="42" t="str">
        <f ca="1">IF(AND('Mapa final'!$AG$35="Alta",'Mapa final'!$AI$35="Catastrófico"),CONCATENATE("R9C",'Mapa final'!$W$35),"")</f>
        <v/>
      </c>
      <c r="AK24" s="42" t="str">
        <f ca="1">IF(AND('Mapa final'!$AG$36="Alta",'Mapa final'!$AI$36="Catastrófico"),CONCATENATE("R9C",'Mapa final'!$W$36),"")</f>
        <v/>
      </c>
      <c r="AL24" s="42" t="str">
        <f ca="1">IF(AND('Mapa final'!$AG$37="Alta",'Mapa final'!$AI$37="Catastrófico"),CONCATENATE("R9C",'Mapa final'!$W$37),"")</f>
        <v/>
      </c>
      <c r="AM24" s="43" t="e">
        <f>IF(AND('Mapa final'!#REF!="Alta",'Mapa final'!#REF!="Catastrófico"),CONCATENATE("R9C",'Mapa final'!#REF!),"")</f>
        <v>#REF!</v>
      </c>
      <c r="AN24" s="69"/>
      <c r="AO24" s="668"/>
      <c r="AP24" s="669"/>
      <c r="AQ24" s="669"/>
      <c r="AR24" s="669"/>
      <c r="AS24" s="669"/>
      <c r="AT24" s="670"/>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60"/>
      <c r="C25" s="560"/>
      <c r="D25" s="561"/>
      <c r="E25" s="642"/>
      <c r="F25" s="643"/>
      <c r="G25" s="643"/>
      <c r="H25" s="643"/>
      <c r="I25" s="643"/>
      <c r="J25" s="56" t="str">
        <f ca="1">IF(AND('Mapa final'!$AG$38="Alta",'Mapa final'!$AI$38="Leve"),CONCATENATE("R10C",'Mapa final'!$W$38),"")</f>
        <v/>
      </c>
      <c r="K25" s="57" t="str">
        <f ca="1">IF(AND('Mapa final'!$AG$39="Alta",'Mapa final'!$AI$39="Leve"),CONCATENATE("R10C",'Mapa final'!$W$39),"")</f>
        <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str">
        <f ca="1">IF(AND('Mapa final'!$AG$38="Alta",'Mapa final'!$AI$38="Menor"),CONCATENATE("R10C",'Mapa final'!$W$38),"")</f>
        <v/>
      </c>
      <c r="Q25" s="57" t="str">
        <f ca="1">IF(AND('Mapa final'!$AG$39="Alta",'Mapa final'!$AI$39="Menor"),CONCATENATE("R10C",'Mapa final'!$W$39),"")</f>
        <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str">
        <f ca="1">IF(AND('Mapa final'!$AG$38="Alta",'Mapa final'!$AI$38="Moderado"),CONCATENATE("R10C",'Mapa final'!$W$38),"")</f>
        <v/>
      </c>
      <c r="W25" s="45" t="str">
        <f ca="1">IF(AND('Mapa final'!$AG$39="Alta",'Mapa final'!$AI$39="Moderado"),CONCATENATE("R10C",'Mapa final'!$W$39),"")</f>
        <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str">
        <f ca="1">IF(AND('Mapa final'!$AG$38="Alta",'Mapa final'!$AI$38="Mayor"),CONCATENATE("R10C",'Mapa final'!$W$38),"")</f>
        <v/>
      </c>
      <c r="AC25" s="45" t="str">
        <f ca="1">IF(AND('Mapa final'!$AG$39="Alta",'Mapa final'!$AI$39="Mayor"),CONCATENATE("R10C",'Mapa final'!$W$39),"")</f>
        <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str">
        <f ca="1">IF(AND('Mapa final'!$AG$38="Alta",'Mapa final'!$AI$38="Catastrófico"),CONCATENATE("R10C",'Mapa final'!$W$38),"")</f>
        <v/>
      </c>
      <c r="AI25" s="48" t="str">
        <f ca="1">IF(AND('Mapa final'!$AG$39="Alta",'Mapa final'!$AI$39="Catastrófico"),CONCATENATE("R10C",'Mapa final'!$W$39),"")</f>
        <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671"/>
      <c r="AP25" s="672"/>
      <c r="AQ25" s="672"/>
      <c r="AR25" s="672"/>
      <c r="AS25" s="672"/>
      <c r="AT25" s="673"/>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60"/>
      <c r="C26" s="560"/>
      <c r="D26" s="561"/>
      <c r="E26" s="635" t="s">
        <v>133</v>
      </c>
      <c r="F26" s="636"/>
      <c r="G26" s="636"/>
      <c r="H26" s="636"/>
      <c r="I26" s="637"/>
      <c r="J26" s="50" t="str">
        <f ca="1">IF(AND('Mapa final'!$AG$13="Media",'Mapa final'!$AI$13="Leve"),CONCATENATE("R1C",'Mapa final'!$W$13),"")</f>
        <v/>
      </c>
      <c r="K26" s="51" t="str">
        <f ca="1">IF(AND('Mapa final'!$AG$14="Media",'Mapa final'!$AI$14="Leve"),CONCATENATE("R1C",'Mapa final'!$W$14),"")</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 ca="1">IF(AND('Mapa final'!$AG$13="Media",'Mapa final'!$AI$13="Menor"),CONCATENATE("R1C",'Mapa final'!$W$13),"")</f>
        <v>R1C1</v>
      </c>
      <c r="Q26" s="51" t="str">
        <f ca="1">IF(AND('Mapa final'!$AG$14="Media",'Mapa final'!$AI$14="Menor"),CONCATENATE("R1C",'Mapa final'!$W$14),"")</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 ca="1">IF(AND('Mapa final'!$AG$13="Media",'Mapa final'!$AI$13="Moderado"),CONCATENATE("R1C",'Mapa final'!$W$13),"")</f>
        <v/>
      </c>
      <c r="W26" s="51" t="str">
        <f ca="1">IF(AND('Mapa final'!$AG$14="Media",'Mapa final'!$AI$14="Moderado"),CONCATENATE("R1C",'Mapa final'!$W$14),"")</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 ca="1">IF(AND('Mapa final'!$AG$13="Media",'Mapa final'!$AI$13="Mayor"),CONCATENATE("R1C",'Mapa final'!$W$13),"")</f>
        <v/>
      </c>
      <c r="AC26" s="33" t="str">
        <f ca="1">IF(AND('Mapa final'!$AG$14="Media",'Mapa final'!$AI$14="Mayor"),CONCATENATE("R1C",'Mapa final'!$W$14),"")</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 ca="1">IF(AND('Mapa final'!$AG$13="Media",'Mapa final'!$AI$13="Catastrófico"),CONCATENATE("R1C",'Mapa final'!$W$13),"")</f>
        <v/>
      </c>
      <c r="AI26" s="36" t="str">
        <f ca="1">IF(AND('Mapa final'!$AG$14="Media",'Mapa final'!$AI$14="Catastrófico"),CONCATENATE("R1C",'Mapa final'!$W$14),"")</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674" t="s">
        <v>134</v>
      </c>
      <c r="AP26" s="675"/>
      <c r="AQ26" s="675"/>
      <c r="AR26" s="675"/>
      <c r="AS26" s="675"/>
      <c r="AT26" s="676"/>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60"/>
      <c r="C27" s="560"/>
      <c r="D27" s="561"/>
      <c r="E27" s="638"/>
      <c r="F27" s="639"/>
      <c r="G27" s="639"/>
      <c r="H27" s="639"/>
      <c r="I27" s="640"/>
      <c r="J27" s="53" t="str">
        <f ca="1">IF(AND('Mapa final'!$AG$15="Media",'Mapa final'!$AI$15="Leve"),CONCATENATE("R2C",'Mapa final'!$W$15),"")</f>
        <v/>
      </c>
      <c r="K27" s="54" t="str">
        <f ca="1">IF(AND('Mapa final'!$AG$16="Media",'Mapa final'!$AI$16="Leve"),CONCATENATE("R2C",'Mapa final'!$W$16),"")</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 ca="1">IF(AND('Mapa final'!$AG$15="Media",'Mapa final'!$AI$15="Menor"),CONCATENATE("R2C",'Mapa final'!$W$15),"")</f>
        <v/>
      </c>
      <c r="Q27" s="54" t="str">
        <f ca="1">IF(AND('Mapa final'!$AG$16="Media",'Mapa final'!$AI$16="Menor"),CONCATENATE("R2C",'Mapa final'!$W$16),"")</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 ca="1">IF(AND('Mapa final'!$AG$15="Media",'Mapa final'!$AI$15="Moderado"),CONCATENATE("R2C",'Mapa final'!$W$15),"")</f>
        <v/>
      </c>
      <c r="W27" s="54" t="str">
        <f ca="1">IF(AND('Mapa final'!$AG$16="Media",'Mapa final'!$AI$16="Moderado"),CONCATENATE("R2C",'Mapa final'!$W$16),"")</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 ca="1">IF(AND('Mapa final'!$AG$15="Media",'Mapa final'!$AI$15="Mayor"),CONCATENATE("R2C",'Mapa final'!$W$15),"")</f>
        <v/>
      </c>
      <c r="AC27" s="39" t="str">
        <f ca="1">IF(AND('Mapa final'!$AG$16="Media",'Mapa final'!$AI$16="Mayor"),CONCATENATE("R2C",'Mapa final'!$W$16),"")</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 ca="1">IF(AND('Mapa final'!$AG$15="Media",'Mapa final'!$AI$15="Catastrófico"),CONCATENATE("R2C",'Mapa final'!$W$15),"")</f>
        <v/>
      </c>
      <c r="AI27" s="42" t="str">
        <f ca="1">IF(AND('Mapa final'!$AG$16="Media",'Mapa final'!$AI$16="Catastrófico"),CONCATENATE("R2C",'Mapa final'!$W$16),"")</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677"/>
      <c r="AP27" s="678"/>
      <c r="AQ27" s="678"/>
      <c r="AR27" s="678"/>
      <c r="AS27" s="678"/>
      <c r="AT27" s="679"/>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60"/>
      <c r="C28" s="560"/>
      <c r="D28" s="561"/>
      <c r="E28" s="641"/>
      <c r="F28" s="639"/>
      <c r="G28" s="639"/>
      <c r="H28" s="639"/>
      <c r="I28" s="640"/>
      <c r="J28" s="53" t="str">
        <f ca="1">IF(AND('Mapa final'!$AG$17="Media",'Mapa final'!$AI$17="Leve"),CONCATENATE("R3C",'Mapa final'!$W$17),"")</f>
        <v/>
      </c>
      <c r="K28" s="54" t="str">
        <f ca="1">IF(AND('Mapa final'!$AG$18="Media",'Mapa final'!$AI$18="Leve"),CONCATENATE("R3C",'Mapa final'!$W$18),"")</f>
        <v/>
      </c>
      <c r="L28" s="54" t="str">
        <f ca="1">IF(AND('Mapa final'!$AG$19="Media",'Mapa final'!$AI$19="Leve"),CONCATENATE("R3C",'Mapa final'!$W$19),"")</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 ca="1">IF(AND('Mapa final'!$AG$17="Media",'Mapa final'!$AI$17="Menor"),CONCATENATE("R3C",'Mapa final'!$W$17),"")</f>
        <v/>
      </c>
      <c r="Q28" s="54" t="str">
        <f ca="1">IF(AND('Mapa final'!$AG$18="Media",'Mapa final'!$AI$18="Menor"),CONCATENATE("R3C",'Mapa final'!$W$18),"")</f>
        <v/>
      </c>
      <c r="R28" s="54" t="str">
        <f ca="1">IF(AND('Mapa final'!$AG$19="Media",'Mapa final'!$AI$19="Menor"),CONCATENATE("R3C",'Mapa final'!$W$19),"")</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 ca="1">IF(AND('Mapa final'!$AG$17="Media",'Mapa final'!$AI$17="Moderado"),CONCATENATE("R3C",'Mapa final'!$W$17),"")</f>
        <v/>
      </c>
      <c r="W28" s="54" t="str">
        <f ca="1">IF(AND('Mapa final'!$AG$18="Media",'Mapa final'!$AI$18="Moderado"),CONCATENATE("R3C",'Mapa final'!$W$18),"")</f>
        <v/>
      </c>
      <c r="X28" s="54" t="str">
        <f ca="1">IF(AND('Mapa final'!$AG$19="Media",'Mapa final'!$AI$19="Moderado"),CONCATENATE("R3C",'Mapa final'!$W$19),"")</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 ca="1">IF(AND('Mapa final'!$AG$17="Media",'Mapa final'!$AI$17="Mayor"),CONCATENATE("R3C",'Mapa final'!$W$17),"")</f>
        <v/>
      </c>
      <c r="AC28" s="39" t="str">
        <f ca="1">IF(AND('Mapa final'!$AG$18="Media",'Mapa final'!$AI$18="Mayor"),CONCATENATE("R3C",'Mapa final'!$W$18),"")</f>
        <v/>
      </c>
      <c r="AD28" s="39" t="str">
        <f ca="1">IF(AND('Mapa final'!$AG$19="Media",'Mapa final'!$AI$19="Mayor"),CONCATENATE("R3C",'Mapa final'!$W$19),"")</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 ca="1">IF(AND('Mapa final'!$AG$17="Media",'Mapa final'!$AI$17="Catastrófico"),CONCATENATE("R3C",'Mapa final'!$W$17),"")</f>
        <v/>
      </c>
      <c r="AI28" s="42" t="str">
        <f ca="1">IF(AND('Mapa final'!$AG$18="Media",'Mapa final'!$AI$18="Catastrófico"),CONCATENATE("R3C",'Mapa final'!$W$18),"")</f>
        <v/>
      </c>
      <c r="AJ28" s="42" t="str">
        <f ca="1">IF(AND('Mapa final'!$AG$19="Media",'Mapa final'!$AI$19="Catastrófico"),CONCATENATE("R3C",'Mapa final'!$W$19),"")</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677"/>
      <c r="AP28" s="678"/>
      <c r="AQ28" s="678"/>
      <c r="AR28" s="678"/>
      <c r="AS28" s="678"/>
      <c r="AT28" s="679"/>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60"/>
      <c r="C29" s="560"/>
      <c r="D29" s="561"/>
      <c r="E29" s="641"/>
      <c r="F29" s="639"/>
      <c r="G29" s="639"/>
      <c r="H29" s="639"/>
      <c r="I29" s="640"/>
      <c r="J29" s="53" t="str">
        <f ca="1">IF(AND('Mapa final'!$AG$20="Media",'Mapa final'!$AI$20="Leve"),CONCATENATE("R4C",'Mapa final'!$W$20),"")</f>
        <v/>
      </c>
      <c r="K29" s="54" t="str">
        <f ca="1">IF(AND('Mapa final'!$AG$21="Media",'Mapa final'!$AI$21="Leve"),CONCATENATE("R4C",'Mapa final'!$W$21),"")</f>
        <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str">
        <f ca="1">IF(AND('Mapa final'!$AG$20="Media",'Mapa final'!$AI$20="Menor"),CONCATENATE("R4C",'Mapa final'!$W$20),"")</f>
        <v/>
      </c>
      <c r="Q29" s="54" t="str">
        <f ca="1">IF(AND('Mapa final'!$AG$21="Media",'Mapa final'!$AI$21="Menor"),CONCATENATE("R4C",'Mapa final'!$W$21),"")</f>
        <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str">
        <f ca="1">IF(AND('Mapa final'!$AG$20="Media",'Mapa final'!$AI$20="Moderado"),CONCATENATE("R4C",'Mapa final'!$W$20),"")</f>
        <v/>
      </c>
      <c r="W29" s="54" t="str">
        <f ca="1">IF(AND('Mapa final'!$AG$21="Media",'Mapa final'!$AI$21="Moderado"),CONCATENATE("R4C",'Mapa final'!$W$21),"")</f>
        <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str">
        <f ca="1">IF(AND('Mapa final'!$AG$20="Media",'Mapa final'!$AI$20="Mayor"),CONCATENATE("R4C",'Mapa final'!$W$20),"")</f>
        <v/>
      </c>
      <c r="AC29" s="39" t="str">
        <f ca="1">IF(AND('Mapa final'!$AG$21="Media",'Mapa final'!$AI$21="Mayor"),CONCATENATE("R4C",'Mapa final'!$W$21),"")</f>
        <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str">
        <f ca="1">IF(AND('Mapa final'!$AG$20="Media",'Mapa final'!$AI$20="Catastrófico"),CONCATENATE("R4C",'Mapa final'!$W$20),"")</f>
        <v/>
      </c>
      <c r="AI29" s="42" t="str">
        <f ca="1">IF(AND('Mapa final'!$AG$21="Media",'Mapa final'!$AI$21="Catastrófico"),CONCATENATE("R4C",'Mapa final'!$W$21),"")</f>
        <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677"/>
      <c r="AP29" s="678"/>
      <c r="AQ29" s="678"/>
      <c r="AR29" s="678"/>
      <c r="AS29" s="678"/>
      <c r="AT29" s="679"/>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60"/>
      <c r="C30" s="560"/>
      <c r="D30" s="561"/>
      <c r="E30" s="641"/>
      <c r="F30" s="639"/>
      <c r="G30" s="639"/>
      <c r="H30" s="639"/>
      <c r="I30" s="640"/>
      <c r="J30" s="53" t="str">
        <f ca="1">IF(AND('Mapa final'!$AG$22="Media",'Mapa final'!$AI$22="Leve"),CONCATENATE("R5C",'Mapa final'!$W$22),"")</f>
        <v/>
      </c>
      <c r="K30" s="54" t="str">
        <f ca="1">IF(AND('Mapa final'!$AG$23="Media",'Mapa final'!$AI$23="Leve"),CONCATENATE("R5C",'Mapa final'!$W$23),"")</f>
        <v/>
      </c>
      <c r="L30" s="54" t="str">
        <f ca="1">IF(AND('Mapa final'!$AG$24="Media",'Mapa final'!$AI$24="Leve"),CONCATENATE("R5C",'Mapa final'!$W$24),"")</f>
        <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str">
        <f ca="1">IF(AND('Mapa final'!$AG$22="Media",'Mapa final'!$AI$22="Menor"),CONCATENATE("R5C",'Mapa final'!$W$22),"")</f>
        <v/>
      </c>
      <c r="Q30" s="54" t="str">
        <f ca="1">IF(AND('Mapa final'!$AG$23="Media",'Mapa final'!$AI$23="Menor"),CONCATENATE("R5C",'Mapa final'!$W$23),"")</f>
        <v/>
      </c>
      <c r="R30" s="54" t="str">
        <f ca="1">IF(AND('Mapa final'!$AG$24="Media",'Mapa final'!$AI$24="Menor"),CONCATENATE("R5C",'Mapa final'!$W$24),"")</f>
        <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str">
        <f ca="1">IF(AND('Mapa final'!$AG$22="Media",'Mapa final'!$AI$22="Moderado"),CONCATENATE("R5C",'Mapa final'!$W$22),"")</f>
        <v/>
      </c>
      <c r="W30" s="54" t="str">
        <f ca="1">IF(AND('Mapa final'!$AG$23="Media",'Mapa final'!$AI$23="Moderado"),CONCATENATE("R5C",'Mapa final'!$W$23),"")</f>
        <v/>
      </c>
      <c r="X30" s="54" t="str">
        <f ca="1">IF(AND('Mapa final'!$AG$24="Media",'Mapa final'!$AI$24="Moderado"),CONCATENATE("R5C",'Mapa final'!$W$24),"")</f>
        <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str">
        <f ca="1">IF(AND('Mapa final'!$AG$22="Media",'Mapa final'!$AI$22="Mayor"),CONCATENATE("R5C",'Mapa final'!$W$22),"")</f>
        <v/>
      </c>
      <c r="AC30" s="39" t="str">
        <f ca="1">IF(AND('Mapa final'!$AG$23="Media",'Mapa final'!$AI$23="Mayor"),CONCATENATE("R5C",'Mapa final'!$W$23),"")</f>
        <v/>
      </c>
      <c r="AD30" s="39" t="str">
        <f ca="1">IF(AND('Mapa final'!$AG$24="Media",'Mapa final'!$AI$24="Mayor"),CONCATENATE("R5C",'Mapa final'!$W$24),"")</f>
        <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str">
        <f ca="1">IF(AND('Mapa final'!$AG$22="Media",'Mapa final'!$AI$22="Catastrófico"),CONCATENATE("R5C",'Mapa final'!$W$22),"")</f>
        <v/>
      </c>
      <c r="AI30" s="42" t="str">
        <f ca="1">IF(AND('Mapa final'!$AG$23="Media",'Mapa final'!$AI$23="Catastrófico"),CONCATENATE("R5C",'Mapa final'!$W$23),"")</f>
        <v/>
      </c>
      <c r="AJ30" s="42" t="str">
        <f ca="1">IF(AND('Mapa final'!$AG$24="Media",'Mapa final'!$AI$24="Catastrófico"),CONCATENATE("R5C",'Mapa final'!$W$24),"")</f>
        <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677"/>
      <c r="AP30" s="678"/>
      <c r="AQ30" s="678"/>
      <c r="AR30" s="678"/>
      <c r="AS30" s="678"/>
      <c r="AT30" s="67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60"/>
      <c r="C31" s="560"/>
      <c r="D31" s="561"/>
      <c r="E31" s="641"/>
      <c r="F31" s="639"/>
      <c r="G31" s="639"/>
      <c r="H31" s="639"/>
      <c r="I31" s="640"/>
      <c r="J31" s="53" t="str">
        <f ca="1">IF(AND('Mapa final'!$AG$25="Media",'Mapa final'!$AI$25="Leve"),CONCATENATE("R6C",'Mapa final'!$W$25),"")</f>
        <v/>
      </c>
      <c r="K31" s="54" t="str">
        <f ca="1">IF(AND('Mapa final'!$AG$26="Media",'Mapa final'!$AI$26="Leve"),CONCATENATE("R6C",'Mapa final'!$W$26),"")</f>
        <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str">
        <f ca="1">IF(AND('Mapa final'!$AG$25="Media",'Mapa final'!$AI$25="Menor"),CONCATENATE("R6C",'Mapa final'!$W$25),"")</f>
        <v/>
      </c>
      <c r="Q31" s="54" t="str">
        <f ca="1">IF(AND('Mapa final'!$AG$26="Media",'Mapa final'!$AI$26="Menor"),CONCATENATE("R6C",'Mapa final'!$W$26),"")</f>
        <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str">
        <f ca="1">IF(AND('Mapa final'!$AG$25="Media",'Mapa final'!$AI$25="Moderado"),CONCATENATE("R6C",'Mapa final'!$W$25),"")</f>
        <v/>
      </c>
      <c r="W31" s="54" t="str">
        <f ca="1">IF(AND('Mapa final'!$AG$26="Media",'Mapa final'!$AI$26="Moderado"),CONCATENATE("R6C",'Mapa final'!$W$26),"")</f>
        <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str">
        <f ca="1">IF(AND('Mapa final'!$AG$25="Media",'Mapa final'!$AI$25="Mayor"),CONCATENATE("R6C",'Mapa final'!$W$25),"")</f>
        <v/>
      </c>
      <c r="AC31" s="39" t="str">
        <f ca="1">IF(AND('Mapa final'!$AG$26="Media",'Mapa final'!$AI$26="Mayor"),CONCATENATE("R6C",'Mapa final'!$W$26),"")</f>
        <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str">
        <f ca="1">IF(AND('Mapa final'!$AG$25="Media",'Mapa final'!$AI$25="Catastrófico"),CONCATENATE("R6C",'Mapa final'!$W$25),"")</f>
        <v/>
      </c>
      <c r="AI31" s="42" t="str">
        <f ca="1">IF(AND('Mapa final'!$AG$26="Media",'Mapa final'!$AI$26="Catastrófico"),CONCATENATE("R6C",'Mapa final'!$W$26),"")</f>
        <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677"/>
      <c r="AP31" s="678"/>
      <c r="AQ31" s="678"/>
      <c r="AR31" s="678"/>
      <c r="AS31" s="678"/>
      <c r="AT31" s="679"/>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60"/>
      <c r="C32" s="560"/>
      <c r="D32" s="561"/>
      <c r="E32" s="641"/>
      <c r="F32" s="639"/>
      <c r="G32" s="639"/>
      <c r="H32" s="639"/>
      <c r="I32" s="640"/>
      <c r="J32" s="53" t="str">
        <f ca="1">IF(AND('Mapa final'!$AG$27="Media",'Mapa final'!$AI$27="Leve"),CONCATENATE("R7C",'Mapa final'!$W$27),"")</f>
        <v/>
      </c>
      <c r="K32" s="54" t="str">
        <f ca="1">IF(AND('Mapa final'!$AG$28="Media",'Mapa final'!$AI$28="Leve"),CONCATENATE("R7C",'Mapa final'!$W$28),"")</f>
        <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str">
        <f ca="1">IF(AND('Mapa final'!$AG$27="Media",'Mapa final'!$AI$27="Menor"),CONCATENATE("R7C",'Mapa final'!$W$27),"")</f>
        <v/>
      </c>
      <c r="Q32" s="54" t="str">
        <f ca="1">IF(AND('Mapa final'!$AG$28="Media",'Mapa final'!$AI$28="Menor"),CONCATENATE("R7C",'Mapa final'!$W$28),"")</f>
        <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str">
        <f ca="1">IF(AND('Mapa final'!$AG$27="Media",'Mapa final'!$AI$27="Moderado"),CONCATENATE("R7C",'Mapa final'!$W$27),"")</f>
        <v/>
      </c>
      <c r="W32" s="54" t="str">
        <f ca="1">IF(AND('Mapa final'!$AG$28="Media",'Mapa final'!$AI$28="Moderado"),CONCATENATE("R7C",'Mapa final'!$W$28),"")</f>
        <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str">
        <f ca="1">IF(AND('Mapa final'!$AG$27="Media",'Mapa final'!$AI$27="Mayor"),CONCATENATE("R7C",'Mapa final'!$W$27),"")</f>
        <v/>
      </c>
      <c r="AC32" s="39" t="str">
        <f ca="1">IF(AND('Mapa final'!$AG$28="Media",'Mapa final'!$AI$28="Mayor"),CONCATENATE("R7C",'Mapa final'!$W$28),"")</f>
        <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str">
        <f ca="1">IF(AND('Mapa final'!$AG$27="Media",'Mapa final'!$AI$27="Catastrófico"),CONCATENATE("R7C",'Mapa final'!$W$27),"")</f>
        <v/>
      </c>
      <c r="AI32" s="42" t="str">
        <f ca="1">IF(AND('Mapa final'!$AG$28="Media",'Mapa final'!$AI$28="Catastrófico"),CONCATENATE("R7C",'Mapa final'!$W$28),"")</f>
        <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677"/>
      <c r="AP32" s="678"/>
      <c r="AQ32" s="678"/>
      <c r="AR32" s="678"/>
      <c r="AS32" s="678"/>
      <c r="AT32" s="67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60"/>
      <c r="C33" s="560"/>
      <c r="D33" s="561"/>
      <c r="E33" s="641"/>
      <c r="F33" s="639"/>
      <c r="G33" s="639"/>
      <c r="H33" s="639"/>
      <c r="I33" s="640"/>
      <c r="J33" s="53" t="str">
        <f ca="1">IF(AND('Mapa final'!$AG$29="Media",'Mapa final'!$AI$29="Leve"),CONCATENATE("R8C",'Mapa final'!$W$29),"")</f>
        <v/>
      </c>
      <c r="K33" s="54" t="str">
        <f ca="1">IF(AND('Mapa final'!$AG$30="Media",'Mapa final'!$AI$30="Leve"),CONCATENATE("R8C",'Mapa final'!$W$30),"")</f>
        <v/>
      </c>
      <c r="L33" s="54" t="str">
        <f ca="1">IF(AND('Mapa final'!$AG$31="Media",'Mapa final'!$AI$31="Leve"),CONCATENATE("R8C",'Mapa final'!$W$31),"")</f>
        <v/>
      </c>
      <c r="M33" s="54" t="str">
        <f ca="1">IF(AND('Mapa final'!$AG$32="Media",'Mapa final'!$AI$32="Leve"),CONCATENATE("R8C",'Mapa final'!$W$32),"")</f>
        <v/>
      </c>
      <c r="N33" s="54" t="e">
        <f>IF(AND('Mapa final'!#REF!="Media",'Mapa final'!#REF!="Leve"),CONCATENATE("R8C",'Mapa final'!#REF!),"")</f>
        <v>#REF!</v>
      </c>
      <c r="O33" s="55" t="e">
        <f>IF(AND('Mapa final'!#REF!="Media",'Mapa final'!#REF!="Leve"),CONCATENATE("R8C",'Mapa final'!#REF!),"")</f>
        <v>#REF!</v>
      </c>
      <c r="P33" s="53" t="str">
        <f ca="1">IF(AND('Mapa final'!$AG$29="Media",'Mapa final'!$AI$29="Menor"),CONCATENATE("R8C",'Mapa final'!$W$29),"")</f>
        <v/>
      </c>
      <c r="Q33" s="54" t="str">
        <f ca="1">IF(AND('Mapa final'!$AG$30="Media",'Mapa final'!$AI$30="Menor"),CONCATENATE("R8C",'Mapa final'!$W$30),"")</f>
        <v/>
      </c>
      <c r="R33" s="54" t="str">
        <f ca="1">IF(AND('Mapa final'!$AG$31="Media",'Mapa final'!$AI$31="Menor"),CONCATENATE("R8C",'Mapa final'!$W$31),"")</f>
        <v/>
      </c>
      <c r="S33" s="54" t="str">
        <f ca="1">IF(AND('Mapa final'!$AG$32="Media",'Mapa final'!$AI$32="Menor"),CONCATENATE("R8C",'Mapa final'!$W$32),"")</f>
        <v/>
      </c>
      <c r="T33" s="54" t="e">
        <f>IF(AND('Mapa final'!#REF!="Media",'Mapa final'!#REF!="Menor"),CONCATENATE("R8C",'Mapa final'!#REF!),"")</f>
        <v>#REF!</v>
      </c>
      <c r="U33" s="55" t="e">
        <f>IF(AND('Mapa final'!#REF!="Media",'Mapa final'!#REF!="Menor"),CONCATENATE("R8C",'Mapa final'!#REF!),"")</f>
        <v>#REF!</v>
      </c>
      <c r="V33" s="53" t="str">
        <f ca="1">IF(AND('Mapa final'!$AG$29="Media",'Mapa final'!$AI$29="Moderado"),CONCATENATE("R8C",'Mapa final'!$W$29),"")</f>
        <v>R8C1</v>
      </c>
      <c r="W33" s="54" t="str">
        <f ca="1">IF(AND('Mapa final'!$AG$30="Media",'Mapa final'!$AI$30="Moderado"),CONCATENATE("R8C",'Mapa final'!$W$30),"")</f>
        <v/>
      </c>
      <c r="X33" s="54" t="str">
        <f ca="1">IF(AND('Mapa final'!$AG$31="Media",'Mapa final'!$AI$31="Moderado"),CONCATENATE("R8C",'Mapa final'!$W$31),"")</f>
        <v/>
      </c>
      <c r="Y33" s="54" t="str">
        <f ca="1">IF(AND('Mapa final'!$AG$32="Media",'Mapa final'!$AI$32="Moderado"),CONCATENATE("R8C",'Mapa final'!$W$32),"")</f>
        <v/>
      </c>
      <c r="Z33" s="54" t="e">
        <f>IF(AND('Mapa final'!#REF!="Media",'Mapa final'!#REF!="Moderado"),CONCATENATE("R8C",'Mapa final'!#REF!),"")</f>
        <v>#REF!</v>
      </c>
      <c r="AA33" s="55" t="e">
        <f>IF(AND('Mapa final'!#REF!="Media",'Mapa final'!#REF!="Moderado"),CONCATENATE("R8C",'Mapa final'!#REF!),"")</f>
        <v>#REF!</v>
      </c>
      <c r="AB33" s="38" t="str">
        <f ca="1">IF(AND('Mapa final'!$AG$29="Media",'Mapa final'!$AI$29="Mayor"),CONCATENATE("R8C",'Mapa final'!$W$29),"")</f>
        <v/>
      </c>
      <c r="AC33" s="39" t="str">
        <f ca="1">IF(AND('Mapa final'!$AG$30="Media",'Mapa final'!$AI$30="Mayor"),CONCATENATE("R8C",'Mapa final'!$W$30),"")</f>
        <v/>
      </c>
      <c r="AD33" s="39" t="str">
        <f ca="1">IF(AND('Mapa final'!$AG$31="Media",'Mapa final'!$AI$31="Mayor"),CONCATENATE("R8C",'Mapa final'!$W$31),"")</f>
        <v/>
      </c>
      <c r="AE33" s="39" t="str">
        <f ca="1">IF(AND('Mapa final'!$AG$32="Media",'Mapa final'!$AI$32="Mayor"),CONCATENATE("R8C",'Mapa final'!$W$32),"")</f>
        <v/>
      </c>
      <c r="AF33" s="39" t="e">
        <f>IF(AND('Mapa final'!#REF!="Media",'Mapa final'!#REF!="Mayor"),CONCATENATE("R8C",'Mapa final'!#REF!),"")</f>
        <v>#REF!</v>
      </c>
      <c r="AG33" s="40" t="e">
        <f>IF(AND('Mapa final'!#REF!="Media",'Mapa final'!#REF!="Mayor"),CONCATENATE("R8C",'Mapa final'!#REF!),"")</f>
        <v>#REF!</v>
      </c>
      <c r="AH33" s="41" t="str">
        <f ca="1">IF(AND('Mapa final'!$AG$29="Media",'Mapa final'!$AI$29="Catastrófico"),CONCATENATE("R8C",'Mapa final'!$W$29),"")</f>
        <v/>
      </c>
      <c r="AI33" s="42" t="str">
        <f ca="1">IF(AND('Mapa final'!$AG$30="Media",'Mapa final'!$AI$30="Catastrófico"),CONCATENATE("R8C",'Mapa final'!$W$30),"")</f>
        <v/>
      </c>
      <c r="AJ33" s="42" t="str">
        <f ca="1">IF(AND('Mapa final'!$AG$31="Media",'Mapa final'!$AI$31="Catastrófico"),CONCATENATE("R8C",'Mapa final'!$W$31),"")</f>
        <v/>
      </c>
      <c r="AK33" s="42" t="str">
        <f ca="1">IF(AND('Mapa final'!$AG$32="Media",'Mapa final'!$AI$32="Catastrófico"),CONCATENATE("R8C",'Mapa final'!$W$32),"")</f>
        <v/>
      </c>
      <c r="AL33" s="42" t="e">
        <f>IF(AND('Mapa final'!#REF!="Media",'Mapa final'!#REF!="Catastrófico"),CONCATENATE("R8C",'Mapa final'!#REF!),"")</f>
        <v>#REF!</v>
      </c>
      <c r="AM33" s="43" t="e">
        <f>IF(AND('Mapa final'!#REF!="Media",'Mapa final'!#REF!="Catastrófico"),CONCATENATE("R8C",'Mapa final'!#REF!),"")</f>
        <v>#REF!</v>
      </c>
      <c r="AN33" s="69"/>
      <c r="AO33" s="677"/>
      <c r="AP33" s="678"/>
      <c r="AQ33" s="678"/>
      <c r="AR33" s="678"/>
      <c r="AS33" s="678"/>
      <c r="AT33" s="679"/>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60"/>
      <c r="C34" s="560"/>
      <c r="D34" s="561"/>
      <c r="E34" s="641"/>
      <c r="F34" s="639"/>
      <c r="G34" s="639"/>
      <c r="H34" s="639"/>
      <c r="I34" s="640"/>
      <c r="J34" s="53" t="str">
        <f ca="1">IF(AND('Mapa final'!$AG$33="Media",'Mapa final'!$AI$33="Leve"),CONCATENATE("R9C",'Mapa final'!$W$33),"")</f>
        <v/>
      </c>
      <c r="K34" s="54" t="str">
        <f ca="1">IF(AND('Mapa final'!$AG$34="Media",'Mapa final'!$AI$34="Leve"),CONCATENATE("R9C",'Mapa final'!$W$34),"")</f>
        <v/>
      </c>
      <c r="L34" s="54" t="str">
        <f ca="1">IF(AND('Mapa final'!$AG$35="Media",'Mapa final'!$AI$35="Leve"),CONCATENATE("R9C",'Mapa final'!$W$35),"")</f>
        <v/>
      </c>
      <c r="M34" s="54" t="str">
        <f ca="1">IF(AND('Mapa final'!$AG$36="Media",'Mapa final'!$AI$36="Leve"),CONCATENATE("R9C",'Mapa final'!$W$36),"")</f>
        <v/>
      </c>
      <c r="N34" s="54" t="str">
        <f ca="1">IF(AND('Mapa final'!$AG$37="Media",'Mapa final'!$AI$37="Leve"),CONCATENATE("R9C",'Mapa final'!$W$37),"")</f>
        <v/>
      </c>
      <c r="O34" s="55" t="e">
        <f>IF(AND('Mapa final'!#REF!="Media",'Mapa final'!#REF!="Leve"),CONCATENATE("R9C",'Mapa final'!#REF!),"")</f>
        <v>#REF!</v>
      </c>
      <c r="P34" s="53" t="str">
        <f ca="1">IF(AND('Mapa final'!$AG$33="Media",'Mapa final'!$AI$33="Menor"),CONCATENATE("R9C",'Mapa final'!$W$33),"")</f>
        <v/>
      </c>
      <c r="Q34" s="54" t="str">
        <f ca="1">IF(AND('Mapa final'!$AG$34="Media",'Mapa final'!$AI$34="Menor"),CONCATENATE("R9C",'Mapa final'!$W$34),"")</f>
        <v/>
      </c>
      <c r="R34" s="54" t="str">
        <f ca="1">IF(AND('Mapa final'!$AG$35="Media",'Mapa final'!$AI$35="Menor"),CONCATENATE("R9C",'Mapa final'!$W$35),"")</f>
        <v/>
      </c>
      <c r="S34" s="54" t="str">
        <f ca="1">IF(AND('Mapa final'!$AG$36="Media",'Mapa final'!$AI$36="Menor"),CONCATENATE("R9C",'Mapa final'!$W$36),"")</f>
        <v/>
      </c>
      <c r="T34" s="54" t="str">
        <f ca="1">IF(AND('Mapa final'!$AG$37="Media",'Mapa final'!$AI$37="Menor"),CONCATENATE("R9C",'Mapa final'!$W$37),"")</f>
        <v/>
      </c>
      <c r="U34" s="55" t="e">
        <f>IF(AND('Mapa final'!#REF!="Media",'Mapa final'!#REF!="Menor"),CONCATENATE("R9C",'Mapa final'!#REF!),"")</f>
        <v>#REF!</v>
      </c>
      <c r="V34" s="53" t="str">
        <f ca="1">IF(AND('Mapa final'!$AG$33="Media",'Mapa final'!$AI$33="Moderado"),CONCATENATE("R9C",'Mapa final'!$W$33),"")</f>
        <v/>
      </c>
      <c r="W34" s="54" t="str">
        <f ca="1">IF(AND('Mapa final'!$AG$34="Media",'Mapa final'!$AI$34="Moderado"),CONCATENATE("R9C",'Mapa final'!$W$34),"")</f>
        <v/>
      </c>
      <c r="X34" s="54" t="str">
        <f ca="1">IF(AND('Mapa final'!$AG$35="Media",'Mapa final'!$AI$35="Moderado"),CONCATENATE("R9C",'Mapa final'!$W$35),"")</f>
        <v/>
      </c>
      <c r="Y34" s="54" t="str">
        <f ca="1">IF(AND('Mapa final'!$AG$36="Media",'Mapa final'!$AI$36="Moderado"),CONCATENATE("R9C",'Mapa final'!$W$36),"")</f>
        <v/>
      </c>
      <c r="Z34" s="54" t="str">
        <f ca="1">IF(AND('Mapa final'!$AG$37="Media",'Mapa final'!$AI$37="Moderado"),CONCATENATE("R9C",'Mapa final'!$W$37),"")</f>
        <v/>
      </c>
      <c r="AA34" s="55" t="e">
        <f>IF(AND('Mapa final'!#REF!="Media",'Mapa final'!#REF!="Moderado"),CONCATENATE("R9C",'Mapa final'!#REF!),"")</f>
        <v>#REF!</v>
      </c>
      <c r="AB34" s="38" t="str">
        <f ca="1">IF(AND('Mapa final'!$AG$33="Media",'Mapa final'!$AI$33="Mayor"),CONCATENATE("R9C",'Mapa final'!$W$33),"")</f>
        <v/>
      </c>
      <c r="AC34" s="39" t="str">
        <f ca="1">IF(AND('Mapa final'!$AG$34="Media",'Mapa final'!$AI$34="Mayor"),CONCATENATE("R9C",'Mapa final'!$W$34),"")</f>
        <v/>
      </c>
      <c r="AD34" s="39" t="str">
        <f ca="1">IF(AND('Mapa final'!$AG$35="Media",'Mapa final'!$AI$35="Mayor"),CONCATENATE("R9C",'Mapa final'!$W$35),"")</f>
        <v/>
      </c>
      <c r="AE34" s="39" t="str">
        <f ca="1">IF(AND('Mapa final'!$AG$36="Media",'Mapa final'!$AI$36="Mayor"),CONCATENATE("R9C",'Mapa final'!$W$36),"")</f>
        <v/>
      </c>
      <c r="AF34" s="39" t="str">
        <f ca="1">IF(AND('Mapa final'!$AG$37="Media",'Mapa final'!$AI$37="Mayor"),CONCATENATE("R9C",'Mapa final'!$W$37),"")</f>
        <v/>
      </c>
      <c r="AG34" s="40" t="e">
        <f>IF(AND('Mapa final'!#REF!="Media",'Mapa final'!#REF!="Mayor"),CONCATENATE("R9C",'Mapa final'!#REF!),"")</f>
        <v>#REF!</v>
      </c>
      <c r="AH34" s="41" t="str">
        <f ca="1">IF(AND('Mapa final'!$AG$33="Media",'Mapa final'!$AI$33="Catastrófico"),CONCATENATE("R9C",'Mapa final'!$W$33),"")</f>
        <v/>
      </c>
      <c r="AI34" s="42" t="str">
        <f ca="1">IF(AND('Mapa final'!$AG$34="Media",'Mapa final'!$AI$34="Catastrófico"),CONCATENATE("R9C",'Mapa final'!$W$34),"")</f>
        <v/>
      </c>
      <c r="AJ34" s="42" t="str">
        <f ca="1">IF(AND('Mapa final'!$AG$35="Media",'Mapa final'!$AI$35="Catastrófico"),CONCATENATE("R9C",'Mapa final'!$W$35),"")</f>
        <v/>
      </c>
      <c r="AK34" s="42" t="str">
        <f ca="1">IF(AND('Mapa final'!$AG$36="Media",'Mapa final'!$AI$36="Catastrófico"),CONCATENATE("R9C",'Mapa final'!$W$36),"")</f>
        <v/>
      </c>
      <c r="AL34" s="42" t="str">
        <f ca="1">IF(AND('Mapa final'!$AG$37="Media",'Mapa final'!$AI$37="Catastrófico"),CONCATENATE("R9C",'Mapa final'!$W$37),"")</f>
        <v/>
      </c>
      <c r="AM34" s="43" t="e">
        <f>IF(AND('Mapa final'!#REF!="Media",'Mapa final'!#REF!="Catastrófico"),CONCATENATE("R9C",'Mapa final'!#REF!),"")</f>
        <v>#REF!</v>
      </c>
      <c r="AN34" s="69"/>
      <c r="AO34" s="677"/>
      <c r="AP34" s="678"/>
      <c r="AQ34" s="678"/>
      <c r="AR34" s="678"/>
      <c r="AS34" s="678"/>
      <c r="AT34" s="67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60"/>
      <c r="C35" s="560"/>
      <c r="D35" s="561"/>
      <c r="E35" s="642"/>
      <c r="F35" s="643"/>
      <c r="G35" s="643"/>
      <c r="H35" s="643"/>
      <c r="I35" s="644"/>
      <c r="J35" s="53" t="str">
        <f ca="1">IF(AND('Mapa final'!$AG$38="Media",'Mapa final'!$AI$38="Leve"),CONCATENATE("R10C",'Mapa final'!$W$38),"")</f>
        <v/>
      </c>
      <c r="K35" s="54" t="str">
        <f ca="1">IF(AND('Mapa final'!$AG$39="Media",'Mapa final'!$AI$39="Leve"),CONCATENATE("R10C",'Mapa final'!$W$39),"")</f>
        <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str">
        <f ca="1">IF(AND('Mapa final'!$AG$38="Media",'Mapa final'!$AI$38="Menor"),CONCATENATE("R10C",'Mapa final'!$W$38),"")</f>
        <v/>
      </c>
      <c r="Q35" s="54" t="str">
        <f ca="1">IF(AND('Mapa final'!$AG$39="Media",'Mapa final'!$AI$39="Menor"),CONCATENATE("R10C",'Mapa final'!$W$39),"")</f>
        <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str">
        <f ca="1">IF(AND('Mapa final'!$AG$38="Media",'Mapa final'!$AI$38="Moderado"),CONCATENATE("R10C",'Mapa final'!$W$38),"")</f>
        <v/>
      </c>
      <c r="W35" s="54" t="str">
        <f ca="1">IF(AND('Mapa final'!$AG$39="Media",'Mapa final'!$AI$39="Moderado"),CONCATENATE("R10C",'Mapa final'!$W$39),"")</f>
        <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str">
        <f ca="1">IF(AND('Mapa final'!$AG$38="Media",'Mapa final'!$AI$38="Mayor"),CONCATENATE("R10C",'Mapa final'!$W$38),"")</f>
        <v>R10C1</v>
      </c>
      <c r="AC35" s="45" t="str">
        <f ca="1">IF(AND('Mapa final'!$AG$39="Media",'Mapa final'!$AI$39="Mayor"),CONCATENATE("R10C",'Mapa final'!$W$39),"")</f>
        <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str">
        <f ca="1">IF(AND('Mapa final'!$AG$38="Media",'Mapa final'!$AI$38="Catastrófico"),CONCATENATE("R10C",'Mapa final'!$W$38),"")</f>
        <v/>
      </c>
      <c r="AI35" s="48" t="str">
        <f ca="1">IF(AND('Mapa final'!$AG$39="Media",'Mapa final'!$AI$39="Catastrófico"),CONCATENATE("R10C",'Mapa final'!$W$39),"")</f>
        <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680"/>
      <c r="AP35" s="681"/>
      <c r="AQ35" s="681"/>
      <c r="AR35" s="681"/>
      <c r="AS35" s="681"/>
      <c r="AT35" s="682"/>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60"/>
      <c r="C36" s="560"/>
      <c r="D36" s="561"/>
      <c r="E36" s="635" t="s">
        <v>135</v>
      </c>
      <c r="F36" s="636"/>
      <c r="G36" s="636"/>
      <c r="H36" s="636"/>
      <c r="I36" s="636"/>
      <c r="J36" s="59" t="str">
        <f ca="1">IF(AND('Mapa final'!$AG$13="Baja",'Mapa final'!$AI$13="Leve"),CONCATENATE("R1C",'Mapa final'!$W$13),"")</f>
        <v/>
      </c>
      <c r="K36" s="60" t="str">
        <f ca="1">IF(AND('Mapa final'!$AG$14="Baja",'Mapa final'!$AI$14="Leve"),CONCATENATE("R1C",'Mapa final'!$W$14),"")</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 ca="1">IF(AND('Mapa final'!$AG$13="Baja",'Mapa final'!$AI$13="Menor"),CONCATENATE("R1C",'Mapa final'!$W$13),"")</f>
        <v/>
      </c>
      <c r="Q36" s="51" t="str">
        <f ca="1">IF(AND('Mapa final'!$AG$14="Baja",'Mapa final'!$AI$14="Menor"),CONCATENATE("R1C",'Mapa final'!$W$14),"")</f>
        <v>R1C2</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 ca="1">IF(AND('Mapa final'!$AG$13="Baja",'Mapa final'!$AI$13="Moderado"),CONCATENATE("R1C",'Mapa final'!$W$13),"")</f>
        <v/>
      </c>
      <c r="W36" s="51" t="str">
        <f ca="1">IF(AND('Mapa final'!$AG$14="Baja",'Mapa final'!$AI$14="Moderado"),CONCATENATE("R1C",'Mapa final'!$W$14),"")</f>
        <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 ca="1">IF(AND('Mapa final'!$AG$13="Baja",'Mapa final'!$AI$13="Mayor"),CONCATENATE("R1C",'Mapa final'!$W$13),"")</f>
        <v/>
      </c>
      <c r="AC36" s="33" t="str">
        <f ca="1">IF(AND('Mapa final'!$AG$14="Baja",'Mapa final'!$AI$14="Mayor"),CONCATENATE("R1C",'Mapa final'!$W$14),"")</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 ca="1">IF(AND('Mapa final'!$AG$13="Baja",'Mapa final'!$AI$13="Catastrófico"),CONCATENATE("R1C",'Mapa final'!$W$13),"")</f>
        <v/>
      </c>
      <c r="AI36" s="36" t="str">
        <f ca="1">IF(AND('Mapa final'!$AG$14="Baja",'Mapa final'!$AI$14="Catastrófico"),CONCATENATE("R1C",'Mapa final'!$W$14),"")</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656" t="s">
        <v>136</v>
      </c>
      <c r="AP36" s="657"/>
      <c r="AQ36" s="657"/>
      <c r="AR36" s="657"/>
      <c r="AS36" s="657"/>
      <c r="AT36" s="658"/>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60"/>
      <c r="C37" s="560"/>
      <c r="D37" s="561"/>
      <c r="E37" s="638"/>
      <c r="F37" s="639"/>
      <c r="G37" s="639"/>
      <c r="H37" s="639"/>
      <c r="I37" s="639"/>
      <c r="J37" s="62" t="str">
        <f ca="1">IF(AND('Mapa final'!$AG$15="Baja",'Mapa final'!$AI$15="Leve"),CONCATENATE("R2C",'Mapa final'!$W$15),"")</f>
        <v/>
      </c>
      <c r="K37" s="63" t="str">
        <f ca="1">IF(AND('Mapa final'!$AG$16="Baja",'Mapa final'!$AI$16="Leve"),CONCATENATE("R2C",'Mapa final'!$W$16),"")</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 ca="1">IF(AND('Mapa final'!$AG$15="Baja",'Mapa final'!$AI$15="Menor"),CONCATENATE("R2C",'Mapa final'!$W$15),"")</f>
        <v/>
      </c>
      <c r="Q37" s="54" t="str">
        <f ca="1">IF(AND('Mapa final'!$AG$16="Baja",'Mapa final'!$AI$16="Menor"),CONCATENATE("R2C",'Mapa final'!$W$16),"")</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 ca="1">IF(AND('Mapa final'!$AG$15="Baja",'Mapa final'!$AI$15="Moderado"),CONCATENATE("R2C",'Mapa final'!$W$15),"")</f>
        <v>R2C1</v>
      </c>
      <c r="W37" s="54" t="str">
        <f ca="1">IF(AND('Mapa final'!$AG$16="Baja",'Mapa final'!$AI$16="Moderado"),CONCATENATE("R2C",'Mapa final'!$W$16),"")</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 ca="1">IF(AND('Mapa final'!$AG$15="Baja",'Mapa final'!$AI$15="Mayor"),CONCATENATE("R2C",'Mapa final'!$W$15),"")</f>
        <v/>
      </c>
      <c r="AC37" s="39" t="str">
        <f ca="1">IF(AND('Mapa final'!$AG$16="Baja",'Mapa final'!$AI$16="Mayor"),CONCATENATE("R2C",'Mapa final'!$W$16),"")</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 ca="1">IF(AND('Mapa final'!$AG$15="Baja",'Mapa final'!$AI$15="Catastrófico"),CONCATENATE("R2C",'Mapa final'!$W$15),"")</f>
        <v/>
      </c>
      <c r="AI37" s="42" t="str">
        <f ca="1">IF(AND('Mapa final'!$AG$16="Baja",'Mapa final'!$AI$16="Catastrófico"),CONCATENATE("R2C",'Mapa final'!$W$16),"")</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659"/>
      <c r="AP37" s="660"/>
      <c r="AQ37" s="660"/>
      <c r="AR37" s="660"/>
      <c r="AS37" s="660"/>
      <c r="AT37" s="661"/>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60"/>
      <c r="C38" s="560"/>
      <c r="D38" s="561"/>
      <c r="E38" s="641"/>
      <c r="F38" s="639"/>
      <c r="G38" s="639"/>
      <c r="H38" s="639"/>
      <c r="I38" s="639"/>
      <c r="J38" s="62" t="str">
        <f ca="1">IF(AND('Mapa final'!$AG$17="Baja",'Mapa final'!$AI$17="Leve"),CONCATENATE("R3C",'Mapa final'!$W$17),"")</f>
        <v/>
      </c>
      <c r="K38" s="63" t="str">
        <f ca="1">IF(AND('Mapa final'!$AG$18="Baja",'Mapa final'!$AI$18="Leve"),CONCATENATE("R3C",'Mapa final'!$W$18),"")</f>
        <v/>
      </c>
      <c r="L38" s="63" t="str">
        <f ca="1">IF(AND('Mapa final'!$AG$19="Baja",'Mapa final'!$AI$19="Leve"),CONCATENATE("R3C",'Mapa final'!$W$19),"")</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 ca="1">IF(AND('Mapa final'!$AG$17="Baja",'Mapa final'!$AI$17="Menor"),CONCATENATE("R3C",'Mapa final'!$W$17),"")</f>
        <v/>
      </c>
      <c r="Q38" s="54" t="str">
        <f ca="1">IF(AND('Mapa final'!$AG$18="Baja",'Mapa final'!$AI$18="Menor"),CONCATENATE("R3C",'Mapa final'!$W$18),"")</f>
        <v/>
      </c>
      <c r="R38" s="54" t="str">
        <f ca="1">IF(AND('Mapa final'!$AG$19="Baja",'Mapa final'!$AI$19="Menor"),CONCATENATE("R3C",'Mapa final'!$W$19),"")</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 ca="1">IF(AND('Mapa final'!$AG$17="Baja",'Mapa final'!$AI$17="Moderado"),CONCATENATE("R3C",'Mapa final'!$W$17),"")</f>
        <v/>
      </c>
      <c r="W38" s="54" t="str">
        <f ca="1">IF(AND('Mapa final'!$AG$18="Baja",'Mapa final'!$AI$18="Moderado"),CONCATENATE("R3C",'Mapa final'!$W$18),"")</f>
        <v/>
      </c>
      <c r="X38" s="54" t="str">
        <f ca="1">IF(AND('Mapa final'!$AG$19="Baja",'Mapa final'!$AI$19="Moderado"),CONCATENATE("R3C",'Mapa final'!$W$19),"")</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 ca="1">IF(AND('Mapa final'!$AG$17="Baja",'Mapa final'!$AI$17="Mayor"),CONCATENATE("R3C",'Mapa final'!$W$17),"")</f>
        <v/>
      </c>
      <c r="AC38" s="39" t="str">
        <f ca="1">IF(AND('Mapa final'!$AG$18="Baja",'Mapa final'!$AI$18="Mayor"),CONCATENATE("R3C",'Mapa final'!$W$18),"")</f>
        <v/>
      </c>
      <c r="AD38" s="39" t="str">
        <f ca="1">IF(AND('Mapa final'!$AG$19="Baja",'Mapa final'!$AI$19="Mayor"),CONCATENATE("R3C",'Mapa final'!$W$19),"")</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 ca="1">IF(AND('Mapa final'!$AG$17="Baja",'Mapa final'!$AI$17="Catastrófico"),CONCATENATE("R3C",'Mapa final'!$W$17),"")</f>
        <v/>
      </c>
      <c r="AI38" s="42" t="str">
        <f ca="1">IF(AND('Mapa final'!$AG$18="Baja",'Mapa final'!$AI$18="Catastrófico"),CONCATENATE("R3C",'Mapa final'!$W$18),"")</f>
        <v/>
      </c>
      <c r="AJ38" s="42" t="str">
        <f ca="1">IF(AND('Mapa final'!$AG$19="Baja",'Mapa final'!$AI$19="Catastrófico"),CONCATENATE("R3C",'Mapa final'!$W$19),"")</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659"/>
      <c r="AP38" s="660"/>
      <c r="AQ38" s="660"/>
      <c r="AR38" s="660"/>
      <c r="AS38" s="660"/>
      <c r="AT38" s="661"/>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60"/>
      <c r="C39" s="560"/>
      <c r="D39" s="561"/>
      <c r="E39" s="641"/>
      <c r="F39" s="639"/>
      <c r="G39" s="639"/>
      <c r="H39" s="639"/>
      <c r="I39" s="639"/>
      <c r="J39" s="62" t="str">
        <f ca="1">IF(AND('Mapa final'!$AG$20="Baja",'Mapa final'!$AI$20="Leve"),CONCATENATE("R4C",'Mapa final'!$W$20),"")</f>
        <v/>
      </c>
      <c r="K39" s="63" t="str">
        <f ca="1">IF(AND('Mapa final'!$AG$21="Baja",'Mapa final'!$AI$21="Leve"),CONCATENATE("R4C",'Mapa final'!$W$21),"")</f>
        <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str">
        <f ca="1">IF(AND('Mapa final'!$AG$20="Baja",'Mapa final'!$AI$20="Menor"),CONCATENATE("R4C",'Mapa final'!$W$20),"")</f>
        <v/>
      </c>
      <c r="Q39" s="54" t="str">
        <f ca="1">IF(AND('Mapa final'!$AG$21="Baja",'Mapa final'!$AI$21="Menor"),CONCATENATE("R4C",'Mapa final'!$W$21),"")</f>
        <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str">
        <f ca="1">IF(AND('Mapa final'!$AG$20="Baja",'Mapa final'!$AI$20="Moderado"),CONCATENATE("R4C",'Mapa final'!$W$20),"")</f>
        <v>R4C1</v>
      </c>
      <c r="W39" s="54" t="str">
        <f ca="1">IF(AND('Mapa final'!$AG$21="Baja",'Mapa final'!$AI$21="Moderado"),CONCATENATE("R4C",'Mapa final'!$W$21),"")</f>
        <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str">
        <f ca="1">IF(AND('Mapa final'!$AG$20="Baja",'Mapa final'!$AI$20="Mayor"),CONCATENATE("R4C",'Mapa final'!$W$20),"")</f>
        <v/>
      </c>
      <c r="AC39" s="39" t="str">
        <f ca="1">IF(AND('Mapa final'!$AG$21="Baja",'Mapa final'!$AI$21="Mayor"),CONCATENATE("R4C",'Mapa final'!$W$21),"")</f>
        <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str">
        <f ca="1">IF(AND('Mapa final'!$AG$20="Baja",'Mapa final'!$AI$20="Catastrófico"),CONCATENATE("R4C",'Mapa final'!$W$20),"")</f>
        <v/>
      </c>
      <c r="AI39" s="42" t="str">
        <f ca="1">IF(AND('Mapa final'!$AG$21="Baja",'Mapa final'!$AI$21="Catastrófico"),CONCATENATE("R4C",'Mapa final'!$W$21),"")</f>
        <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659"/>
      <c r="AP39" s="660"/>
      <c r="AQ39" s="660"/>
      <c r="AR39" s="660"/>
      <c r="AS39" s="660"/>
      <c r="AT39" s="661"/>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60"/>
      <c r="C40" s="560"/>
      <c r="D40" s="561"/>
      <c r="E40" s="641"/>
      <c r="F40" s="639"/>
      <c r="G40" s="639"/>
      <c r="H40" s="639"/>
      <c r="I40" s="639"/>
      <c r="J40" s="62" t="str">
        <f ca="1">IF(AND('Mapa final'!$AG$22="Baja",'Mapa final'!$AI$22="Leve"),CONCATENATE("R5C",'Mapa final'!$W$22),"")</f>
        <v/>
      </c>
      <c r="K40" s="63" t="str">
        <f ca="1">IF(AND('Mapa final'!$AG$23="Baja",'Mapa final'!$AI$23="Leve"),CONCATENATE("R5C",'Mapa final'!$W$23),"")</f>
        <v/>
      </c>
      <c r="L40" s="63" t="str">
        <f ca="1">IF(AND('Mapa final'!$AG$24="Baja",'Mapa final'!$AI$24="Leve"),CONCATENATE("R5C",'Mapa final'!$W$24),"")</f>
        <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str">
        <f ca="1">IF(AND('Mapa final'!$AG$22="Baja",'Mapa final'!$AI$22="Menor"),CONCATENATE("R5C",'Mapa final'!$W$22),"")</f>
        <v/>
      </c>
      <c r="Q40" s="54" t="str">
        <f ca="1">IF(AND('Mapa final'!$AG$23="Baja",'Mapa final'!$AI$23="Menor"),CONCATENATE("R5C",'Mapa final'!$W$23),"")</f>
        <v/>
      </c>
      <c r="R40" s="54" t="str">
        <f ca="1">IF(AND('Mapa final'!$AG$24="Baja",'Mapa final'!$AI$24="Menor"),CONCATENATE("R5C",'Mapa final'!$W$24),"")</f>
        <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str">
        <f ca="1">IF(AND('Mapa final'!$AG$22="Baja",'Mapa final'!$AI$22="Moderado"),CONCATENATE("R5C",'Mapa final'!$W$22),"")</f>
        <v/>
      </c>
      <c r="W40" s="54" t="str">
        <f ca="1">IF(AND('Mapa final'!$AG$23="Baja",'Mapa final'!$AI$23="Moderado"),CONCATENATE("R5C",'Mapa final'!$W$23),"")</f>
        <v/>
      </c>
      <c r="X40" s="54" t="str">
        <f ca="1">IF(AND('Mapa final'!$AG$24="Baja",'Mapa final'!$AI$24="Moderado"),CONCATENATE("R5C",'Mapa final'!$W$24),"")</f>
        <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str">
        <f ca="1">IF(AND('Mapa final'!$AG$22="Baja",'Mapa final'!$AI$22="Mayor"),CONCATENATE("R5C",'Mapa final'!$W$22),"")</f>
        <v/>
      </c>
      <c r="AC40" s="39" t="str">
        <f ca="1">IF(AND('Mapa final'!$AG$23="Baja",'Mapa final'!$AI$23="Mayor"),CONCATENATE("R5C",'Mapa final'!$W$23),"")</f>
        <v/>
      </c>
      <c r="AD40" s="39" t="str">
        <f ca="1">IF(AND('Mapa final'!$AG$24="Baja",'Mapa final'!$AI$24="Mayor"),CONCATENATE("R5C",'Mapa final'!$W$24),"")</f>
        <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str">
        <f ca="1">IF(AND('Mapa final'!$AG$22="Baja",'Mapa final'!$AI$22="Catastrófico"),CONCATENATE("R5C",'Mapa final'!$W$22),"")</f>
        <v/>
      </c>
      <c r="AI40" s="42" t="str">
        <f ca="1">IF(AND('Mapa final'!$AG$23="Baja",'Mapa final'!$AI$23="Catastrófico"),CONCATENATE("R5C",'Mapa final'!$W$23),"")</f>
        <v/>
      </c>
      <c r="AJ40" s="42" t="str">
        <f ca="1">IF(AND('Mapa final'!$AG$24="Baja",'Mapa final'!$AI$24="Catastrófico"),CONCATENATE("R5C",'Mapa final'!$W$24),"")</f>
        <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659"/>
      <c r="AP40" s="660"/>
      <c r="AQ40" s="660"/>
      <c r="AR40" s="660"/>
      <c r="AS40" s="660"/>
      <c r="AT40" s="661"/>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60"/>
      <c r="C41" s="560"/>
      <c r="D41" s="561"/>
      <c r="E41" s="641"/>
      <c r="F41" s="639"/>
      <c r="G41" s="639"/>
      <c r="H41" s="639"/>
      <c r="I41" s="639"/>
      <c r="J41" s="62" t="str">
        <f ca="1">IF(AND('Mapa final'!$AG$25="Baja",'Mapa final'!$AI$25="Leve"),CONCATENATE("R6C",'Mapa final'!$W$25),"")</f>
        <v/>
      </c>
      <c r="K41" s="63" t="str">
        <f ca="1">IF(AND('Mapa final'!$AG$26="Baja",'Mapa final'!$AI$26="Leve"),CONCATENATE("R6C",'Mapa final'!$W$26),"")</f>
        <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str">
        <f ca="1">IF(AND('Mapa final'!$AG$25="Baja",'Mapa final'!$AI$25="Menor"),CONCATENATE("R6C",'Mapa final'!$W$25),"")</f>
        <v/>
      </c>
      <c r="Q41" s="54" t="str">
        <f ca="1">IF(AND('Mapa final'!$AG$26="Baja",'Mapa final'!$AI$26="Menor"),CONCATENATE("R6C",'Mapa final'!$W$26),"")</f>
        <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str">
        <f ca="1">IF(AND('Mapa final'!$AG$25="Baja",'Mapa final'!$AI$25="Moderado"),CONCATENATE("R6C",'Mapa final'!$W$25),"")</f>
        <v>R6C1</v>
      </c>
      <c r="W41" s="54" t="str">
        <f ca="1">IF(AND('Mapa final'!$AG$26="Baja",'Mapa final'!$AI$26="Moderado"),CONCATENATE("R6C",'Mapa final'!$W$26),"")</f>
        <v>R6C2</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str">
        <f ca="1">IF(AND('Mapa final'!$AG$25="Baja",'Mapa final'!$AI$25="Mayor"),CONCATENATE("R6C",'Mapa final'!$W$25),"")</f>
        <v/>
      </c>
      <c r="AC41" s="39" t="str">
        <f ca="1">IF(AND('Mapa final'!$AG$26="Baja",'Mapa final'!$AI$26="Mayor"),CONCATENATE("R6C",'Mapa final'!$W$26),"")</f>
        <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str">
        <f ca="1">IF(AND('Mapa final'!$AG$25="Baja",'Mapa final'!$AI$25="Catastrófico"),CONCATENATE("R6C",'Mapa final'!$W$25),"")</f>
        <v/>
      </c>
      <c r="AI41" s="42" t="str">
        <f ca="1">IF(AND('Mapa final'!$AG$26="Baja",'Mapa final'!$AI$26="Catastrófico"),CONCATENATE("R6C",'Mapa final'!$W$26),"")</f>
        <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659"/>
      <c r="AP41" s="660"/>
      <c r="AQ41" s="660"/>
      <c r="AR41" s="660"/>
      <c r="AS41" s="660"/>
      <c r="AT41" s="661"/>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60"/>
      <c r="C42" s="560"/>
      <c r="D42" s="561"/>
      <c r="E42" s="641"/>
      <c r="F42" s="639"/>
      <c r="G42" s="639"/>
      <c r="H42" s="639"/>
      <c r="I42" s="639"/>
      <c r="J42" s="62" t="str">
        <f ca="1">IF(AND('Mapa final'!$AG$27="Baja",'Mapa final'!$AI$27="Leve"),CONCATENATE("R7C",'Mapa final'!$W$27),"")</f>
        <v/>
      </c>
      <c r="K42" s="63" t="str">
        <f ca="1">IF(AND('Mapa final'!$AG$28="Baja",'Mapa final'!$AI$28="Leve"),CONCATENATE("R7C",'Mapa final'!$W$28),"")</f>
        <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str">
        <f ca="1">IF(AND('Mapa final'!$AG$27="Baja",'Mapa final'!$AI$27="Menor"),CONCATENATE("R7C",'Mapa final'!$W$27),"")</f>
        <v/>
      </c>
      <c r="Q42" s="54" t="str">
        <f ca="1">IF(AND('Mapa final'!$AG$28="Baja",'Mapa final'!$AI$28="Menor"),CONCATENATE("R7C",'Mapa final'!$W$28),"")</f>
        <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str">
        <f ca="1">IF(AND('Mapa final'!$AG$27="Baja",'Mapa final'!$AI$27="Moderado"),CONCATENATE("R7C",'Mapa final'!$W$27),"")</f>
        <v>R7C1</v>
      </c>
      <c r="W42" s="54" t="str">
        <f ca="1">IF(AND('Mapa final'!$AG$28="Baja",'Mapa final'!$AI$28="Moderado"),CONCATENATE("R7C",'Mapa final'!$W$28),"")</f>
        <v>R7C2</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str">
        <f ca="1">IF(AND('Mapa final'!$AG$27="Baja",'Mapa final'!$AI$27="Mayor"),CONCATENATE("R7C",'Mapa final'!$W$27),"")</f>
        <v/>
      </c>
      <c r="AC42" s="39" t="str">
        <f ca="1">IF(AND('Mapa final'!$AG$28="Baja",'Mapa final'!$AI$28="Mayor"),CONCATENATE("R7C",'Mapa final'!$W$28),"")</f>
        <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str">
        <f ca="1">IF(AND('Mapa final'!$AG$27="Baja",'Mapa final'!$AI$27="Catastrófico"),CONCATENATE("R7C",'Mapa final'!$W$27),"")</f>
        <v/>
      </c>
      <c r="AI42" s="42" t="str">
        <f ca="1">IF(AND('Mapa final'!$AG$28="Baja",'Mapa final'!$AI$28="Catastrófico"),CONCATENATE("R7C",'Mapa final'!$W$28),"")</f>
        <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659"/>
      <c r="AP42" s="660"/>
      <c r="AQ42" s="660"/>
      <c r="AR42" s="660"/>
      <c r="AS42" s="660"/>
      <c r="AT42" s="661"/>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60"/>
      <c r="C43" s="560"/>
      <c r="D43" s="561"/>
      <c r="E43" s="641"/>
      <c r="F43" s="639"/>
      <c r="G43" s="639"/>
      <c r="H43" s="639"/>
      <c r="I43" s="639"/>
      <c r="J43" s="62" t="str">
        <f ca="1">IF(AND('Mapa final'!$AG$29="Baja",'Mapa final'!$AI$29="Leve"),CONCATENATE("R8C",'Mapa final'!$W$29),"")</f>
        <v/>
      </c>
      <c r="K43" s="63" t="str">
        <f ca="1">IF(AND('Mapa final'!$AG$30="Baja",'Mapa final'!$AI$30="Leve"),CONCATENATE("R8C",'Mapa final'!$W$30),"")</f>
        <v/>
      </c>
      <c r="L43" s="63" t="str">
        <f ca="1">IF(AND('Mapa final'!$AG$31="Baja",'Mapa final'!$AI$31="Leve"),CONCATENATE("R8C",'Mapa final'!$W$31),"")</f>
        <v/>
      </c>
      <c r="M43" s="63" t="str">
        <f ca="1">IF(AND('Mapa final'!$AG$32="Baja",'Mapa final'!$AI$32="Leve"),CONCATENATE("R8C",'Mapa final'!$W$32),"")</f>
        <v/>
      </c>
      <c r="N43" s="63" t="e">
        <f>IF(AND('Mapa final'!#REF!="Baja",'Mapa final'!#REF!="Leve"),CONCATENATE("R8C",'Mapa final'!#REF!),"")</f>
        <v>#REF!</v>
      </c>
      <c r="O43" s="64" t="e">
        <f>IF(AND('Mapa final'!#REF!="Baja",'Mapa final'!#REF!="Leve"),CONCATENATE("R8C",'Mapa final'!#REF!),"")</f>
        <v>#REF!</v>
      </c>
      <c r="P43" s="53" t="str">
        <f ca="1">IF(AND('Mapa final'!$AG$29="Baja",'Mapa final'!$AI$29="Menor"),CONCATENATE("R8C",'Mapa final'!$W$29),"")</f>
        <v/>
      </c>
      <c r="Q43" s="54" t="str">
        <f ca="1">IF(AND('Mapa final'!$AG$30="Baja",'Mapa final'!$AI$30="Menor"),CONCATENATE("R8C",'Mapa final'!$W$30),"")</f>
        <v/>
      </c>
      <c r="R43" s="54" t="str">
        <f ca="1">IF(AND('Mapa final'!$AG$31="Baja",'Mapa final'!$AI$31="Menor"),CONCATENATE("R8C",'Mapa final'!$W$31),"")</f>
        <v/>
      </c>
      <c r="S43" s="54" t="str">
        <f ca="1">IF(AND('Mapa final'!$AG$32="Baja",'Mapa final'!$AI$32="Menor"),CONCATENATE("R8C",'Mapa final'!$W$32),"")</f>
        <v/>
      </c>
      <c r="T43" s="54" t="e">
        <f>IF(AND('Mapa final'!#REF!="Baja",'Mapa final'!#REF!="Menor"),CONCATENATE("R8C",'Mapa final'!#REF!),"")</f>
        <v>#REF!</v>
      </c>
      <c r="U43" s="55" t="e">
        <f>IF(AND('Mapa final'!#REF!="Baja",'Mapa final'!#REF!="Menor"),CONCATENATE("R8C",'Mapa final'!#REF!),"")</f>
        <v>#REF!</v>
      </c>
      <c r="V43" s="53" t="str">
        <f ca="1">IF(AND('Mapa final'!$AG$29="Baja",'Mapa final'!$AI$29="Moderado"),CONCATENATE("R8C",'Mapa final'!$W$29),"")</f>
        <v/>
      </c>
      <c r="W43" s="54" t="str">
        <f ca="1">IF(AND('Mapa final'!$AG$30="Baja",'Mapa final'!$AI$30="Moderado"),CONCATENATE("R8C",'Mapa final'!$W$30),"")</f>
        <v>R8C2</v>
      </c>
      <c r="X43" s="54" t="str">
        <f ca="1">IF(AND('Mapa final'!$AG$31="Baja",'Mapa final'!$AI$31="Moderado"),CONCATENATE("R8C",'Mapa final'!$W$31),"")</f>
        <v/>
      </c>
      <c r="Y43" s="54" t="str">
        <f ca="1">IF(AND('Mapa final'!$AG$32="Baja",'Mapa final'!$AI$32="Moderado"),CONCATENATE("R8C",'Mapa final'!$W$32),"")</f>
        <v/>
      </c>
      <c r="Z43" s="54" t="e">
        <f>IF(AND('Mapa final'!#REF!="Baja",'Mapa final'!#REF!="Moderado"),CONCATENATE("R8C",'Mapa final'!#REF!),"")</f>
        <v>#REF!</v>
      </c>
      <c r="AA43" s="55" t="e">
        <f>IF(AND('Mapa final'!#REF!="Baja",'Mapa final'!#REF!="Moderado"),CONCATENATE("R8C",'Mapa final'!#REF!),"")</f>
        <v>#REF!</v>
      </c>
      <c r="AB43" s="38" t="str">
        <f ca="1">IF(AND('Mapa final'!$AG$29="Baja",'Mapa final'!$AI$29="Mayor"),CONCATENATE("R8C",'Mapa final'!$W$29),"")</f>
        <v/>
      </c>
      <c r="AC43" s="39" t="str">
        <f ca="1">IF(AND('Mapa final'!$AG$30="Baja",'Mapa final'!$AI$30="Mayor"),CONCATENATE("R8C",'Mapa final'!$W$30),"")</f>
        <v/>
      </c>
      <c r="AD43" s="39" t="str">
        <f ca="1">IF(AND('Mapa final'!$AG$31="Baja",'Mapa final'!$AI$31="Mayor"),CONCATENATE("R8C",'Mapa final'!$W$31),"")</f>
        <v/>
      </c>
      <c r="AE43" s="39" t="str">
        <f ca="1">IF(AND('Mapa final'!$AG$32="Baja",'Mapa final'!$AI$32="Mayor"),CONCATENATE("R8C",'Mapa final'!$W$32),"")</f>
        <v/>
      </c>
      <c r="AF43" s="39" t="e">
        <f>IF(AND('Mapa final'!#REF!="Baja",'Mapa final'!#REF!="Mayor"),CONCATENATE("R8C",'Mapa final'!#REF!),"")</f>
        <v>#REF!</v>
      </c>
      <c r="AG43" s="40" t="e">
        <f>IF(AND('Mapa final'!#REF!="Baja",'Mapa final'!#REF!="Mayor"),CONCATENATE("R8C",'Mapa final'!#REF!),"")</f>
        <v>#REF!</v>
      </c>
      <c r="AH43" s="41" t="str">
        <f ca="1">IF(AND('Mapa final'!$AG$29="Baja",'Mapa final'!$AI$29="Catastrófico"),CONCATENATE("R8C",'Mapa final'!$W$29),"")</f>
        <v/>
      </c>
      <c r="AI43" s="42" t="str">
        <f ca="1">IF(AND('Mapa final'!$AG$30="Baja",'Mapa final'!$AI$30="Catastrófico"),CONCATENATE("R8C",'Mapa final'!$W$30),"")</f>
        <v/>
      </c>
      <c r="AJ43" s="42" t="str">
        <f ca="1">IF(AND('Mapa final'!$AG$31="Baja",'Mapa final'!$AI$31="Catastrófico"),CONCATENATE("R8C",'Mapa final'!$W$31),"")</f>
        <v/>
      </c>
      <c r="AK43" s="42" t="str">
        <f ca="1">IF(AND('Mapa final'!$AG$32="Baja",'Mapa final'!$AI$32="Catastrófico"),CONCATENATE("R8C",'Mapa final'!$W$32),"")</f>
        <v/>
      </c>
      <c r="AL43" s="42" t="e">
        <f>IF(AND('Mapa final'!#REF!="Baja",'Mapa final'!#REF!="Catastrófico"),CONCATENATE("R8C",'Mapa final'!#REF!),"")</f>
        <v>#REF!</v>
      </c>
      <c r="AM43" s="43" t="e">
        <f>IF(AND('Mapa final'!#REF!="Baja",'Mapa final'!#REF!="Catastrófico"),CONCATENATE("R8C",'Mapa final'!#REF!),"")</f>
        <v>#REF!</v>
      </c>
      <c r="AN43" s="69"/>
      <c r="AO43" s="659"/>
      <c r="AP43" s="660"/>
      <c r="AQ43" s="660"/>
      <c r="AR43" s="660"/>
      <c r="AS43" s="660"/>
      <c r="AT43" s="661"/>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60"/>
      <c r="C44" s="560"/>
      <c r="D44" s="561"/>
      <c r="E44" s="641"/>
      <c r="F44" s="639"/>
      <c r="G44" s="639"/>
      <c r="H44" s="639"/>
      <c r="I44" s="639"/>
      <c r="J44" s="62" t="str">
        <f ca="1">IF(AND('Mapa final'!$AG$33="Baja",'Mapa final'!$AI$33="Leve"),CONCATENATE("R9C",'Mapa final'!$W$33),"")</f>
        <v/>
      </c>
      <c r="K44" s="63" t="str">
        <f ca="1">IF(AND('Mapa final'!$AG$34="Baja",'Mapa final'!$AI$34="Leve"),CONCATENATE("R9C",'Mapa final'!$W$34),"")</f>
        <v/>
      </c>
      <c r="L44" s="63" t="str">
        <f ca="1">IF(AND('Mapa final'!$AG$35="Baja",'Mapa final'!$AI$35="Leve"),CONCATENATE("R9C",'Mapa final'!$W$35),"")</f>
        <v/>
      </c>
      <c r="M44" s="63" t="str">
        <f ca="1">IF(AND('Mapa final'!$AG$36="Baja",'Mapa final'!$AI$36="Leve"),CONCATENATE("R9C",'Mapa final'!$W$36),"")</f>
        <v/>
      </c>
      <c r="N44" s="63" t="str">
        <f ca="1">IF(AND('Mapa final'!$AG$37="Baja",'Mapa final'!$AI$37="Leve"),CONCATENATE("R9C",'Mapa final'!$W$37),"")</f>
        <v/>
      </c>
      <c r="O44" s="64" t="e">
        <f>IF(AND('Mapa final'!#REF!="Baja",'Mapa final'!#REF!="Leve"),CONCATENATE("R9C",'Mapa final'!#REF!),"")</f>
        <v>#REF!</v>
      </c>
      <c r="P44" s="53" t="str">
        <f ca="1">IF(AND('Mapa final'!$AG$33="Baja",'Mapa final'!$AI$33="Menor"),CONCATENATE("R9C",'Mapa final'!$W$33),"")</f>
        <v/>
      </c>
      <c r="Q44" s="54" t="str">
        <f ca="1">IF(AND('Mapa final'!$AG$34="Baja",'Mapa final'!$AI$34="Menor"),CONCATENATE("R9C",'Mapa final'!$W$34),"")</f>
        <v/>
      </c>
      <c r="R44" s="54" t="str">
        <f ca="1">IF(AND('Mapa final'!$AG$35="Baja",'Mapa final'!$AI$35="Menor"),CONCATENATE("R9C",'Mapa final'!$W$35),"")</f>
        <v/>
      </c>
      <c r="S44" s="54" t="str">
        <f ca="1">IF(AND('Mapa final'!$AG$36="Baja",'Mapa final'!$AI$36="Menor"),CONCATENATE("R9C",'Mapa final'!$W$36),"")</f>
        <v/>
      </c>
      <c r="T44" s="54" t="str">
        <f ca="1">IF(AND('Mapa final'!$AG$37="Baja",'Mapa final'!$AI$37="Menor"),CONCATENATE("R9C",'Mapa final'!$W$37),"")</f>
        <v/>
      </c>
      <c r="U44" s="55" t="e">
        <f>IF(AND('Mapa final'!#REF!="Baja",'Mapa final'!#REF!="Menor"),CONCATENATE("R9C",'Mapa final'!#REF!),"")</f>
        <v>#REF!</v>
      </c>
      <c r="V44" s="53" t="str">
        <f ca="1">IF(AND('Mapa final'!$AG$33="Baja",'Mapa final'!$AI$33="Moderado"),CONCATENATE("R9C",'Mapa final'!$W$33),"")</f>
        <v/>
      </c>
      <c r="W44" s="54" t="str">
        <f ca="1">IF(AND('Mapa final'!$AG$34="Baja",'Mapa final'!$AI$34="Moderado"),CONCATENATE("R9C",'Mapa final'!$W$34),"")</f>
        <v/>
      </c>
      <c r="X44" s="54" t="str">
        <f ca="1">IF(AND('Mapa final'!$AG$35="Baja",'Mapa final'!$AI$35="Moderado"),CONCATENATE("R9C",'Mapa final'!$W$35),"")</f>
        <v/>
      </c>
      <c r="Y44" s="54" t="str">
        <f ca="1">IF(AND('Mapa final'!$AG$36="Baja",'Mapa final'!$AI$36="Moderado"),CONCATENATE("R9C",'Mapa final'!$W$36),"")</f>
        <v/>
      </c>
      <c r="Z44" s="54" t="str">
        <f ca="1">IF(AND('Mapa final'!$AG$37="Baja",'Mapa final'!$AI$37="Moderado"),CONCATENATE("R9C",'Mapa final'!$W$37),"")</f>
        <v/>
      </c>
      <c r="AA44" s="55" t="e">
        <f>IF(AND('Mapa final'!#REF!="Baja",'Mapa final'!#REF!="Moderado"),CONCATENATE("R9C",'Mapa final'!#REF!),"")</f>
        <v>#REF!</v>
      </c>
      <c r="AB44" s="38" t="str">
        <f ca="1">IF(AND('Mapa final'!$AG$33="Baja",'Mapa final'!$AI$33="Mayor"),CONCATENATE("R9C",'Mapa final'!$W$33),"")</f>
        <v/>
      </c>
      <c r="AC44" s="39" t="str">
        <f ca="1">IF(AND('Mapa final'!$AG$34="Baja",'Mapa final'!$AI$34="Mayor"),CONCATENATE("R9C",'Mapa final'!$W$34),"")</f>
        <v/>
      </c>
      <c r="AD44" s="39" t="str">
        <f ca="1">IF(AND('Mapa final'!$AG$35="Baja",'Mapa final'!$AI$35="Mayor"),CONCATENATE("R9C",'Mapa final'!$W$35),"")</f>
        <v/>
      </c>
      <c r="AE44" s="39" t="str">
        <f ca="1">IF(AND('Mapa final'!$AG$36="Baja",'Mapa final'!$AI$36="Mayor"),CONCATENATE("R9C",'Mapa final'!$W$36),"")</f>
        <v/>
      </c>
      <c r="AF44" s="39" t="str">
        <f ca="1">IF(AND('Mapa final'!$AG$37="Baja",'Mapa final'!$AI$37="Mayor"),CONCATENATE("R9C",'Mapa final'!$W$37),"")</f>
        <v/>
      </c>
      <c r="AG44" s="40" t="e">
        <f>IF(AND('Mapa final'!#REF!="Baja",'Mapa final'!#REF!="Mayor"),CONCATENATE("R9C",'Mapa final'!#REF!),"")</f>
        <v>#REF!</v>
      </c>
      <c r="AH44" s="41" t="str">
        <f ca="1">IF(AND('Mapa final'!$AG$33="Baja",'Mapa final'!$AI$33="Catastrófico"),CONCATENATE("R9C",'Mapa final'!$W$33),"")</f>
        <v>R9C1</v>
      </c>
      <c r="AI44" s="42" t="str">
        <f ca="1">IF(AND('Mapa final'!$AG$34="Baja",'Mapa final'!$AI$34="Catastrófico"),CONCATENATE("R9C",'Mapa final'!$W$34),"")</f>
        <v>R9C2</v>
      </c>
      <c r="AJ44" s="42" t="str">
        <f ca="1">IF(AND('Mapa final'!$AG$35="Baja",'Mapa final'!$AI$35="Catastrófico"),CONCATENATE("R9C",'Mapa final'!$W$35),"")</f>
        <v/>
      </c>
      <c r="AK44" s="42" t="str">
        <f ca="1">IF(AND('Mapa final'!$AG$36="Baja",'Mapa final'!$AI$36="Catastrófico"),CONCATENATE("R9C",'Mapa final'!$W$36),"")</f>
        <v/>
      </c>
      <c r="AL44" s="42" t="str">
        <f ca="1">IF(AND('Mapa final'!$AG$37="Baja",'Mapa final'!$AI$37="Catastrófico"),CONCATENATE("R9C",'Mapa final'!$W$37),"")</f>
        <v/>
      </c>
      <c r="AM44" s="43" t="e">
        <f>IF(AND('Mapa final'!#REF!="Baja",'Mapa final'!#REF!="Catastrófico"),CONCATENATE("R9C",'Mapa final'!#REF!),"")</f>
        <v>#REF!</v>
      </c>
      <c r="AN44" s="69"/>
      <c r="AO44" s="659"/>
      <c r="AP44" s="660"/>
      <c r="AQ44" s="660"/>
      <c r="AR44" s="660"/>
      <c r="AS44" s="660"/>
      <c r="AT44" s="661"/>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60"/>
      <c r="C45" s="560"/>
      <c r="D45" s="561"/>
      <c r="E45" s="642"/>
      <c r="F45" s="643"/>
      <c r="G45" s="643"/>
      <c r="H45" s="643"/>
      <c r="I45" s="643"/>
      <c r="J45" s="65" t="str">
        <f ca="1">IF(AND('Mapa final'!$AG$38="Baja",'Mapa final'!$AI$38="Leve"),CONCATENATE("R10C",'Mapa final'!$W$38),"")</f>
        <v/>
      </c>
      <c r="K45" s="66" t="str">
        <f ca="1">IF(AND('Mapa final'!$AG$39="Baja",'Mapa final'!$AI$39="Leve"),CONCATENATE("R10C",'Mapa final'!$W$39),"")</f>
        <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str">
        <f ca="1">IF(AND('Mapa final'!$AG$38="Baja",'Mapa final'!$AI$38="Menor"),CONCATENATE("R10C",'Mapa final'!$W$38),"")</f>
        <v/>
      </c>
      <c r="Q45" s="54" t="str">
        <f ca="1">IF(AND('Mapa final'!$AG$39="Baja",'Mapa final'!$AI$39="Menor"),CONCATENATE("R10C",'Mapa final'!$W$39),"")</f>
        <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str">
        <f ca="1">IF(AND('Mapa final'!$AG$38="Baja",'Mapa final'!$AI$38="Moderado"),CONCATENATE("R10C",'Mapa final'!$W$38),"")</f>
        <v/>
      </c>
      <c r="W45" s="57" t="str">
        <f ca="1">IF(AND('Mapa final'!$AG$39="Baja",'Mapa final'!$AI$39="Moderado"),CONCATENATE("R10C",'Mapa final'!$W$39),"")</f>
        <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str">
        <f ca="1">IF(AND('Mapa final'!$AG$38="Baja",'Mapa final'!$AI$38="Mayor"),CONCATENATE("R10C",'Mapa final'!$W$38),"")</f>
        <v/>
      </c>
      <c r="AC45" s="45" t="str">
        <f ca="1">IF(AND('Mapa final'!$AG$39="Baja",'Mapa final'!$AI$39="Mayor"),CONCATENATE("R10C",'Mapa final'!$W$39),"")</f>
        <v>R10C2</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str">
        <f ca="1">IF(AND('Mapa final'!$AG$38="Baja",'Mapa final'!$AI$38="Catastrófico"),CONCATENATE("R10C",'Mapa final'!$W$38),"")</f>
        <v/>
      </c>
      <c r="AI45" s="48" t="str">
        <f ca="1">IF(AND('Mapa final'!$AG$39="Baja",'Mapa final'!$AI$39="Catastrófico"),CONCATENATE("R10C",'Mapa final'!$W$39),"")</f>
        <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662"/>
      <c r="AP45" s="663"/>
      <c r="AQ45" s="663"/>
      <c r="AR45" s="663"/>
      <c r="AS45" s="663"/>
      <c r="AT45" s="664"/>
    </row>
    <row r="46" spans="1:80" ht="46.5" customHeight="1" x14ac:dyDescent="0.35">
      <c r="A46" s="69"/>
      <c r="B46" s="560"/>
      <c r="C46" s="560"/>
      <c r="D46" s="561"/>
      <c r="E46" s="635" t="s">
        <v>137</v>
      </c>
      <c r="F46" s="636"/>
      <c r="G46" s="636"/>
      <c r="H46" s="636"/>
      <c r="I46" s="637"/>
      <c r="J46" s="59" t="str">
        <f ca="1">IF(AND('Mapa final'!$AG$13="Muy Baja",'Mapa final'!$AI$13="Leve"),CONCATENATE("R1C",'Mapa final'!$W$13),"")</f>
        <v/>
      </c>
      <c r="K46" s="60" t="str">
        <f ca="1">IF(AND('Mapa final'!$AG$14="Muy Baja",'Mapa final'!$AI$14="Leve"),CONCATENATE("R1C",'Mapa final'!$W$14),"")</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 ca="1">IF(AND('Mapa final'!$AG$13="Muy Baja",'Mapa final'!$AI$13="Menor"),CONCATENATE("R1C",'Mapa final'!$W$13),"")</f>
        <v/>
      </c>
      <c r="Q46" s="60" t="str">
        <f ca="1">IF(AND('Mapa final'!$AG$14="Muy Baja",'Mapa final'!$AI$14="Menor"),CONCATENATE("R1C",'Mapa final'!$W$14),"")</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 ca="1">IF(AND('Mapa final'!$AG$13="Muy Baja",'Mapa final'!$AI$13="Moderado"),CONCATENATE("R1C",'Mapa final'!$W$13),"")</f>
        <v/>
      </c>
      <c r="W46" s="68" t="str">
        <f ca="1">IF(AND('Mapa final'!$AG$14="Muy Baja",'Mapa final'!$AI$14="Moderado"),CONCATENATE("R1C",'Mapa final'!$W$14),"")</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 ca="1">IF(AND('Mapa final'!$AG$13="Muy Baja",'Mapa final'!$AI$13="Mayor"),CONCATENATE("R1C",'Mapa final'!$W$13),"")</f>
        <v/>
      </c>
      <c r="AC46" s="33" t="str">
        <f ca="1">IF(AND('Mapa final'!$AG$14="Muy Baja",'Mapa final'!$AI$14="Mayor"),CONCATENATE("R1C",'Mapa final'!$W$14),"")</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 ca="1">IF(AND('Mapa final'!$AG$13="Muy Baja",'Mapa final'!$AI$13="Catastrófico"),CONCATENATE("R1C",'Mapa final'!$W$13),"")</f>
        <v/>
      </c>
      <c r="AI46" s="36" t="str">
        <f ca="1">IF(AND('Mapa final'!$AG$14="Muy Baja",'Mapa final'!$AI$14="Catastrófico"),CONCATENATE("R1C",'Mapa final'!$W$14),"")</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60"/>
      <c r="C47" s="560"/>
      <c r="D47" s="561"/>
      <c r="E47" s="638"/>
      <c r="F47" s="639"/>
      <c r="G47" s="639"/>
      <c r="H47" s="639"/>
      <c r="I47" s="640"/>
      <c r="J47" s="62" t="str">
        <f ca="1">IF(AND('Mapa final'!$AG$15="Muy Baja",'Mapa final'!$AI$15="Leve"),CONCATENATE("R2C",'Mapa final'!$W$15),"")</f>
        <v/>
      </c>
      <c r="K47" s="63" t="str">
        <f ca="1">IF(AND('Mapa final'!$AG$16="Muy Baja",'Mapa final'!$AI$16="Leve"),CONCATENATE("R2C",'Mapa final'!$W$16),"")</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 ca="1">IF(AND('Mapa final'!$AG$15="Muy Baja",'Mapa final'!$AI$15="Menor"),CONCATENATE("R2C",'Mapa final'!$W$15),"")</f>
        <v/>
      </c>
      <c r="Q47" s="63" t="str">
        <f ca="1">IF(AND('Mapa final'!$AG$16="Muy Baja",'Mapa final'!$AI$16="Menor"),CONCATENATE("R2C",'Mapa final'!$W$16),"")</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 ca="1">IF(AND('Mapa final'!$AG$15="Muy Baja",'Mapa final'!$AI$15="Moderado"),CONCATENATE("R2C",'Mapa final'!$W$15),"")</f>
        <v/>
      </c>
      <c r="W47" s="54" t="str">
        <f ca="1">IF(AND('Mapa final'!$AG$16="Muy Baja",'Mapa final'!$AI$16="Moderado"),CONCATENATE("R2C",'Mapa final'!$W$16),"")</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 ca="1">IF(AND('Mapa final'!$AG$15="Muy Baja",'Mapa final'!$AI$15="Mayor"),CONCATENATE("R2C",'Mapa final'!$W$15),"")</f>
        <v/>
      </c>
      <c r="AC47" s="39" t="str">
        <f ca="1">IF(AND('Mapa final'!$AG$16="Muy Baja",'Mapa final'!$AI$16="Mayor"),CONCATENATE("R2C",'Mapa final'!$W$16),"")</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 ca="1">IF(AND('Mapa final'!$AG$15="Muy Baja",'Mapa final'!$AI$15="Catastrófico"),CONCATENATE("R2C",'Mapa final'!$W$15),"")</f>
        <v/>
      </c>
      <c r="AI47" s="42" t="str">
        <f ca="1">IF(AND('Mapa final'!$AG$16="Muy Baja",'Mapa final'!$AI$16="Catastrófico"),CONCATENATE("R2C",'Mapa final'!$W$16),"")</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60"/>
      <c r="C48" s="560"/>
      <c r="D48" s="561"/>
      <c r="E48" s="638"/>
      <c r="F48" s="639"/>
      <c r="G48" s="639"/>
      <c r="H48" s="639"/>
      <c r="I48" s="640"/>
      <c r="J48" s="62" t="str">
        <f ca="1">IF(AND('Mapa final'!$AG$17="Muy Baja",'Mapa final'!$AI$17="Leve"),CONCATENATE("R3C",'Mapa final'!$W$17),"")</f>
        <v/>
      </c>
      <c r="K48" s="63" t="str">
        <f ca="1">IF(AND('Mapa final'!$AG$18="Muy Baja",'Mapa final'!$AI$18="Leve"),CONCATENATE("R3C",'Mapa final'!$W$18),"")</f>
        <v/>
      </c>
      <c r="L48" s="63" t="str">
        <f ca="1">IF(AND('Mapa final'!$AG$19="Muy Baja",'Mapa final'!$AI$19="Leve"),CONCATENATE("R3C",'Mapa final'!$W$19),"")</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 ca="1">IF(AND('Mapa final'!$AG$17="Muy Baja",'Mapa final'!$AI$17="Menor"),CONCATENATE("R3C",'Mapa final'!$W$17),"")</f>
        <v/>
      </c>
      <c r="Q48" s="63" t="str">
        <f ca="1">IF(AND('Mapa final'!$AG$18="Muy Baja",'Mapa final'!$AI$18="Menor"),CONCATENATE("R3C",'Mapa final'!$W$18),"")</f>
        <v/>
      </c>
      <c r="R48" s="63" t="str">
        <f ca="1">IF(AND('Mapa final'!$AG$19="Muy Baja",'Mapa final'!$AI$19="Menor"),CONCATENATE("R3C",'Mapa final'!$W$19),"")</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 ca="1">IF(AND('Mapa final'!$AG$17="Muy Baja",'Mapa final'!$AI$17="Moderado"),CONCATENATE("R3C",'Mapa final'!$W$17),"")</f>
        <v/>
      </c>
      <c r="W48" s="54" t="str">
        <f ca="1">IF(AND('Mapa final'!$AG$18="Muy Baja",'Mapa final'!$AI$18="Moderado"),CONCATENATE("R3C",'Mapa final'!$W$18),"")</f>
        <v/>
      </c>
      <c r="X48" s="54" t="str">
        <f ca="1">IF(AND('Mapa final'!$AG$19="Muy Baja",'Mapa final'!$AI$19="Moderado"),CONCATENATE("R3C",'Mapa final'!$W$19),"")</f>
        <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 ca="1">IF(AND('Mapa final'!$AG$17="Muy Baja",'Mapa final'!$AI$17="Mayor"),CONCATENATE("R3C",'Mapa final'!$W$17),"")</f>
        <v>R3C1</v>
      </c>
      <c r="AC48" s="39" t="str">
        <f ca="1">IF(AND('Mapa final'!$AG$18="Muy Baja",'Mapa final'!$AI$18="Mayor"),CONCATENATE("R3C",'Mapa final'!$W$18),"")</f>
        <v>R3C2</v>
      </c>
      <c r="AD48" s="39" t="str">
        <f ca="1">IF(AND('Mapa final'!$AG$19="Muy Baja",'Mapa final'!$AI$19="Mayor"),CONCATENATE("R3C",'Mapa final'!$W$19),"")</f>
        <v>R3C3</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 ca="1">IF(AND('Mapa final'!$AG$17="Muy Baja",'Mapa final'!$AI$17="Catastrófico"),CONCATENATE("R3C",'Mapa final'!$W$17),"")</f>
        <v/>
      </c>
      <c r="AI48" s="42" t="str">
        <f ca="1">IF(AND('Mapa final'!$AG$18="Muy Baja",'Mapa final'!$AI$18="Catastrófico"),CONCATENATE("R3C",'Mapa final'!$W$18),"")</f>
        <v/>
      </c>
      <c r="AJ48" s="42" t="str">
        <f ca="1">IF(AND('Mapa final'!$AG$19="Muy Baja",'Mapa final'!$AI$19="Catastrófico"),CONCATENATE("R3C",'Mapa final'!$W$19),"")</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60"/>
      <c r="C49" s="560"/>
      <c r="D49" s="561"/>
      <c r="E49" s="641"/>
      <c r="F49" s="639"/>
      <c r="G49" s="639"/>
      <c r="H49" s="639"/>
      <c r="I49" s="640"/>
      <c r="J49" s="62" t="str">
        <f ca="1">IF(AND('Mapa final'!$AG$20="Muy Baja",'Mapa final'!$AI$20="Leve"),CONCATENATE("R4C",'Mapa final'!$W$20),"")</f>
        <v/>
      </c>
      <c r="K49" s="63" t="str">
        <f ca="1">IF(AND('Mapa final'!$AG$21="Muy Baja",'Mapa final'!$AI$21="Leve"),CONCATENATE("R4C",'Mapa final'!$W$21),"")</f>
        <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str">
        <f ca="1">IF(AND('Mapa final'!$AG$20="Muy Baja",'Mapa final'!$AI$20="Menor"),CONCATENATE("R4C",'Mapa final'!$W$20),"")</f>
        <v/>
      </c>
      <c r="Q49" s="63" t="str">
        <f ca="1">IF(AND('Mapa final'!$AG$21="Muy Baja",'Mapa final'!$AI$21="Menor"),CONCATENATE("R4C",'Mapa final'!$W$21),"")</f>
        <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str">
        <f ca="1">IF(AND('Mapa final'!$AG$20="Muy Baja",'Mapa final'!$AI$20="Moderado"),CONCATENATE("R4C",'Mapa final'!$W$20),"")</f>
        <v/>
      </c>
      <c r="W49" s="54" t="str">
        <f ca="1">IF(AND('Mapa final'!$AG$21="Muy Baja",'Mapa final'!$AI$21="Moderado"),CONCATENATE("R4C",'Mapa final'!$W$21),"")</f>
        <v>R4C2</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str">
        <f ca="1">IF(AND('Mapa final'!$AG$20="Muy Baja",'Mapa final'!$AI$20="Mayor"),CONCATENATE("R4C",'Mapa final'!$W$20),"")</f>
        <v/>
      </c>
      <c r="AC49" s="39" t="str">
        <f ca="1">IF(AND('Mapa final'!$AG$21="Muy Baja",'Mapa final'!$AI$21="Mayor"),CONCATENATE("R4C",'Mapa final'!$W$21),"")</f>
        <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str">
        <f ca="1">IF(AND('Mapa final'!$AG$20="Muy Baja",'Mapa final'!$AI$20="Catastrófico"),CONCATENATE("R4C",'Mapa final'!$W$20),"")</f>
        <v/>
      </c>
      <c r="AI49" s="42" t="str">
        <f ca="1">IF(AND('Mapa final'!$AG$21="Muy Baja",'Mapa final'!$AI$21="Catastrófico"),CONCATENATE("R4C",'Mapa final'!$W$21),"")</f>
        <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60"/>
      <c r="C50" s="560"/>
      <c r="D50" s="561"/>
      <c r="E50" s="641"/>
      <c r="F50" s="639"/>
      <c r="G50" s="639"/>
      <c r="H50" s="639"/>
      <c r="I50" s="640"/>
      <c r="J50" s="62" t="str">
        <f ca="1">IF(AND('Mapa final'!$AG$22="Muy Baja",'Mapa final'!$AI$22="Leve"),CONCATENATE("R5C",'Mapa final'!$W$22),"")</f>
        <v/>
      </c>
      <c r="K50" s="63" t="str">
        <f ca="1">IF(AND('Mapa final'!$AG$23="Muy Baja",'Mapa final'!$AI$23="Leve"),CONCATENATE("R5C",'Mapa final'!$W$23),"")</f>
        <v/>
      </c>
      <c r="L50" s="63" t="str">
        <f ca="1">IF(AND('Mapa final'!$AG$24="Muy Baja",'Mapa final'!$AI$24="Leve"),CONCATENATE("R5C",'Mapa final'!$W$24),"")</f>
        <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str">
        <f ca="1">IF(AND('Mapa final'!$AG$22="Muy Baja",'Mapa final'!$AI$22="Menor"),CONCATENATE("R5C",'Mapa final'!$W$22),"")</f>
        <v/>
      </c>
      <c r="Q50" s="63" t="str">
        <f ca="1">IF(AND('Mapa final'!$AG$23="Muy Baja",'Mapa final'!$AI$23="Menor"),CONCATENATE("R5C",'Mapa final'!$W$23),"")</f>
        <v/>
      </c>
      <c r="R50" s="63" t="str">
        <f ca="1">IF(AND('Mapa final'!$AG$24="Muy Baja",'Mapa final'!$AI$24="Menor"),CONCATENATE("R5C",'Mapa final'!$W$24),"")</f>
        <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str">
        <f ca="1">IF(AND('Mapa final'!$AG$22="Muy Baja",'Mapa final'!$AI$22="Moderado"),CONCATENATE("R5C",'Mapa final'!$W$22),"")</f>
        <v/>
      </c>
      <c r="W50" s="54" t="str">
        <f ca="1">IF(AND('Mapa final'!$AG$23="Muy Baja",'Mapa final'!$AI$23="Moderado"),CONCATENATE("R5C",'Mapa final'!$W$23),"")</f>
        <v/>
      </c>
      <c r="X50" s="54" t="str">
        <f ca="1">IF(AND('Mapa final'!$AG$24="Muy Baja",'Mapa final'!$AI$24="Moderado"),CONCATENATE("R5C",'Mapa final'!$W$24),"")</f>
        <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str">
        <f ca="1">IF(AND('Mapa final'!$AG$22="Muy Baja",'Mapa final'!$AI$22="Mayor"),CONCATENATE("R5C",'Mapa final'!$W$22),"")</f>
        <v>R5C1</v>
      </c>
      <c r="AC50" s="39" t="str">
        <f ca="1">IF(AND('Mapa final'!$AG$23="Muy Baja",'Mapa final'!$AI$23="Mayor"),CONCATENATE("R5C",'Mapa final'!$W$23),"")</f>
        <v>R5C2</v>
      </c>
      <c r="AD50" s="39" t="str">
        <f ca="1">IF(AND('Mapa final'!$AG$24="Muy Baja",'Mapa final'!$AI$24="Mayor"),CONCATENATE("R5C",'Mapa final'!$W$24),"")</f>
        <v>R5C3</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str">
        <f ca="1">IF(AND('Mapa final'!$AG$22="Muy Baja",'Mapa final'!$AI$22="Catastrófico"),CONCATENATE("R5C",'Mapa final'!$W$22),"")</f>
        <v/>
      </c>
      <c r="AI50" s="42" t="str">
        <f ca="1">IF(AND('Mapa final'!$AG$23="Muy Baja",'Mapa final'!$AI$23="Catastrófico"),CONCATENATE("R5C",'Mapa final'!$W$23),"")</f>
        <v/>
      </c>
      <c r="AJ50" s="42" t="str">
        <f ca="1">IF(AND('Mapa final'!$AG$24="Muy Baja",'Mapa final'!$AI$24="Catastrófico"),CONCATENATE("R5C",'Mapa final'!$W$24),"")</f>
        <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60"/>
      <c r="C51" s="560"/>
      <c r="D51" s="561"/>
      <c r="E51" s="641"/>
      <c r="F51" s="639"/>
      <c r="G51" s="639"/>
      <c r="H51" s="639"/>
      <c r="I51" s="640"/>
      <c r="J51" s="62" t="str">
        <f ca="1">IF(AND('Mapa final'!$AG$25="Muy Baja",'Mapa final'!$AI$25="Leve"),CONCATENATE("R6C",'Mapa final'!$W$25),"")</f>
        <v/>
      </c>
      <c r="K51" s="63" t="str">
        <f ca="1">IF(AND('Mapa final'!$AG$26="Muy Baja",'Mapa final'!$AI$26="Leve"),CONCATENATE("R6C",'Mapa final'!$W$26),"")</f>
        <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str">
        <f ca="1">IF(AND('Mapa final'!$AG$25="Muy Baja",'Mapa final'!$AI$25="Menor"),CONCATENATE("R6C",'Mapa final'!$W$25),"")</f>
        <v/>
      </c>
      <c r="Q51" s="63" t="str">
        <f ca="1">IF(AND('Mapa final'!$AG$26="Muy Baja",'Mapa final'!$AI$26="Menor"),CONCATENATE("R6C",'Mapa final'!$W$26),"")</f>
        <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str">
        <f ca="1">IF(AND('Mapa final'!$AG$25="Muy Baja",'Mapa final'!$AI$25="Moderado"),CONCATENATE("R6C",'Mapa final'!$W$25),"")</f>
        <v/>
      </c>
      <c r="W51" s="54" t="str">
        <f ca="1">IF(AND('Mapa final'!$AG$26="Muy Baja",'Mapa final'!$AI$26="Moderado"),CONCATENATE("R6C",'Mapa final'!$W$26),"")</f>
        <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str">
        <f ca="1">IF(AND('Mapa final'!$AG$25="Muy Baja",'Mapa final'!$AI$25="Mayor"),CONCATENATE("R6C",'Mapa final'!$W$25),"")</f>
        <v/>
      </c>
      <c r="AC51" s="39" t="str">
        <f ca="1">IF(AND('Mapa final'!$AG$26="Muy Baja",'Mapa final'!$AI$26="Mayor"),CONCATENATE("R6C",'Mapa final'!$W$26),"")</f>
        <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str">
        <f ca="1">IF(AND('Mapa final'!$AG$25="Muy Baja",'Mapa final'!$AI$25="Catastrófico"),CONCATENATE("R6C",'Mapa final'!$W$25),"")</f>
        <v/>
      </c>
      <c r="AI51" s="42" t="str">
        <f ca="1">IF(AND('Mapa final'!$AG$26="Muy Baja",'Mapa final'!$AI$26="Catastrófico"),CONCATENATE("R6C",'Mapa final'!$W$26),"")</f>
        <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60"/>
      <c r="C52" s="560"/>
      <c r="D52" s="561"/>
      <c r="E52" s="641"/>
      <c r="F52" s="639"/>
      <c r="G52" s="639"/>
      <c r="H52" s="639"/>
      <c r="I52" s="640"/>
      <c r="J52" s="62" t="str">
        <f ca="1">IF(AND('Mapa final'!$AG$27="Muy Baja",'Mapa final'!$AI$27="Leve"),CONCATENATE("R7C",'Mapa final'!$W$27),"")</f>
        <v/>
      </c>
      <c r="K52" s="63" t="str">
        <f ca="1">IF(AND('Mapa final'!$AG$28="Muy Baja",'Mapa final'!$AI$28="Leve"),CONCATENATE("R7C",'Mapa final'!$W$28),"")</f>
        <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str">
        <f ca="1">IF(AND('Mapa final'!$AG$27="Muy Baja",'Mapa final'!$AI$27="Menor"),CONCATENATE("R7C",'Mapa final'!$W$27),"")</f>
        <v/>
      </c>
      <c r="Q52" s="63" t="str">
        <f ca="1">IF(AND('Mapa final'!$AG$28="Muy Baja",'Mapa final'!$AI$28="Menor"),CONCATENATE("R7C",'Mapa final'!$W$28),"")</f>
        <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str">
        <f ca="1">IF(AND('Mapa final'!$AG$27="Muy Baja",'Mapa final'!$AI$27="Moderado"),CONCATENATE("R7C",'Mapa final'!$W$27),"")</f>
        <v/>
      </c>
      <c r="W52" s="54" t="str">
        <f ca="1">IF(AND('Mapa final'!$AG$28="Muy Baja",'Mapa final'!$AI$28="Moderado"),CONCATENATE("R7C",'Mapa final'!$W$28),"")</f>
        <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str">
        <f ca="1">IF(AND('Mapa final'!$AG$27="Muy Baja",'Mapa final'!$AI$27="Mayor"),CONCATENATE("R7C",'Mapa final'!$W$27),"")</f>
        <v/>
      </c>
      <c r="AC52" s="39" t="str">
        <f ca="1">IF(AND('Mapa final'!$AG$28="Muy Baja",'Mapa final'!$AI$28="Mayor"),CONCATENATE("R7C",'Mapa final'!$W$28),"")</f>
        <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str">
        <f ca="1">IF(AND('Mapa final'!$AG$27="Muy Baja",'Mapa final'!$AI$27="Catastrófico"),CONCATENATE("R7C",'Mapa final'!$W$27),"")</f>
        <v/>
      </c>
      <c r="AI52" s="42" t="str">
        <f ca="1">IF(AND('Mapa final'!$AG$28="Muy Baja",'Mapa final'!$AI$28="Catastrófico"),CONCATENATE("R7C",'Mapa final'!$W$28),"")</f>
        <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60"/>
      <c r="C53" s="560"/>
      <c r="D53" s="561"/>
      <c r="E53" s="641"/>
      <c r="F53" s="639"/>
      <c r="G53" s="639"/>
      <c r="H53" s="639"/>
      <c r="I53" s="640"/>
      <c r="J53" s="62" t="str">
        <f ca="1">IF(AND('Mapa final'!$AG$29="Muy Baja",'Mapa final'!$AI$29="Leve"),CONCATENATE("R8C",'Mapa final'!$W$29),"")</f>
        <v/>
      </c>
      <c r="K53" s="63" t="str">
        <f ca="1">IF(AND('Mapa final'!$AG$30="Muy Baja",'Mapa final'!$AI$30="Leve"),CONCATENATE("R8C",'Mapa final'!$W$30),"")</f>
        <v/>
      </c>
      <c r="L53" s="63" t="str">
        <f ca="1">IF(AND('Mapa final'!$AG$31="Muy Baja",'Mapa final'!$AI$31="Leve"),CONCATENATE("R8C",'Mapa final'!$W$31),"")</f>
        <v/>
      </c>
      <c r="M53" s="63" t="str">
        <f ca="1">IF(AND('Mapa final'!$AG$32="Muy Baja",'Mapa final'!$AI$32="Leve"),CONCATENATE("R8C",'Mapa final'!$W$32),"")</f>
        <v/>
      </c>
      <c r="N53" s="63" t="e">
        <f>IF(AND('Mapa final'!#REF!="Muy Baja",'Mapa final'!#REF!="Leve"),CONCATENATE("R8C",'Mapa final'!#REF!),"")</f>
        <v>#REF!</v>
      </c>
      <c r="O53" s="64" t="e">
        <f>IF(AND('Mapa final'!#REF!="Muy Baja",'Mapa final'!#REF!="Leve"),CONCATENATE("R8C",'Mapa final'!#REF!),"")</f>
        <v>#REF!</v>
      </c>
      <c r="P53" s="62" t="str">
        <f ca="1">IF(AND('Mapa final'!$AG$29="Muy Baja",'Mapa final'!$AI$29="Menor"),CONCATENATE("R8C",'Mapa final'!$W$29),"")</f>
        <v/>
      </c>
      <c r="Q53" s="63" t="str">
        <f ca="1">IF(AND('Mapa final'!$AG$30="Muy Baja",'Mapa final'!$AI$30="Menor"),CONCATENATE("R8C",'Mapa final'!$W$30),"")</f>
        <v/>
      </c>
      <c r="R53" s="63" t="str">
        <f ca="1">IF(AND('Mapa final'!$AG$31="Muy Baja",'Mapa final'!$AI$31="Menor"),CONCATENATE("R8C",'Mapa final'!$W$31),"")</f>
        <v/>
      </c>
      <c r="S53" s="63" t="str">
        <f ca="1">IF(AND('Mapa final'!$AG$32="Muy Baja",'Mapa final'!$AI$32="Menor"),CONCATENATE("R8C",'Mapa final'!$W$32),"")</f>
        <v/>
      </c>
      <c r="T53" s="63" t="e">
        <f>IF(AND('Mapa final'!#REF!="Muy Baja",'Mapa final'!#REF!="Menor"),CONCATENATE("R8C",'Mapa final'!#REF!),"")</f>
        <v>#REF!</v>
      </c>
      <c r="U53" s="64" t="e">
        <f>IF(AND('Mapa final'!#REF!="Muy Baja",'Mapa final'!#REF!="Menor"),CONCATENATE("R8C",'Mapa final'!#REF!),"")</f>
        <v>#REF!</v>
      </c>
      <c r="V53" s="53" t="str">
        <f ca="1">IF(AND('Mapa final'!$AG$29="Muy Baja",'Mapa final'!$AI$29="Moderado"),CONCATENATE("R8C",'Mapa final'!$W$29),"")</f>
        <v/>
      </c>
      <c r="W53" s="54" t="str">
        <f ca="1">IF(AND('Mapa final'!$AG$30="Muy Baja",'Mapa final'!$AI$30="Moderado"),CONCATENATE("R8C",'Mapa final'!$W$30),"")</f>
        <v/>
      </c>
      <c r="X53" s="54" t="str">
        <f ca="1">IF(AND('Mapa final'!$AG$31="Muy Baja",'Mapa final'!$AI$31="Moderado"),CONCATENATE("R8C",'Mapa final'!$W$31),"")</f>
        <v>R8C3</v>
      </c>
      <c r="Y53" s="54" t="str">
        <f ca="1">IF(AND('Mapa final'!$AG$32="Muy Baja",'Mapa final'!$AI$32="Moderado"),CONCATENATE("R8C",'Mapa final'!$W$32),"")</f>
        <v>R8C4</v>
      </c>
      <c r="Z53" s="54" t="e">
        <f>IF(AND('Mapa final'!#REF!="Muy Baja",'Mapa final'!#REF!="Moderado"),CONCATENATE("R8C",'Mapa final'!#REF!),"")</f>
        <v>#REF!</v>
      </c>
      <c r="AA53" s="55" t="e">
        <f>IF(AND('Mapa final'!#REF!="Muy Baja",'Mapa final'!#REF!="Moderado"),CONCATENATE("R8C",'Mapa final'!#REF!),"")</f>
        <v>#REF!</v>
      </c>
      <c r="AB53" s="38" t="str">
        <f ca="1">IF(AND('Mapa final'!$AG$29="Muy Baja",'Mapa final'!$AI$29="Mayor"),CONCATENATE("R8C",'Mapa final'!$W$29),"")</f>
        <v/>
      </c>
      <c r="AC53" s="39" t="str">
        <f ca="1">IF(AND('Mapa final'!$AG$30="Muy Baja",'Mapa final'!$AI$30="Mayor"),CONCATENATE("R8C",'Mapa final'!$W$30),"")</f>
        <v/>
      </c>
      <c r="AD53" s="39" t="str">
        <f ca="1">IF(AND('Mapa final'!$AG$31="Muy Baja",'Mapa final'!$AI$31="Mayor"),CONCATENATE("R8C",'Mapa final'!$W$31),"")</f>
        <v/>
      </c>
      <c r="AE53" s="39" t="str">
        <f ca="1">IF(AND('Mapa final'!$AG$32="Muy Baja",'Mapa final'!$AI$32="Mayor"),CONCATENATE("R8C",'Mapa final'!$W$32),"")</f>
        <v/>
      </c>
      <c r="AF53" s="39" t="e">
        <f>IF(AND('Mapa final'!#REF!="Muy Baja",'Mapa final'!#REF!="Mayor"),CONCATENATE("R8C",'Mapa final'!#REF!),"")</f>
        <v>#REF!</v>
      </c>
      <c r="AG53" s="40" t="e">
        <f>IF(AND('Mapa final'!#REF!="Muy Baja",'Mapa final'!#REF!="Mayor"),CONCATENATE("R8C",'Mapa final'!#REF!),"")</f>
        <v>#REF!</v>
      </c>
      <c r="AH53" s="41" t="str">
        <f ca="1">IF(AND('Mapa final'!$AG$29="Muy Baja",'Mapa final'!$AI$29="Catastrófico"),CONCATENATE("R8C",'Mapa final'!$W$29),"")</f>
        <v/>
      </c>
      <c r="AI53" s="42" t="str">
        <f ca="1">IF(AND('Mapa final'!$AG$30="Muy Baja",'Mapa final'!$AI$30="Catastrófico"),CONCATENATE("R8C",'Mapa final'!$W$30),"")</f>
        <v/>
      </c>
      <c r="AJ53" s="42" t="str">
        <f ca="1">IF(AND('Mapa final'!$AG$31="Muy Baja",'Mapa final'!$AI$31="Catastrófico"),CONCATENATE("R8C",'Mapa final'!$W$31),"")</f>
        <v/>
      </c>
      <c r="AK53" s="42" t="str">
        <f ca="1">IF(AND('Mapa final'!$AG$32="Muy Baja",'Mapa final'!$AI$32="Catastrófico"),CONCATENATE("R8C",'Mapa final'!$W$32),"")</f>
        <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60"/>
      <c r="C54" s="560"/>
      <c r="D54" s="561"/>
      <c r="E54" s="641"/>
      <c r="F54" s="639"/>
      <c r="G54" s="639"/>
      <c r="H54" s="639"/>
      <c r="I54" s="640"/>
      <c r="J54" s="62" t="str">
        <f ca="1">IF(AND('Mapa final'!$AG$33="Muy Baja",'Mapa final'!$AI$33="Leve"),CONCATENATE("R9C",'Mapa final'!$W$33),"")</f>
        <v/>
      </c>
      <c r="K54" s="63" t="str">
        <f ca="1">IF(AND('Mapa final'!$AG$34="Muy Baja",'Mapa final'!$AI$34="Leve"),CONCATENATE("R9C",'Mapa final'!$W$34),"")</f>
        <v/>
      </c>
      <c r="L54" s="63" t="str">
        <f ca="1">IF(AND('Mapa final'!$AG$35="Muy Baja",'Mapa final'!$AI$35="Leve"),CONCATENATE("R9C",'Mapa final'!$W$35),"")</f>
        <v/>
      </c>
      <c r="M54" s="63" t="str">
        <f ca="1">IF(AND('Mapa final'!$AG$36="Muy Baja",'Mapa final'!$AI$36="Leve"),CONCATENATE("R9C",'Mapa final'!$W$36),"")</f>
        <v/>
      </c>
      <c r="N54" s="63" t="str">
        <f ca="1">IF(AND('Mapa final'!$AG$37="Muy Baja",'Mapa final'!$AI$37="Leve"),CONCATENATE("R9C",'Mapa final'!$W$37),"")</f>
        <v/>
      </c>
      <c r="O54" s="64" t="e">
        <f>IF(AND('Mapa final'!#REF!="Muy Baja",'Mapa final'!#REF!="Leve"),CONCATENATE("R9C",'Mapa final'!#REF!),"")</f>
        <v>#REF!</v>
      </c>
      <c r="P54" s="62" t="str">
        <f ca="1">IF(AND('Mapa final'!$AG$33="Muy Baja",'Mapa final'!$AI$33="Menor"),CONCATENATE("R9C",'Mapa final'!$W$33),"")</f>
        <v/>
      </c>
      <c r="Q54" s="63" t="str">
        <f ca="1">IF(AND('Mapa final'!$AG$34="Muy Baja",'Mapa final'!$AI$34="Menor"),CONCATENATE("R9C",'Mapa final'!$W$34),"")</f>
        <v/>
      </c>
      <c r="R54" s="63" t="str">
        <f ca="1">IF(AND('Mapa final'!$AG$35="Muy Baja",'Mapa final'!$AI$35="Menor"),CONCATENATE("R9C",'Mapa final'!$W$35),"")</f>
        <v/>
      </c>
      <c r="S54" s="63" t="str">
        <f ca="1">IF(AND('Mapa final'!$AG$36="Muy Baja",'Mapa final'!$AI$36="Menor"),CONCATENATE("R9C",'Mapa final'!$W$36),"")</f>
        <v/>
      </c>
      <c r="T54" s="63" t="str">
        <f ca="1">IF(AND('Mapa final'!$AG$37="Muy Baja",'Mapa final'!$AI$37="Menor"),CONCATENATE("R9C",'Mapa final'!$W$37),"")</f>
        <v/>
      </c>
      <c r="U54" s="64" t="e">
        <f>IF(AND('Mapa final'!#REF!="Muy Baja",'Mapa final'!#REF!="Menor"),CONCATENATE("R9C",'Mapa final'!#REF!),"")</f>
        <v>#REF!</v>
      </c>
      <c r="V54" s="53" t="str">
        <f ca="1">IF(AND('Mapa final'!$AG$33="Muy Baja",'Mapa final'!$AI$33="Moderado"),CONCATENATE("R9C",'Mapa final'!$W$33),"")</f>
        <v/>
      </c>
      <c r="W54" s="54" t="str">
        <f ca="1">IF(AND('Mapa final'!$AG$34="Muy Baja",'Mapa final'!$AI$34="Moderado"),CONCATENATE("R9C",'Mapa final'!$W$34),"")</f>
        <v/>
      </c>
      <c r="X54" s="54" t="str">
        <f ca="1">IF(AND('Mapa final'!$AG$35="Muy Baja",'Mapa final'!$AI$35="Moderado"),CONCATENATE("R9C",'Mapa final'!$W$35),"")</f>
        <v/>
      </c>
      <c r="Y54" s="54" t="str">
        <f ca="1">IF(AND('Mapa final'!$AG$36="Muy Baja",'Mapa final'!$AI$36="Moderado"),CONCATENATE("R9C",'Mapa final'!$W$36),"")</f>
        <v/>
      </c>
      <c r="Z54" s="54" t="str">
        <f ca="1">IF(AND('Mapa final'!$AG$37="Muy Baja",'Mapa final'!$AI$37="Moderado"),CONCATENATE("R9C",'Mapa final'!$W$37),"")</f>
        <v/>
      </c>
      <c r="AA54" s="55" t="e">
        <f>IF(AND('Mapa final'!#REF!="Muy Baja",'Mapa final'!#REF!="Moderado"),CONCATENATE("R9C",'Mapa final'!#REF!),"")</f>
        <v>#REF!</v>
      </c>
      <c r="AB54" s="38" t="str">
        <f ca="1">IF(AND('Mapa final'!$AG$33="Muy Baja",'Mapa final'!$AI$33="Mayor"),CONCATENATE("R9C",'Mapa final'!$W$33),"")</f>
        <v/>
      </c>
      <c r="AC54" s="39" t="str">
        <f ca="1">IF(AND('Mapa final'!$AG$34="Muy Baja",'Mapa final'!$AI$34="Mayor"),CONCATENATE("R9C",'Mapa final'!$W$34),"")</f>
        <v/>
      </c>
      <c r="AD54" s="39" t="str">
        <f ca="1">IF(AND('Mapa final'!$AG$35="Muy Baja",'Mapa final'!$AI$35="Mayor"),CONCATENATE("R9C",'Mapa final'!$W$35),"")</f>
        <v/>
      </c>
      <c r="AE54" s="39" t="str">
        <f ca="1">IF(AND('Mapa final'!$AG$36="Muy Baja",'Mapa final'!$AI$36="Mayor"),CONCATENATE("R9C",'Mapa final'!$W$36),"")</f>
        <v/>
      </c>
      <c r="AF54" s="39" t="str">
        <f ca="1">IF(AND('Mapa final'!$AG$37="Muy Baja",'Mapa final'!$AI$37="Mayor"),CONCATENATE("R9C",'Mapa final'!$W$37),"")</f>
        <v/>
      </c>
      <c r="AG54" s="40" t="e">
        <f>IF(AND('Mapa final'!#REF!="Muy Baja",'Mapa final'!#REF!="Mayor"),CONCATENATE("R9C",'Mapa final'!#REF!),"")</f>
        <v>#REF!</v>
      </c>
      <c r="AH54" s="41" t="str">
        <f ca="1">IF(AND('Mapa final'!$AG$33="Muy Baja",'Mapa final'!$AI$33="Catastrófico"),CONCATENATE("R9C",'Mapa final'!$W$33),"")</f>
        <v/>
      </c>
      <c r="AI54" s="42" t="str">
        <f ca="1">IF(AND('Mapa final'!$AG$34="Muy Baja",'Mapa final'!$AI$34="Catastrófico"),CONCATENATE("R9C",'Mapa final'!$W$34),"")</f>
        <v/>
      </c>
      <c r="AJ54" s="42" t="str">
        <f ca="1">IF(AND('Mapa final'!$AG$35="Muy Baja",'Mapa final'!$AI$35="Catastrófico"),CONCATENATE("R9C",'Mapa final'!$W$35),"")</f>
        <v>R9C3</v>
      </c>
      <c r="AK54" s="42" t="str">
        <f ca="1">IF(AND('Mapa final'!$AG$36="Muy Baja",'Mapa final'!$AI$36="Catastrófico"),CONCATENATE("R9C",'Mapa final'!$W$36),"")</f>
        <v>R9C4</v>
      </c>
      <c r="AL54" s="42" t="str">
        <f ca="1">IF(AND('Mapa final'!$AG$37="Muy Baja",'Mapa final'!$AI$37="Catastrófico"),CONCATENATE("R9C",'Mapa final'!$W$37),"")</f>
        <v>R9C5</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60"/>
      <c r="C55" s="560"/>
      <c r="D55" s="561"/>
      <c r="E55" s="642"/>
      <c r="F55" s="643"/>
      <c r="G55" s="643"/>
      <c r="H55" s="643"/>
      <c r="I55" s="644"/>
      <c r="J55" s="65" t="str">
        <f ca="1">IF(AND('Mapa final'!$AG$38="Muy Baja",'Mapa final'!$AI$38="Leve"),CONCATENATE("R10C",'Mapa final'!$W$38),"")</f>
        <v/>
      </c>
      <c r="K55" s="66" t="str">
        <f ca="1">IF(AND('Mapa final'!$AG$39="Muy Baja",'Mapa final'!$AI$39="Leve"),CONCATENATE("R10C",'Mapa final'!$W$39),"")</f>
        <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str">
        <f ca="1">IF(AND('Mapa final'!$AG$38="Muy Baja",'Mapa final'!$AI$38="Menor"),CONCATENATE("R10C",'Mapa final'!$W$38),"")</f>
        <v/>
      </c>
      <c r="Q55" s="66" t="str">
        <f ca="1">IF(AND('Mapa final'!$AG$39="Muy Baja",'Mapa final'!$AI$39="Menor"),CONCATENATE("R10C",'Mapa final'!$W$39),"")</f>
        <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str">
        <f ca="1">IF(AND('Mapa final'!$AG$38="Muy Baja",'Mapa final'!$AI$38="Moderado"),CONCATENATE("R10C",'Mapa final'!$W$38),"")</f>
        <v/>
      </c>
      <c r="W55" s="57" t="str">
        <f ca="1">IF(AND('Mapa final'!$AG$39="Muy Baja",'Mapa final'!$AI$39="Moderado"),CONCATENATE("R10C",'Mapa final'!$W$39),"")</f>
        <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str">
        <f ca="1">IF(AND('Mapa final'!$AG$38="Muy Baja",'Mapa final'!$AI$38="Mayor"),CONCATENATE("R10C",'Mapa final'!$W$38),"")</f>
        <v/>
      </c>
      <c r="AC55" s="45" t="str">
        <f ca="1">IF(AND('Mapa final'!$AG$39="Muy Baja",'Mapa final'!$AI$39="Mayor"),CONCATENATE("R10C",'Mapa final'!$W$39),"")</f>
        <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str">
        <f ca="1">IF(AND('Mapa final'!$AG$38="Muy Baja",'Mapa final'!$AI$38="Catastrófico"),CONCATENATE("R10C",'Mapa final'!$W$38),"")</f>
        <v/>
      </c>
      <c r="AI55" s="48" t="str">
        <f ca="1">IF(AND('Mapa final'!$AG$39="Muy Baja",'Mapa final'!$AI$39="Catastrófico"),CONCATENATE("R10C",'Mapa final'!$W$39),"")</f>
        <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35" t="s">
        <v>138</v>
      </c>
      <c r="K56" s="636"/>
      <c r="L56" s="636"/>
      <c r="M56" s="636"/>
      <c r="N56" s="636"/>
      <c r="O56" s="637"/>
      <c r="P56" s="635" t="s">
        <v>139</v>
      </c>
      <c r="Q56" s="636"/>
      <c r="R56" s="636"/>
      <c r="S56" s="636"/>
      <c r="T56" s="636"/>
      <c r="U56" s="637"/>
      <c r="V56" s="635" t="s">
        <v>140</v>
      </c>
      <c r="W56" s="636"/>
      <c r="X56" s="636"/>
      <c r="Y56" s="636"/>
      <c r="Z56" s="636"/>
      <c r="AA56" s="637"/>
      <c r="AB56" s="635" t="s">
        <v>141</v>
      </c>
      <c r="AC56" s="683"/>
      <c r="AD56" s="636"/>
      <c r="AE56" s="636"/>
      <c r="AF56" s="636"/>
      <c r="AG56" s="637"/>
      <c r="AH56" s="635" t="s">
        <v>142</v>
      </c>
      <c r="AI56" s="636"/>
      <c r="AJ56" s="636"/>
      <c r="AK56" s="636"/>
      <c r="AL56" s="636"/>
      <c r="AM56" s="637"/>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41"/>
      <c r="K57" s="639"/>
      <c r="L57" s="639"/>
      <c r="M57" s="639"/>
      <c r="N57" s="639"/>
      <c r="O57" s="640"/>
      <c r="P57" s="641"/>
      <c r="Q57" s="639"/>
      <c r="R57" s="639"/>
      <c r="S57" s="639"/>
      <c r="T57" s="639"/>
      <c r="U57" s="640"/>
      <c r="V57" s="641"/>
      <c r="W57" s="639"/>
      <c r="X57" s="639"/>
      <c r="Y57" s="639"/>
      <c r="Z57" s="639"/>
      <c r="AA57" s="640"/>
      <c r="AB57" s="641"/>
      <c r="AC57" s="639"/>
      <c r="AD57" s="639"/>
      <c r="AE57" s="639"/>
      <c r="AF57" s="639"/>
      <c r="AG57" s="640"/>
      <c r="AH57" s="641"/>
      <c r="AI57" s="639"/>
      <c r="AJ57" s="639"/>
      <c r="AK57" s="639"/>
      <c r="AL57" s="639"/>
      <c r="AM57" s="640"/>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41"/>
      <c r="K58" s="639"/>
      <c r="L58" s="639"/>
      <c r="M58" s="639"/>
      <c r="N58" s="639"/>
      <c r="O58" s="640"/>
      <c r="P58" s="641"/>
      <c r="Q58" s="639"/>
      <c r="R58" s="639"/>
      <c r="S58" s="639"/>
      <c r="T58" s="639"/>
      <c r="U58" s="640"/>
      <c r="V58" s="641"/>
      <c r="W58" s="639"/>
      <c r="X58" s="639"/>
      <c r="Y58" s="639"/>
      <c r="Z58" s="639"/>
      <c r="AA58" s="640"/>
      <c r="AB58" s="641"/>
      <c r="AC58" s="639"/>
      <c r="AD58" s="639"/>
      <c r="AE58" s="639"/>
      <c r="AF58" s="639"/>
      <c r="AG58" s="640"/>
      <c r="AH58" s="641"/>
      <c r="AI58" s="639"/>
      <c r="AJ58" s="639"/>
      <c r="AK58" s="639"/>
      <c r="AL58" s="639"/>
      <c r="AM58" s="640"/>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41"/>
      <c r="K59" s="639"/>
      <c r="L59" s="639"/>
      <c r="M59" s="639"/>
      <c r="N59" s="639"/>
      <c r="O59" s="640"/>
      <c r="P59" s="641"/>
      <c r="Q59" s="639"/>
      <c r="R59" s="639"/>
      <c r="S59" s="639"/>
      <c r="T59" s="639"/>
      <c r="U59" s="640"/>
      <c r="V59" s="641"/>
      <c r="W59" s="639"/>
      <c r="X59" s="639"/>
      <c r="Y59" s="639"/>
      <c r="Z59" s="639"/>
      <c r="AA59" s="640"/>
      <c r="AB59" s="641"/>
      <c r="AC59" s="639"/>
      <c r="AD59" s="639"/>
      <c r="AE59" s="639"/>
      <c r="AF59" s="639"/>
      <c r="AG59" s="640"/>
      <c r="AH59" s="641"/>
      <c r="AI59" s="639"/>
      <c r="AJ59" s="639"/>
      <c r="AK59" s="639"/>
      <c r="AL59" s="639"/>
      <c r="AM59" s="640"/>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41"/>
      <c r="K60" s="639"/>
      <c r="L60" s="639"/>
      <c r="M60" s="639"/>
      <c r="N60" s="639"/>
      <c r="O60" s="640"/>
      <c r="P60" s="641"/>
      <c r="Q60" s="639"/>
      <c r="R60" s="639"/>
      <c r="S60" s="639"/>
      <c r="T60" s="639"/>
      <c r="U60" s="640"/>
      <c r="V60" s="641"/>
      <c r="W60" s="639"/>
      <c r="X60" s="639"/>
      <c r="Y60" s="639"/>
      <c r="Z60" s="639"/>
      <c r="AA60" s="640"/>
      <c r="AB60" s="641"/>
      <c r="AC60" s="639"/>
      <c r="AD60" s="639"/>
      <c r="AE60" s="639"/>
      <c r="AF60" s="639"/>
      <c r="AG60" s="640"/>
      <c r="AH60" s="641"/>
      <c r="AI60" s="639"/>
      <c r="AJ60" s="639"/>
      <c r="AK60" s="639"/>
      <c r="AL60" s="639"/>
      <c r="AM60" s="640"/>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642"/>
      <c r="K61" s="643"/>
      <c r="L61" s="643"/>
      <c r="M61" s="643"/>
      <c r="N61" s="643"/>
      <c r="O61" s="644"/>
      <c r="P61" s="642"/>
      <c r="Q61" s="643"/>
      <c r="R61" s="643"/>
      <c r="S61" s="643"/>
      <c r="T61" s="643"/>
      <c r="U61" s="644"/>
      <c r="V61" s="642"/>
      <c r="W61" s="643"/>
      <c r="X61" s="643"/>
      <c r="Y61" s="643"/>
      <c r="Z61" s="643"/>
      <c r="AA61" s="644"/>
      <c r="AB61" s="642"/>
      <c r="AC61" s="643"/>
      <c r="AD61" s="643"/>
      <c r="AE61" s="643"/>
      <c r="AF61" s="643"/>
      <c r="AG61" s="644"/>
      <c r="AH61" s="642"/>
      <c r="AI61" s="643"/>
      <c r="AJ61" s="643"/>
      <c r="AK61" s="643"/>
      <c r="AL61" s="643"/>
      <c r="AM61" s="644"/>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84" t="s">
        <v>144</v>
      </c>
      <c r="C1" s="684"/>
      <c r="D1" s="684"/>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145</v>
      </c>
      <c r="D3" s="4" t="s">
        <v>128</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146</v>
      </c>
      <c r="C4" s="6" t="s">
        <v>147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148</v>
      </c>
      <c r="C5" s="9" t="s">
        <v>149</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150</v>
      </c>
      <c r="C6" s="9" t="s">
        <v>151</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152</v>
      </c>
      <c r="C7" s="9" t="s">
        <v>153</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154</v>
      </c>
      <c r="C8" s="9" t="s">
        <v>155</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zoomScale="40" zoomScaleNormal="10" zoomScaleSheetLayoutView="40" workbookViewId="0">
      <selection activeCell="C30" sqref="C30:C32"/>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86" t="s">
        <v>940</v>
      </c>
      <c r="B9" s="687"/>
      <c r="C9" s="687"/>
      <c r="D9" s="687"/>
      <c r="E9" s="687"/>
      <c r="F9" s="687"/>
      <c r="G9" s="687"/>
      <c r="H9" s="687"/>
      <c r="I9" s="687"/>
      <c r="J9" s="687"/>
      <c r="K9" s="687"/>
      <c r="L9" s="687"/>
      <c r="M9" s="687"/>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88" t="s">
        <v>109</v>
      </c>
      <c r="B10" s="688" t="s">
        <v>110</v>
      </c>
      <c r="C10" s="688"/>
      <c r="D10" s="688" t="s">
        <v>111</v>
      </c>
      <c r="E10" s="688" t="s">
        <v>112</v>
      </c>
      <c r="F10" s="688" t="s">
        <v>113</v>
      </c>
      <c r="G10" s="688"/>
      <c r="H10" s="688"/>
      <c r="I10" s="688"/>
      <c r="J10" s="688"/>
      <c r="K10" s="688"/>
      <c r="L10" s="688"/>
      <c r="M10" s="688"/>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88"/>
      <c r="B11" s="155" t="s">
        <v>114</v>
      </c>
      <c r="C11" s="155" t="s">
        <v>21</v>
      </c>
      <c r="D11" s="688"/>
      <c r="E11" s="688"/>
      <c r="F11" s="155" t="s">
        <v>115</v>
      </c>
      <c r="G11" s="155" t="s">
        <v>116</v>
      </c>
      <c r="H11" s="155" t="s">
        <v>126</v>
      </c>
      <c r="I11" s="155" t="s">
        <v>156</v>
      </c>
      <c r="J11" s="155" t="s">
        <v>124</v>
      </c>
      <c r="K11" s="155" t="s">
        <v>93</v>
      </c>
      <c r="L11" s="155" t="s">
        <v>120</v>
      </c>
      <c r="M11" s="155"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111" customHeight="1" x14ac:dyDescent="0.3">
      <c r="A12" s="685" t="str">
        <f>A9</f>
        <v>MATRIZ DE MONITOREO DE RIESGOS IV TRIMESTRE
 (OCTUBRE - DICIEMBRE)</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111" customHeight="1" x14ac:dyDescent="0.3">
      <c r="A13" s="685"/>
      <c r="B13" s="456"/>
      <c r="C13" s="457"/>
      <c r="D13" s="489"/>
      <c r="E13" s="490"/>
      <c r="F13" s="486"/>
      <c r="G13" s="486"/>
      <c r="H13" s="486"/>
      <c r="I13" s="486"/>
      <c r="J13" s="486"/>
      <c r="K13" s="486"/>
      <c r="L13" s="486"/>
      <c r="M13" s="48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111" customHeight="1" x14ac:dyDescent="0.3">
      <c r="A14" s="685"/>
      <c r="B14" s="456"/>
      <c r="C14" s="457"/>
      <c r="D14" s="489"/>
      <c r="E14" s="490"/>
      <c r="F14" s="486"/>
      <c r="G14" s="486"/>
      <c r="H14" s="486"/>
      <c r="I14" s="486"/>
      <c r="J14" s="486"/>
      <c r="K14" s="486"/>
      <c r="L14" s="486"/>
      <c r="M14" s="48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111" customHeight="1" x14ac:dyDescent="0.3">
      <c r="A15" s="685"/>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111" customHeight="1" x14ac:dyDescent="0.3">
      <c r="A16" s="685"/>
      <c r="B16" s="456"/>
      <c r="C16" s="457"/>
      <c r="D16" s="489"/>
      <c r="E16" s="490"/>
      <c r="F16" s="486"/>
      <c r="G16" s="486"/>
      <c r="H16" s="486"/>
      <c r="I16" s="486"/>
      <c r="J16" s="486"/>
      <c r="K16" s="486"/>
      <c r="L16" s="486"/>
      <c r="M16" s="48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111" customHeight="1" x14ac:dyDescent="0.3">
      <c r="A17" s="685"/>
      <c r="B17" s="456"/>
      <c r="C17" s="457"/>
      <c r="D17" s="489"/>
      <c r="E17" s="490"/>
      <c r="F17" s="486"/>
      <c r="G17" s="486"/>
      <c r="H17" s="486"/>
      <c r="I17" s="486"/>
      <c r="J17" s="486"/>
      <c r="K17" s="486"/>
      <c r="L17" s="486"/>
      <c r="M17" s="48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111" customHeight="1" x14ac:dyDescent="0.3">
      <c r="A18" s="685"/>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si="1"/>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111" customHeight="1" x14ac:dyDescent="0.3">
      <c r="A19" s="685"/>
      <c r="B19" s="456"/>
      <c r="C19" s="457"/>
      <c r="D19" s="489"/>
      <c r="E19" s="490"/>
      <c r="F19" s="486"/>
      <c r="G19" s="486"/>
      <c r="H19" s="486"/>
      <c r="I19" s="486"/>
      <c r="J19" s="486"/>
      <c r="K19" s="486"/>
      <c r="L19" s="486"/>
      <c r="M19" s="48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111" customHeight="1" x14ac:dyDescent="0.3">
      <c r="A20" s="685"/>
      <c r="B20" s="456"/>
      <c r="C20" s="457"/>
      <c r="D20" s="489"/>
      <c r="E20" s="490"/>
      <c r="F20" s="486"/>
      <c r="G20" s="486"/>
      <c r="H20" s="486"/>
      <c r="I20" s="486"/>
      <c r="J20" s="486"/>
      <c r="K20" s="486"/>
      <c r="L20" s="486"/>
      <c r="M20" s="48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111" customHeight="1" x14ac:dyDescent="0.3">
      <c r="A21" s="685"/>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si="1"/>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111" customHeight="1" x14ac:dyDescent="0.3">
      <c r="A22" s="685"/>
      <c r="B22" s="456"/>
      <c r="C22" s="457"/>
      <c r="D22" s="489"/>
      <c r="E22" s="490"/>
      <c r="F22" s="486"/>
      <c r="G22" s="486"/>
      <c r="H22" s="486"/>
      <c r="I22" s="486"/>
      <c r="J22" s="486"/>
      <c r="K22" s="486"/>
      <c r="L22" s="486"/>
      <c r="M22" s="48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111" customHeight="1" x14ac:dyDescent="0.3">
      <c r="A23" s="685"/>
      <c r="B23" s="456"/>
      <c r="C23" s="457"/>
      <c r="D23" s="489"/>
      <c r="E23" s="490"/>
      <c r="F23" s="486"/>
      <c r="G23" s="486"/>
      <c r="H23" s="486"/>
      <c r="I23" s="486"/>
      <c r="J23" s="486"/>
      <c r="K23" s="486"/>
      <c r="L23" s="486"/>
      <c r="M23" s="48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111" customHeight="1" x14ac:dyDescent="0.3">
      <c r="A24" s="685"/>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si="1"/>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111" customHeight="1" x14ac:dyDescent="0.3">
      <c r="A25" s="685"/>
      <c r="B25" s="456"/>
      <c r="C25" s="457"/>
      <c r="D25" s="489"/>
      <c r="E25" s="490"/>
      <c r="F25" s="486"/>
      <c r="G25" s="486"/>
      <c r="H25" s="486"/>
      <c r="I25" s="486"/>
      <c r="J25" s="486"/>
      <c r="K25" s="486"/>
      <c r="L25" s="486"/>
      <c r="M25" s="48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111" customHeight="1" x14ac:dyDescent="0.3">
      <c r="A26" s="685"/>
      <c r="B26" s="456"/>
      <c r="C26" s="457"/>
      <c r="D26" s="489"/>
      <c r="E26" s="490"/>
      <c r="F26" s="486"/>
      <c r="G26" s="486"/>
      <c r="H26" s="486"/>
      <c r="I26" s="486"/>
      <c r="J26" s="486"/>
      <c r="K26" s="486"/>
      <c r="L26" s="486"/>
      <c r="M26" s="48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111" customHeight="1" x14ac:dyDescent="0.3">
      <c r="A27" s="685"/>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si="1"/>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111" customHeight="1" x14ac:dyDescent="0.3">
      <c r="A28" s="685"/>
      <c r="B28" s="456"/>
      <c r="C28" s="457"/>
      <c r="D28" s="489"/>
      <c r="E28" s="490"/>
      <c r="F28" s="486"/>
      <c r="G28" s="486"/>
      <c r="H28" s="486"/>
      <c r="I28" s="486"/>
      <c r="J28" s="486"/>
      <c r="K28" s="486"/>
      <c r="L28" s="486"/>
      <c r="M28" s="48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111" customHeight="1" x14ac:dyDescent="0.3">
      <c r="A29" s="685"/>
      <c r="B29" s="456"/>
      <c r="C29" s="457"/>
      <c r="D29" s="489"/>
      <c r="E29" s="490"/>
      <c r="F29" s="486"/>
      <c r="G29" s="486"/>
      <c r="H29" s="486"/>
      <c r="I29" s="486"/>
      <c r="J29" s="486"/>
      <c r="K29" s="486"/>
      <c r="L29" s="486"/>
      <c r="M29" s="48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111" customHeight="1" x14ac:dyDescent="0.3">
      <c r="A30" s="685"/>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si="1"/>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111" customHeight="1" x14ac:dyDescent="0.3">
      <c r="A31" s="685"/>
      <c r="B31" s="456"/>
      <c r="C31" s="457"/>
      <c r="D31" s="489"/>
      <c r="E31" s="490"/>
      <c r="F31" s="486"/>
      <c r="G31" s="486"/>
      <c r="H31" s="486"/>
      <c r="I31" s="486"/>
      <c r="J31" s="486"/>
      <c r="K31" s="486"/>
      <c r="L31" s="486"/>
      <c r="M31" s="48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111" customHeight="1" x14ac:dyDescent="0.3">
      <c r="A32" s="685"/>
      <c r="B32" s="456"/>
      <c r="C32" s="457"/>
      <c r="D32" s="489"/>
      <c r="E32" s="490"/>
      <c r="F32" s="486"/>
      <c r="G32" s="486"/>
      <c r="H32" s="486"/>
      <c r="I32" s="486"/>
      <c r="J32" s="486"/>
      <c r="K32" s="486"/>
      <c r="L32" s="486"/>
      <c r="M32" s="48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111" customHeight="1" x14ac:dyDescent="0.3">
      <c r="A33" s="685"/>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si="1"/>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111" customHeight="1" x14ac:dyDescent="0.3">
      <c r="A34" s="685"/>
      <c r="B34" s="456"/>
      <c r="C34" s="457"/>
      <c r="D34" s="489"/>
      <c r="E34" s="490"/>
      <c r="F34" s="486"/>
      <c r="G34" s="486"/>
      <c r="H34" s="486"/>
      <c r="I34" s="486"/>
      <c r="J34" s="486"/>
      <c r="K34" s="486"/>
      <c r="L34" s="486"/>
      <c r="M34" s="48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111" customHeight="1" x14ac:dyDescent="0.3">
      <c r="A35" s="685"/>
      <c r="B35" s="456"/>
      <c r="C35" s="457"/>
      <c r="D35" s="489"/>
      <c r="E35" s="490"/>
      <c r="F35" s="486"/>
      <c r="G35" s="486"/>
      <c r="H35" s="486"/>
      <c r="I35" s="486"/>
      <c r="J35" s="486"/>
      <c r="K35" s="486"/>
      <c r="L35" s="486"/>
      <c r="M35" s="48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111" customHeight="1" x14ac:dyDescent="0.3">
      <c r="A36" s="685"/>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si="1"/>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111" customHeight="1" x14ac:dyDescent="0.3">
      <c r="A37" s="685"/>
      <c r="B37" s="456"/>
      <c r="C37" s="457"/>
      <c r="D37" s="489"/>
      <c r="E37" s="490"/>
      <c r="F37" s="486"/>
      <c r="G37" s="486"/>
      <c r="H37" s="486"/>
      <c r="I37" s="486"/>
      <c r="J37" s="486"/>
      <c r="K37" s="486"/>
      <c r="L37" s="486"/>
      <c r="M37" s="48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111" customHeight="1" x14ac:dyDescent="0.3">
      <c r="A38" s="685"/>
      <c r="B38" s="456"/>
      <c r="C38" s="457"/>
      <c r="D38" s="489"/>
      <c r="E38" s="490"/>
      <c r="F38" s="486"/>
      <c r="G38" s="486"/>
      <c r="H38" s="486"/>
      <c r="I38" s="486"/>
      <c r="J38" s="486"/>
      <c r="K38" s="486"/>
      <c r="L38" s="486"/>
      <c r="M38" s="48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111" customHeight="1" x14ac:dyDescent="0.3">
      <c r="A39" s="685"/>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si="1"/>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111" customHeight="1" x14ac:dyDescent="0.3">
      <c r="A40" s="685"/>
      <c r="B40" s="456"/>
      <c r="C40" s="457"/>
      <c r="D40" s="489"/>
      <c r="E40" s="490"/>
      <c r="F40" s="486"/>
      <c r="G40" s="486"/>
      <c r="H40" s="486"/>
      <c r="I40" s="486"/>
      <c r="J40" s="486"/>
      <c r="K40" s="486"/>
      <c r="L40" s="486"/>
      <c r="M40" s="48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111" customHeight="1" x14ac:dyDescent="0.3">
      <c r="A41" s="685"/>
      <c r="B41" s="456"/>
      <c r="C41" s="457"/>
      <c r="D41" s="489"/>
      <c r="E41" s="490"/>
      <c r="F41" s="486"/>
      <c r="G41" s="486"/>
      <c r="H41" s="486"/>
      <c r="I41" s="486"/>
      <c r="J41" s="486"/>
      <c r="K41" s="486"/>
      <c r="L41" s="486"/>
      <c r="M41" s="48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85"/>
      <c r="B42" s="519"/>
      <c r="C42" s="520"/>
      <c r="D42" s="489"/>
      <c r="E42" s="490"/>
      <c r="F42" s="486" t="str">
        <f t="shared" ref="F42:M57" si="2">IFERROR(IF($E42="","No",IF($E42="No","No"," "))," ")</f>
        <v>No</v>
      </c>
      <c r="G42" s="486" t="str">
        <f t="shared" si="2"/>
        <v>No</v>
      </c>
      <c r="H42" s="486" t="str">
        <f t="shared" si="2"/>
        <v>No</v>
      </c>
      <c r="I42" s="486" t="str">
        <f t="shared" si="2"/>
        <v>No</v>
      </c>
      <c r="J42" s="486" t="str">
        <f t="shared" si="2"/>
        <v>No</v>
      </c>
      <c r="K42" s="486" t="str">
        <f t="shared" si="2"/>
        <v>No</v>
      </c>
      <c r="L42" s="486" t="str">
        <f t="shared" si="2"/>
        <v>No</v>
      </c>
      <c r="M42" s="48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85"/>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85"/>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85"/>
      <c r="B45" s="519"/>
      <c r="C45" s="520"/>
      <c r="D45" s="489"/>
      <c r="E45" s="490"/>
      <c r="F45" s="486" t="str">
        <f t="shared" si="2"/>
        <v>No</v>
      </c>
      <c r="G45" s="486" t="str">
        <f t="shared" si="2"/>
        <v>No</v>
      </c>
      <c r="H45" s="486" t="str">
        <f t="shared" si="2"/>
        <v>No</v>
      </c>
      <c r="I45" s="486" t="str">
        <f t="shared" si="2"/>
        <v>No</v>
      </c>
      <c r="J45" s="486" t="str">
        <f t="shared" si="2"/>
        <v>No</v>
      </c>
      <c r="K45" s="486" t="str">
        <f t="shared" si="2"/>
        <v>No</v>
      </c>
      <c r="L45" s="486" t="str">
        <f t="shared" si="2"/>
        <v>No</v>
      </c>
      <c r="M45" s="48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85"/>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85"/>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85"/>
      <c r="B48" s="519"/>
      <c r="C48" s="520"/>
      <c r="D48" s="489"/>
      <c r="E48" s="490"/>
      <c r="F48" s="486" t="str">
        <f t="shared" si="2"/>
        <v>No</v>
      </c>
      <c r="G48" s="486" t="str">
        <f t="shared" si="2"/>
        <v>No</v>
      </c>
      <c r="H48" s="486" t="str">
        <f t="shared" si="2"/>
        <v>No</v>
      </c>
      <c r="I48" s="486" t="str">
        <f t="shared" si="2"/>
        <v>No</v>
      </c>
      <c r="J48" s="486" t="str">
        <f t="shared" si="2"/>
        <v>No</v>
      </c>
      <c r="K48" s="486" t="str">
        <f t="shared" si="2"/>
        <v>No</v>
      </c>
      <c r="L48" s="486" t="str">
        <f t="shared" si="2"/>
        <v>No</v>
      </c>
      <c r="M48" s="486"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85"/>
      <c r="B49" s="519"/>
      <c r="C49" s="520"/>
      <c r="D49" s="489"/>
      <c r="E49" s="490"/>
      <c r="F49" s="486"/>
      <c r="G49" s="486"/>
      <c r="H49" s="486"/>
      <c r="I49" s="486"/>
      <c r="J49" s="486"/>
      <c r="K49" s="486"/>
      <c r="L49" s="486"/>
      <c r="M49" s="48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85"/>
      <c r="B50" s="519"/>
      <c r="C50" s="520"/>
      <c r="D50" s="489"/>
      <c r="E50" s="490"/>
      <c r="F50" s="486"/>
      <c r="G50" s="486"/>
      <c r="H50" s="486"/>
      <c r="I50" s="486"/>
      <c r="J50" s="486"/>
      <c r="K50" s="486"/>
      <c r="L50" s="486"/>
      <c r="M50" s="48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85"/>
      <c r="B51" s="519"/>
      <c r="C51" s="520"/>
      <c r="D51" s="489"/>
      <c r="E51" s="490"/>
      <c r="F51" s="486" t="str">
        <f t="shared" si="2"/>
        <v>No</v>
      </c>
      <c r="G51" s="486" t="str">
        <f t="shared" si="2"/>
        <v>No</v>
      </c>
      <c r="H51" s="486" t="str">
        <f t="shared" si="2"/>
        <v>No</v>
      </c>
      <c r="I51" s="486" t="str">
        <f t="shared" si="2"/>
        <v>No</v>
      </c>
      <c r="J51" s="486" t="str">
        <f t="shared" si="2"/>
        <v>No</v>
      </c>
      <c r="K51" s="486" t="str">
        <f t="shared" si="2"/>
        <v>No</v>
      </c>
      <c r="L51" s="486" t="str">
        <f t="shared" si="2"/>
        <v>No</v>
      </c>
      <c r="M51" s="486"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85"/>
      <c r="B52" s="519"/>
      <c r="C52" s="520"/>
      <c r="D52" s="489"/>
      <c r="E52" s="490"/>
      <c r="F52" s="486"/>
      <c r="G52" s="486"/>
      <c r="H52" s="486"/>
      <c r="I52" s="486"/>
      <c r="J52" s="486"/>
      <c r="K52" s="486"/>
      <c r="L52" s="486"/>
      <c r="M52" s="48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85"/>
      <c r="B53" s="519"/>
      <c r="C53" s="520"/>
      <c r="D53" s="489"/>
      <c r="E53" s="490"/>
      <c r="F53" s="486"/>
      <c r="G53" s="486"/>
      <c r="H53" s="486"/>
      <c r="I53" s="486"/>
      <c r="J53" s="486"/>
      <c r="K53" s="486"/>
      <c r="L53" s="486"/>
      <c r="M53" s="48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85"/>
      <c r="B54" s="519"/>
      <c r="C54" s="520"/>
      <c r="D54" s="489"/>
      <c r="E54" s="490"/>
      <c r="F54" s="486" t="str">
        <f t="shared" si="2"/>
        <v>No</v>
      </c>
      <c r="G54" s="486" t="str">
        <f t="shared" si="2"/>
        <v>No</v>
      </c>
      <c r="H54" s="486" t="str">
        <f t="shared" si="2"/>
        <v>No</v>
      </c>
      <c r="I54" s="486" t="str">
        <f t="shared" si="2"/>
        <v>No</v>
      </c>
      <c r="J54" s="486" t="str">
        <f t="shared" si="2"/>
        <v>No</v>
      </c>
      <c r="K54" s="486" t="str">
        <f t="shared" si="2"/>
        <v>No</v>
      </c>
      <c r="L54" s="486" t="str">
        <f t="shared" si="2"/>
        <v>No</v>
      </c>
      <c r="M54" s="486"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85"/>
      <c r="B55" s="519"/>
      <c r="C55" s="520"/>
      <c r="D55" s="489"/>
      <c r="E55" s="490"/>
      <c r="F55" s="486"/>
      <c r="G55" s="486"/>
      <c r="H55" s="486"/>
      <c r="I55" s="486"/>
      <c r="J55" s="486"/>
      <c r="K55" s="486"/>
      <c r="L55" s="486"/>
      <c r="M55" s="48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85"/>
      <c r="B56" s="519"/>
      <c r="C56" s="520"/>
      <c r="D56" s="489"/>
      <c r="E56" s="490"/>
      <c r="F56" s="486"/>
      <c r="G56" s="486"/>
      <c r="H56" s="486"/>
      <c r="I56" s="486"/>
      <c r="J56" s="486"/>
      <c r="K56" s="486"/>
      <c r="L56" s="486"/>
      <c r="M56" s="48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85"/>
      <c r="B57" s="519"/>
      <c r="C57" s="520"/>
      <c r="D57" s="489"/>
      <c r="E57" s="490"/>
      <c r="F57" s="486" t="str">
        <f t="shared" si="2"/>
        <v>No</v>
      </c>
      <c r="G57" s="486" t="str">
        <f t="shared" si="2"/>
        <v>No</v>
      </c>
      <c r="H57" s="486" t="str">
        <f t="shared" si="2"/>
        <v>No</v>
      </c>
      <c r="I57" s="486" t="str">
        <f t="shared" si="2"/>
        <v>No</v>
      </c>
      <c r="J57" s="486" t="str">
        <f t="shared" si="2"/>
        <v>No</v>
      </c>
      <c r="K57" s="486" t="str">
        <f t="shared" si="2"/>
        <v>No</v>
      </c>
      <c r="L57" s="486" t="str">
        <f t="shared" si="2"/>
        <v>No</v>
      </c>
      <c r="M57" s="486"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85"/>
      <c r="B58" s="519"/>
      <c r="C58" s="520"/>
      <c r="D58" s="489"/>
      <c r="E58" s="490"/>
      <c r="F58" s="486"/>
      <c r="G58" s="486"/>
      <c r="H58" s="486"/>
      <c r="I58" s="486"/>
      <c r="J58" s="486"/>
      <c r="K58" s="486"/>
      <c r="L58" s="486"/>
      <c r="M58" s="48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85"/>
      <c r="B59" s="519"/>
      <c r="C59" s="520"/>
      <c r="D59" s="489"/>
      <c r="E59" s="490"/>
      <c r="F59" s="486"/>
      <c r="G59" s="486"/>
      <c r="H59" s="486"/>
      <c r="I59" s="486"/>
      <c r="J59" s="486"/>
      <c r="K59" s="486"/>
      <c r="L59" s="486"/>
      <c r="M59" s="48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85"/>
      <c r="B60" s="519"/>
      <c r="C60" s="520"/>
      <c r="D60" s="489"/>
      <c r="E60" s="490"/>
      <c r="F60" s="486" t="str">
        <f t="shared" ref="F60:F69" si="3">IFERROR(IF($E60="","No",IF($E60="No","No"," "))," ")</f>
        <v>No</v>
      </c>
      <c r="G60" s="486" t="str">
        <f t="shared" ref="G60:M60" si="4">IFERROR(IF($E60="","No",IF($E60="No","No"," "))," ")</f>
        <v>No</v>
      </c>
      <c r="H60" s="486" t="str">
        <f t="shared" si="4"/>
        <v>No</v>
      </c>
      <c r="I60" s="486" t="str">
        <f t="shared" si="4"/>
        <v>No</v>
      </c>
      <c r="J60" s="486" t="str">
        <f t="shared" si="4"/>
        <v>No</v>
      </c>
      <c r="K60" s="486" t="str">
        <f t="shared" si="4"/>
        <v>No</v>
      </c>
      <c r="L60" s="486" t="str">
        <f t="shared" si="4"/>
        <v>No</v>
      </c>
      <c r="M60" s="486"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85"/>
      <c r="B61" s="519"/>
      <c r="C61" s="520"/>
      <c r="D61" s="489"/>
      <c r="E61" s="490"/>
      <c r="F61" s="486"/>
      <c r="G61" s="486"/>
      <c r="H61" s="486"/>
      <c r="I61" s="486"/>
      <c r="J61" s="486"/>
      <c r="K61" s="486"/>
      <c r="L61" s="486"/>
      <c r="M61" s="48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85"/>
      <c r="B62" s="519"/>
      <c r="C62" s="520"/>
      <c r="D62" s="489"/>
      <c r="E62" s="490"/>
      <c r="F62" s="486"/>
      <c r="G62" s="486"/>
      <c r="H62" s="486"/>
      <c r="I62" s="486"/>
      <c r="J62" s="486"/>
      <c r="K62" s="486"/>
      <c r="L62" s="486"/>
      <c r="M62" s="48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85"/>
      <c r="B63" s="519"/>
      <c r="C63" s="520"/>
      <c r="D63" s="489"/>
      <c r="E63" s="490"/>
      <c r="F63" s="486" t="str">
        <f t="shared" si="3"/>
        <v>No</v>
      </c>
      <c r="G63" s="486" t="str">
        <f t="shared" ref="G63:M63" si="5">IFERROR(IF($E63="","No",IF($E63="No","No"," "))," ")</f>
        <v>No</v>
      </c>
      <c r="H63" s="486" t="str">
        <f t="shared" si="5"/>
        <v>No</v>
      </c>
      <c r="I63" s="486" t="str">
        <f t="shared" si="5"/>
        <v>No</v>
      </c>
      <c r="J63" s="486" t="str">
        <f t="shared" si="5"/>
        <v>No</v>
      </c>
      <c r="K63" s="486" t="str">
        <f t="shared" si="5"/>
        <v>No</v>
      </c>
      <c r="L63" s="486" t="str">
        <f t="shared" si="5"/>
        <v>No</v>
      </c>
      <c r="M63" s="486"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85"/>
      <c r="B64" s="519"/>
      <c r="C64" s="520"/>
      <c r="D64" s="489"/>
      <c r="E64" s="490"/>
      <c r="F64" s="486"/>
      <c r="G64" s="486"/>
      <c r="H64" s="486"/>
      <c r="I64" s="486"/>
      <c r="J64" s="486"/>
      <c r="K64" s="486"/>
      <c r="L64" s="486"/>
      <c r="M64" s="48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85"/>
      <c r="B65" s="519"/>
      <c r="C65" s="520"/>
      <c r="D65" s="489"/>
      <c r="E65" s="490"/>
      <c r="F65" s="486"/>
      <c r="G65" s="486"/>
      <c r="H65" s="486"/>
      <c r="I65" s="486"/>
      <c r="J65" s="486"/>
      <c r="K65" s="486"/>
      <c r="L65" s="486"/>
      <c r="M65" s="48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85"/>
      <c r="B66" s="519"/>
      <c r="C66" s="520"/>
      <c r="D66" s="489"/>
      <c r="E66" s="490"/>
      <c r="F66" s="486" t="str">
        <f t="shared" si="3"/>
        <v>No</v>
      </c>
      <c r="G66" s="486" t="str">
        <f t="shared" ref="G66:M66" si="6">IFERROR(IF($E66="","No",IF($E66="No","No"," "))," ")</f>
        <v>No</v>
      </c>
      <c r="H66" s="486" t="str">
        <f t="shared" si="6"/>
        <v>No</v>
      </c>
      <c r="I66" s="486" t="str">
        <f t="shared" si="6"/>
        <v>No</v>
      </c>
      <c r="J66" s="486" t="str">
        <f t="shared" si="6"/>
        <v>No</v>
      </c>
      <c r="K66" s="486" t="str">
        <f t="shared" si="6"/>
        <v>No</v>
      </c>
      <c r="L66" s="486" t="str">
        <f t="shared" si="6"/>
        <v>No</v>
      </c>
      <c r="M66" s="486"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85"/>
      <c r="B67" s="519"/>
      <c r="C67" s="520"/>
      <c r="D67" s="489"/>
      <c r="E67" s="490"/>
      <c r="F67" s="486"/>
      <c r="G67" s="486"/>
      <c r="H67" s="486"/>
      <c r="I67" s="486"/>
      <c r="J67" s="486"/>
      <c r="K67" s="486"/>
      <c r="L67" s="486"/>
      <c r="M67" s="48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85"/>
      <c r="B68" s="519"/>
      <c r="C68" s="520"/>
      <c r="D68" s="489"/>
      <c r="E68" s="490"/>
      <c r="F68" s="486"/>
      <c r="G68" s="486"/>
      <c r="H68" s="486"/>
      <c r="I68" s="486"/>
      <c r="J68" s="486"/>
      <c r="K68" s="486"/>
      <c r="L68" s="486"/>
      <c r="M68" s="48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85"/>
      <c r="B69" s="519"/>
      <c r="C69" s="520"/>
      <c r="D69" s="489"/>
      <c r="E69" s="490"/>
      <c r="F69" s="486" t="str">
        <f t="shared" si="3"/>
        <v>No</v>
      </c>
      <c r="G69" s="486" t="str">
        <f t="shared" ref="G69:M69" si="7">IFERROR(IF($E69="","No",IF($E69="No","No"," "))," ")</f>
        <v>No</v>
      </c>
      <c r="H69" s="486" t="str">
        <f t="shared" si="7"/>
        <v>No</v>
      </c>
      <c r="I69" s="486" t="str">
        <f t="shared" si="7"/>
        <v>No</v>
      </c>
      <c r="J69" s="486" t="str">
        <f t="shared" si="7"/>
        <v>No</v>
      </c>
      <c r="K69" s="486" t="str">
        <f t="shared" si="7"/>
        <v>No</v>
      </c>
      <c r="L69" s="486" t="str">
        <f t="shared" si="7"/>
        <v>No</v>
      </c>
      <c r="M69" s="486"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85"/>
      <c r="B70" s="519"/>
      <c r="C70" s="520"/>
      <c r="D70" s="489"/>
      <c r="E70" s="490"/>
      <c r="F70" s="486"/>
      <c r="G70" s="486"/>
      <c r="H70" s="486"/>
      <c r="I70" s="486"/>
      <c r="J70" s="486"/>
      <c r="K70" s="486"/>
      <c r="L70" s="486"/>
      <c r="M70" s="48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85"/>
      <c r="B71" s="519"/>
      <c r="C71" s="520"/>
      <c r="D71" s="489"/>
      <c r="E71" s="490"/>
      <c r="F71" s="486"/>
      <c r="G71" s="486"/>
      <c r="H71" s="486"/>
      <c r="I71" s="486"/>
      <c r="J71" s="486"/>
      <c r="K71" s="486"/>
      <c r="L71" s="486"/>
      <c r="M71" s="48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x3AgsN/3XeEhtrNom6pqIohpp09jRM3LHYd/5z8nBQZ/bRiPZYMiyDRyQmCjbwRhPnnRCb6cVlQEz0olK2QUvA==" saltValue="hI53Q80kapdIPkRtVvAWtg=="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1"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zoomScale="40" zoomScaleNormal="10" zoomScaleSheetLayoutView="40" workbookViewId="0">
      <selection activeCell="B12" sqref="B12:B14"/>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90" t="s">
        <v>157</v>
      </c>
      <c r="B9" s="691"/>
      <c r="C9" s="691"/>
      <c r="D9" s="691"/>
      <c r="E9" s="691"/>
      <c r="F9" s="691"/>
      <c r="G9" s="691"/>
      <c r="H9" s="691"/>
      <c r="I9" s="691"/>
      <c r="J9" s="691"/>
      <c r="K9" s="691"/>
      <c r="L9" s="691"/>
      <c r="M9" s="691"/>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92" t="s">
        <v>158</v>
      </c>
      <c r="B10" s="693" t="s">
        <v>110</v>
      </c>
      <c r="C10" s="693"/>
      <c r="D10" s="693" t="s">
        <v>159</v>
      </c>
      <c r="E10" s="693" t="s">
        <v>112</v>
      </c>
      <c r="F10" s="693" t="s">
        <v>113</v>
      </c>
      <c r="G10" s="693"/>
      <c r="H10" s="693"/>
      <c r="I10" s="693"/>
      <c r="J10" s="693"/>
      <c r="K10" s="693"/>
      <c r="L10" s="693"/>
      <c r="M10" s="69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92"/>
      <c r="B11" s="156" t="s">
        <v>114</v>
      </c>
      <c r="C11" s="156" t="s">
        <v>21</v>
      </c>
      <c r="D11" s="693"/>
      <c r="E11" s="693"/>
      <c r="F11" s="156" t="s">
        <v>160</v>
      </c>
      <c r="G11" s="156" t="s">
        <v>116</v>
      </c>
      <c r="H11" s="156" t="s">
        <v>161</v>
      </c>
      <c r="I11" s="156" t="s">
        <v>162</v>
      </c>
      <c r="J11" s="156" t="s">
        <v>124</v>
      </c>
      <c r="K11" s="156" t="s">
        <v>93</v>
      </c>
      <c r="L11" s="156" t="s">
        <v>120</v>
      </c>
      <c r="M11" s="156"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89" t="s">
        <v>163</v>
      </c>
      <c r="B12" s="519"/>
      <c r="C12" s="520"/>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89"/>
      <c r="B13" s="519"/>
      <c r="C13" s="520"/>
      <c r="D13" s="489"/>
      <c r="E13" s="490"/>
      <c r="F13" s="486"/>
      <c r="G13" s="486"/>
      <c r="H13" s="486"/>
      <c r="I13" s="486"/>
      <c r="J13" s="486"/>
      <c r="K13" s="486"/>
      <c r="L13" s="486"/>
      <c r="M13" s="48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89"/>
      <c r="B14" s="519"/>
      <c r="C14" s="520"/>
      <c r="D14" s="489"/>
      <c r="E14" s="490"/>
      <c r="F14" s="486"/>
      <c r="G14" s="486"/>
      <c r="H14" s="486"/>
      <c r="I14" s="486"/>
      <c r="J14" s="486"/>
      <c r="K14" s="486"/>
      <c r="L14" s="486"/>
      <c r="M14" s="48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89" t="s">
        <v>164</v>
      </c>
      <c r="B15" s="519"/>
      <c r="C15" s="520"/>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89"/>
      <c r="B16" s="519"/>
      <c r="C16" s="520"/>
      <c r="D16" s="489"/>
      <c r="E16" s="490"/>
      <c r="F16" s="486"/>
      <c r="G16" s="486"/>
      <c r="H16" s="486"/>
      <c r="I16" s="486"/>
      <c r="J16" s="486"/>
      <c r="K16" s="486"/>
      <c r="L16" s="486"/>
      <c r="M16" s="48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89"/>
      <c r="B17" s="519"/>
      <c r="C17" s="520"/>
      <c r="D17" s="489"/>
      <c r="E17" s="490"/>
      <c r="F17" s="486"/>
      <c r="G17" s="486"/>
      <c r="H17" s="486"/>
      <c r="I17" s="486"/>
      <c r="J17" s="486"/>
      <c r="K17" s="486"/>
      <c r="L17" s="486"/>
      <c r="M17" s="48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89" t="s">
        <v>165</v>
      </c>
      <c r="B18" s="519"/>
      <c r="C18" s="520"/>
      <c r="D18" s="489"/>
      <c r="E18" s="490"/>
      <c r="F18" s="486" t="str">
        <f t="shared" si="1"/>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89"/>
      <c r="B19" s="519"/>
      <c r="C19" s="520"/>
      <c r="D19" s="489"/>
      <c r="E19" s="490"/>
      <c r="F19" s="486"/>
      <c r="G19" s="486"/>
      <c r="H19" s="486"/>
      <c r="I19" s="486"/>
      <c r="J19" s="486"/>
      <c r="K19" s="486"/>
      <c r="L19" s="486"/>
      <c r="M19" s="48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89"/>
      <c r="B20" s="519"/>
      <c r="C20" s="520"/>
      <c r="D20" s="489"/>
      <c r="E20" s="490"/>
      <c r="F20" s="486"/>
      <c r="G20" s="486"/>
      <c r="H20" s="486"/>
      <c r="I20" s="486"/>
      <c r="J20" s="486"/>
      <c r="K20" s="486"/>
      <c r="L20" s="486"/>
      <c r="M20" s="48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89" t="s">
        <v>166</v>
      </c>
      <c r="B21" s="519"/>
      <c r="C21" s="520"/>
      <c r="D21" s="489"/>
      <c r="E21" s="490"/>
      <c r="F21" s="486" t="str">
        <f t="shared" si="1"/>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89"/>
      <c r="B22" s="519"/>
      <c r="C22" s="520"/>
      <c r="D22" s="489"/>
      <c r="E22" s="490"/>
      <c r="F22" s="486"/>
      <c r="G22" s="486"/>
      <c r="H22" s="486"/>
      <c r="I22" s="486"/>
      <c r="J22" s="486"/>
      <c r="K22" s="486"/>
      <c r="L22" s="486"/>
      <c r="M22" s="48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89"/>
      <c r="B23" s="519"/>
      <c r="C23" s="520"/>
      <c r="D23" s="489"/>
      <c r="E23" s="490"/>
      <c r="F23" s="486"/>
      <c r="G23" s="486"/>
      <c r="H23" s="486"/>
      <c r="I23" s="486"/>
      <c r="J23" s="486"/>
      <c r="K23" s="486"/>
      <c r="L23" s="486"/>
      <c r="M23" s="48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89" t="s">
        <v>167</v>
      </c>
      <c r="B24" s="519"/>
      <c r="C24" s="520"/>
      <c r="D24" s="489"/>
      <c r="E24" s="490"/>
      <c r="F24" s="486" t="str">
        <f t="shared" si="1"/>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89"/>
      <c r="B25" s="519"/>
      <c r="C25" s="520"/>
      <c r="D25" s="489"/>
      <c r="E25" s="490"/>
      <c r="F25" s="486"/>
      <c r="G25" s="486"/>
      <c r="H25" s="486"/>
      <c r="I25" s="486"/>
      <c r="J25" s="486"/>
      <c r="K25" s="486"/>
      <c r="L25" s="486"/>
      <c r="M25" s="48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89"/>
      <c r="B26" s="519"/>
      <c r="C26" s="520"/>
      <c r="D26" s="489"/>
      <c r="E26" s="490"/>
      <c r="F26" s="486"/>
      <c r="G26" s="486"/>
      <c r="H26" s="486"/>
      <c r="I26" s="486"/>
      <c r="J26" s="486"/>
      <c r="K26" s="486"/>
      <c r="L26" s="486"/>
      <c r="M26" s="48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89" t="s">
        <v>168</v>
      </c>
      <c r="B27" s="519"/>
      <c r="C27" s="520"/>
      <c r="D27" s="489"/>
      <c r="E27" s="490"/>
      <c r="F27" s="486" t="str">
        <f t="shared" si="1"/>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89"/>
      <c r="B28" s="519"/>
      <c r="C28" s="520"/>
      <c r="D28" s="489"/>
      <c r="E28" s="490"/>
      <c r="F28" s="486"/>
      <c r="G28" s="486"/>
      <c r="H28" s="486"/>
      <c r="I28" s="486"/>
      <c r="J28" s="486"/>
      <c r="K28" s="486"/>
      <c r="L28" s="486"/>
      <c r="M28" s="48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89"/>
      <c r="B29" s="519"/>
      <c r="C29" s="520"/>
      <c r="D29" s="489"/>
      <c r="E29" s="490"/>
      <c r="F29" s="486"/>
      <c r="G29" s="486"/>
      <c r="H29" s="486"/>
      <c r="I29" s="486"/>
      <c r="J29" s="486"/>
      <c r="K29" s="486"/>
      <c r="L29" s="486"/>
      <c r="M29" s="48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89" t="s">
        <v>169</v>
      </c>
      <c r="B30" s="519"/>
      <c r="C30" s="520"/>
      <c r="D30" s="489"/>
      <c r="E30" s="490"/>
      <c r="F30" s="486" t="str">
        <f t="shared" si="1"/>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89"/>
      <c r="B31" s="519"/>
      <c r="C31" s="520"/>
      <c r="D31" s="489"/>
      <c r="E31" s="490"/>
      <c r="F31" s="486"/>
      <c r="G31" s="486"/>
      <c r="H31" s="486"/>
      <c r="I31" s="486"/>
      <c r="J31" s="486"/>
      <c r="K31" s="486"/>
      <c r="L31" s="486"/>
      <c r="M31" s="48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89"/>
      <c r="B32" s="519"/>
      <c r="C32" s="520"/>
      <c r="D32" s="489"/>
      <c r="E32" s="490"/>
      <c r="F32" s="486"/>
      <c r="G32" s="486"/>
      <c r="H32" s="486"/>
      <c r="I32" s="486"/>
      <c r="J32" s="486"/>
      <c r="K32" s="486"/>
      <c r="L32" s="486"/>
      <c r="M32" s="48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89" t="s">
        <v>170</v>
      </c>
      <c r="B33" s="519"/>
      <c r="C33" s="520"/>
      <c r="D33" s="489"/>
      <c r="E33" s="490"/>
      <c r="F33" s="486" t="str">
        <f t="shared" si="1"/>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89"/>
      <c r="B34" s="519"/>
      <c r="C34" s="520"/>
      <c r="D34" s="489"/>
      <c r="E34" s="490"/>
      <c r="F34" s="486"/>
      <c r="G34" s="486"/>
      <c r="H34" s="486"/>
      <c r="I34" s="486"/>
      <c r="J34" s="486"/>
      <c r="K34" s="486"/>
      <c r="L34" s="486"/>
      <c r="M34" s="48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89"/>
      <c r="B35" s="519"/>
      <c r="C35" s="520"/>
      <c r="D35" s="489"/>
      <c r="E35" s="490"/>
      <c r="F35" s="486"/>
      <c r="G35" s="486"/>
      <c r="H35" s="486"/>
      <c r="I35" s="486"/>
      <c r="J35" s="486"/>
      <c r="K35" s="486"/>
      <c r="L35" s="486"/>
      <c r="M35" s="48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89" t="s">
        <v>171</v>
      </c>
      <c r="B36" s="519"/>
      <c r="C36" s="520"/>
      <c r="D36" s="489"/>
      <c r="E36" s="490"/>
      <c r="F36" s="486" t="str">
        <f t="shared" si="1"/>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89"/>
      <c r="B37" s="519"/>
      <c r="C37" s="520"/>
      <c r="D37" s="489"/>
      <c r="E37" s="490"/>
      <c r="F37" s="486"/>
      <c r="G37" s="486"/>
      <c r="H37" s="486"/>
      <c r="I37" s="486"/>
      <c r="J37" s="486"/>
      <c r="K37" s="486"/>
      <c r="L37" s="486"/>
      <c r="M37" s="48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89"/>
      <c r="B38" s="519"/>
      <c r="C38" s="520"/>
      <c r="D38" s="489"/>
      <c r="E38" s="490"/>
      <c r="F38" s="486"/>
      <c r="G38" s="486"/>
      <c r="H38" s="486"/>
      <c r="I38" s="486"/>
      <c r="J38" s="486"/>
      <c r="K38" s="486"/>
      <c r="L38" s="486"/>
      <c r="M38" s="48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89" t="s">
        <v>172</v>
      </c>
      <c r="B39" s="519"/>
      <c r="C39" s="520"/>
      <c r="D39" s="489"/>
      <c r="E39" s="490"/>
      <c r="F39" s="486" t="str">
        <f t="shared" si="1"/>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89"/>
      <c r="B40" s="519"/>
      <c r="C40" s="520"/>
      <c r="D40" s="489"/>
      <c r="E40" s="490"/>
      <c r="F40" s="486"/>
      <c r="G40" s="486"/>
      <c r="H40" s="486"/>
      <c r="I40" s="486"/>
      <c r="J40" s="486"/>
      <c r="K40" s="486"/>
      <c r="L40" s="486"/>
      <c r="M40" s="48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89"/>
      <c r="B41" s="519"/>
      <c r="C41" s="520"/>
      <c r="D41" s="489"/>
      <c r="E41" s="490"/>
      <c r="F41" s="486"/>
      <c r="G41" s="486"/>
      <c r="H41" s="486"/>
      <c r="I41" s="486"/>
      <c r="J41" s="486"/>
      <c r="K41" s="486"/>
      <c r="L41" s="486"/>
      <c r="M41" s="48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89" t="s">
        <v>173</v>
      </c>
      <c r="B42" s="519"/>
      <c r="C42" s="520"/>
      <c r="D42" s="489"/>
      <c r="E42" s="490"/>
      <c r="F42" s="486" t="str">
        <f t="shared" ref="F42:M45" si="2">IFERROR(IF($E42="","No",IF($E42="No","No"," "))," ")</f>
        <v>No</v>
      </c>
      <c r="G42" s="486" t="str">
        <f t="shared" si="2"/>
        <v>No</v>
      </c>
      <c r="H42" s="486" t="str">
        <f t="shared" si="2"/>
        <v>No</v>
      </c>
      <c r="I42" s="486" t="str">
        <f t="shared" si="2"/>
        <v>No</v>
      </c>
      <c r="J42" s="486" t="str">
        <f t="shared" si="2"/>
        <v>No</v>
      </c>
      <c r="K42" s="486" t="str">
        <f t="shared" si="2"/>
        <v>No</v>
      </c>
      <c r="L42" s="486" t="str">
        <f t="shared" si="2"/>
        <v>No</v>
      </c>
      <c r="M42" s="48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89"/>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89"/>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89" t="s">
        <v>174</v>
      </c>
      <c r="B45" s="519"/>
      <c r="C45" s="520"/>
      <c r="D45" s="489"/>
      <c r="E45" s="490"/>
      <c r="F45" s="486" t="str">
        <f t="shared" si="2"/>
        <v>No</v>
      </c>
      <c r="G45" s="486" t="str">
        <f t="shared" si="2"/>
        <v>No</v>
      </c>
      <c r="H45" s="486" t="str">
        <f t="shared" si="2"/>
        <v>No</v>
      </c>
      <c r="I45" s="486" t="str">
        <f t="shared" si="2"/>
        <v>No</v>
      </c>
      <c r="J45" s="486" t="str">
        <f t="shared" si="2"/>
        <v>No</v>
      </c>
      <c r="K45" s="486" t="str">
        <f t="shared" si="2"/>
        <v>No</v>
      </c>
      <c r="L45" s="486" t="str">
        <f t="shared" si="2"/>
        <v>No</v>
      </c>
      <c r="M45" s="48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89"/>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89"/>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0"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94" t="s">
        <v>175</v>
      </c>
      <c r="C1" s="694"/>
      <c r="D1" s="694"/>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176</v>
      </c>
      <c r="E4" s="69"/>
      <c r="F4" s="69"/>
      <c r="G4" s="69"/>
      <c r="H4" s="69"/>
      <c r="I4" s="69"/>
      <c r="J4" s="69"/>
      <c r="K4" s="69"/>
      <c r="L4" s="69"/>
      <c r="M4" s="69"/>
      <c r="N4" s="69"/>
      <c r="O4" s="69"/>
      <c r="P4" s="69"/>
      <c r="Q4" s="69"/>
      <c r="R4" s="69"/>
      <c r="S4" s="69"/>
      <c r="T4" s="69"/>
      <c r="U4" s="69"/>
    </row>
    <row r="5" spans="1:21" x14ac:dyDescent="0.25">
      <c r="A5" s="89" t="s">
        <v>177</v>
      </c>
      <c r="E5" s="69"/>
      <c r="F5" s="69"/>
      <c r="G5" s="69"/>
      <c r="H5" s="69"/>
      <c r="I5" s="69"/>
      <c r="J5" s="69"/>
      <c r="K5" s="69"/>
      <c r="L5" s="69"/>
      <c r="M5" s="69"/>
      <c r="N5" s="69"/>
      <c r="O5" s="69"/>
      <c r="P5" s="69"/>
      <c r="Q5" s="69"/>
      <c r="R5" s="69"/>
      <c r="S5" s="69"/>
      <c r="T5" s="69"/>
      <c r="U5" s="69"/>
    </row>
    <row r="6" spans="1:21" x14ac:dyDescent="0.25">
      <c r="A6" s="89" t="s">
        <v>134</v>
      </c>
      <c r="E6" s="69"/>
      <c r="F6" s="69"/>
      <c r="G6" s="69"/>
      <c r="H6" s="69"/>
      <c r="I6" s="69"/>
      <c r="J6" s="69"/>
      <c r="K6" s="69"/>
      <c r="L6" s="69"/>
      <c r="M6" s="69"/>
      <c r="N6" s="69"/>
      <c r="O6" s="69"/>
      <c r="P6" s="69"/>
      <c r="Q6" s="69"/>
      <c r="R6" s="69"/>
      <c r="S6" s="69"/>
      <c r="T6" s="69"/>
      <c r="U6" s="69"/>
    </row>
    <row r="7" spans="1:21" x14ac:dyDescent="0.25">
      <c r="A7" s="89" t="s">
        <v>178</v>
      </c>
      <c r="E7" s="69"/>
      <c r="F7" s="69"/>
      <c r="G7" s="69"/>
      <c r="H7" s="69"/>
      <c r="I7" s="69"/>
      <c r="J7" s="69"/>
      <c r="K7" s="69"/>
      <c r="L7" s="69"/>
      <c r="M7" s="69"/>
      <c r="N7" s="69"/>
      <c r="O7" s="69"/>
      <c r="P7" s="69"/>
      <c r="Q7" s="69"/>
      <c r="R7" s="69"/>
      <c r="S7" s="69"/>
      <c r="T7" s="69"/>
      <c r="U7" s="69"/>
    </row>
    <row r="8" spans="1:21" x14ac:dyDescent="0.25">
      <c r="A8" s="89" t="s">
        <v>179</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180</v>
      </c>
      <c r="D10" s="22" t="s">
        <v>181</v>
      </c>
      <c r="E10" s="69"/>
      <c r="F10" s="69"/>
      <c r="G10" s="69"/>
      <c r="H10" s="69"/>
      <c r="I10" s="69"/>
      <c r="J10" s="69"/>
      <c r="K10" s="69"/>
      <c r="L10" s="69"/>
      <c r="M10" s="69"/>
      <c r="N10" s="69"/>
      <c r="O10" s="69"/>
      <c r="P10" s="69"/>
      <c r="Q10" s="69"/>
      <c r="R10" s="69"/>
      <c r="S10" s="69"/>
      <c r="T10" s="69"/>
      <c r="U10" s="69"/>
    </row>
    <row r="11" spans="1:21" ht="33.75" x14ac:dyDescent="0.25">
      <c r="A11" s="89"/>
      <c r="B11" s="25" t="s">
        <v>182</v>
      </c>
      <c r="C11" s="30" t="s">
        <v>183</v>
      </c>
      <c r="D11" s="23" t="s">
        <v>184</v>
      </c>
      <c r="E11" s="69"/>
      <c r="F11" s="69"/>
      <c r="G11" s="69"/>
      <c r="H11" s="69"/>
      <c r="I11" s="69"/>
      <c r="J11" s="69"/>
      <c r="K11" s="69"/>
      <c r="L11" s="69"/>
      <c r="M11" s="69"/>
      <c r="N11" s="69"/>
      <c r="O11" s="69"/>
      <c r="P11" s="69"/>
      <c r="Q11" s="69"/>
      <c r="R11" s="69"/>
      <c r="S11" s="69"/>
      <c r="T11" s="69"/>
      <c r="U11" s="69"/>
    </row>
    <row r="12" spans="1:21" ht="114" customHeight="1" x14ac:dyDescent="0.25">
      <c r="A12" s="89"/>
      <c r="B12" s="26" t="s">
        <v>185</v>
      </c>
      <c r="C12" s="31" t="s">
        <v>186</v>
      </c>
      <c r="D12" s="24" t="s">
        <v>187</v>
      </c>
      <c r="E12" s="69"/>
      <c r="F12" s="69"/>
      <c r="G12" s="69"/>
      <c r="H12" s="69"/>
      <c r="I12" s="69"/>
      <c r="J12" s="69"/>
      <c r="K12" s="69"/>
      <c r="L12" s="69"/>
      <c r="M12" s="69"/>
      <c r="N12" s="69"/>
      <c r="O12" s="69"/>
      <c r="P12" s="69"/>
      <c r="Q12" s="69"/>
      <c r="R12" s="69"/>
      <c r="S12" s="69"/>
      <c r="T12" s="69"/>
      <c r="U12" s="69"/>
    </row>
    <row r="13" spans="1:21" ht="67.5" x14ac:dyDescent="0.25">
      <c r="A13" s="89"/>
      <c r="B13" s="27" t="s">
        <v>188</v>
      </c>
      <c r="C13" s="31" t="s">
        <v>189</v>
      </c>
      <c r="D13" s="24" t="s">
        <v>190</v>
      </c>
      <c r="E13" s="69"/>
      <c r="F13" s="69"/>
      <c r="G13" s="69"/>
      <c r="H13" s="69"/>
      <c r="I13" s="69"/>
      <c r="J13" s="69"/>
      <c r="K13" s="69"/>
      <c r="L13" s="69"/>
      <c r="M13" s="69"/>
      <c r="N13" s="69"/>
      <c r="O13" s="69"/>
      <c r="P13" s="69"/>
      <c r="Q13" s="69"/>
      <c r="R13" s="69"/>
      <c r="S13" s="69"/>
      <c r="T13" s="69"/>
      <c r="U13" s="69"/>
    </row>
    <row r="14" spans="1:21" ht="101.25" x14ac:dyDescent="0.25">
      <c r="A14" s="89"/>
      <c r="B14" s="28" t="s">
        <v>191</v>
      </c>
      <c r="C14" s="31" t="s">
        <v>192</v>
      </c>
      <c r="D14" s="24" t="s">
        <v>193</v>
      </c>
      <c r="E14" s="69"/>
      <c r="F14" s="69"/>
      <c r="G14" s="69"/>
      <c r="H14" s="69"/>
      <c r="I14" s="69"/>
      <c r="J14" s="69"/>
      <c r="K14" s="69"/>
      <c r="L14" s="69"/>
      <c r="M14" s="69"/>
      <c r="N14" s="69"/>
      <c r="O14" s="69"/>
      <c r="P14" s="69"/>
      <c r="Q14" s="69"/>
      <c r="R14" s="69"/>
      <c r="S14" s="69"/>
      <c r="T14" s="69"/>
      <c r="U14" s="69"/>
    </row>
    <row r="15" spans="1:21" ht="67.5" x14ac:dyDescent="0.25">
      <c r="A15" s="89"/>
      <c r="B15" s="29" t="s">
        <v>194</v>
      </c>
      <c r="C15" s="31" t="s">
        <v>195</v>
      </c>
      <c r="D15" s="24" t="s">
        <v>196</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197</v>
      </c>
      <c r="C209" s="16" t="s">
        <v>198</v>
      </c>
      <c r="D209" s="19" t="s">
        <v>197</v>
      </c>
      <c r="E209" s="19" t="s">
        <v>198</v>
      </c>
    </row>
    <row r="210" spans="1:8" ht="21" x14ac:dyDescent="0.35">
      <c r="A210" s="69"/>
      <c r="B210" s="17" t="s">
        <v>199</v>
      </c>
      <c r="C210" s="17" t="s">
        <v>200</v>
      </c>
      <c r="D210" t="s">
        <v>199</v>
      </c>
      <c r="F210" t="str">
        <f>IF(NOT(ISBLANK(D210)),D210,IF(NOT(ISBLANK(E210)),"     "&amp;E210,FALSE))</f>
        <v>Afectación Económica o presupuestal</v>
      </c>
      <c r="G210" t="s">
        <v>199</v>
      </c>
      <c r="H210" t="str">
        <f ca="1">IF(NOT(ISERROR(MATCH(G210,_xlfn.ANCHORARRAY(B221),0))),F223&amp;"Por favor no seleccionar los criterios de impacto",G210)</f>
        <v>Afectación Económica o presupuestal</v>
      </c>
    </row>
    <row r="211" spans="1:8" ht="21" x14ac:dyDescent="0.35">
      <c r="A211" s="69"/>
      <c r="B211" s="17" t="s">
        <v>199</v>
      </c>
      <c r="C211" s="17" t="s">
        <v>186</v>
      </c>
      <c r="E211" t="s">
        <v>200</v>
      </c>
      <c r="F211" t="str">
        <f t="shared" ref="F211:F221" si="0">IF(NOT(ISBLANK(D211)),D211,IF(NOT(ISBLANK(E211)),"     "&amp;E211,FALSE))</f>
        <v xml:space="preserve">     Afectación menor a 10 SMLMV .</v>
      </c>
    </row>
    <row r="212" spans="1:8" ht="21" x14ac:dyDescent="0.35">
      <c r="A212" s="69"/>
      <c r="B212" s="17" t="s">
        <v>199</v>
      </c>
      <c r="C212" s="17" t="s">
        <v>189</v>
      </c>
      <c r="E212" t="s">
        <v>186</v>
      </c>
      <c r="F212" t="str">
        <f t="shared" si="0"/>
        <v xml:space="preserve">     Entre 10 y 50 SMLMV </v>
      </c>
    </row>
    <row r="213" spans="1:8" ht="21" x14ac:dyDescent="0.35">
      <c r="A213" s="69"/>
      <c r="B213" s="17" t="s">
        <v>199</v>
      </c>
      <c r="C213" s="17" t="s">
        <v>192</v>
      </c>
      <c r="E213" t="s">
        <v>189</v>
      </c>
      <c r="F213" t="str">
        <f t="shared" si="0"/>
        <v xml:space="preserve">     Entre 50 y 100 SMLMV </v>
      </c>
    </row>
    <row r="214" spans="1:8" ht="21" x14ac:dyDescent="0.35">
      <c r="A214" s="69"/>
      <c r="B214" s="17" t="s">
        <v>199</v>
      </c>
      <c r="C214" s="17" t="s">
        <v>195</v>
      </c>
      <c r="E214" t="s">
        <v>192</v>
      </c>
      <c r="F214" t="str">
        <f t="shared" si="0"/>
        <v xml:space="preserve">     Entre 100 y 500 SMLMV </v>
      </c>
    </row>
    <row r="215" spans="1:8" ht="21" x14ac:dyDescent="0.35">
      <c r="A215" s="69"/>
      <c r="B215" s="17" t="s">
        <v>181</v>
      </c>
      <c r="C215" s="17" t="s">
        <v>184</v>
      </c>
      <c r="E215" t="s">
        <v>195</v>
      </c>
      <c r="F215" t="str">
        <f t="shared" si="0"/>
        <v xml:space="preserve">     Mayor a 500 SMLMV </v>
      </c>
    </row>
    <row r="216" spans="1:8" ht="21" x14ac:dyDescent="0.35">
      <c r="A216" s="69"/>
      <c r="B216" s="17" t="s">
        <v>181</v>
      </c>
      <c r="C216" s="17" t="s">
        <v>187</v>
      </c>
      <c r="D216" t="s">
        <v>181</v>
      </c>
      <c r="F216" t="str">
        <f t="shared" si="0"/>
        <v>Pérdida Reputacional</v>
      </c>
    </row>
    <row r="217" spans="1:8" ht="21" x14ac:dyDescent="0.35">
      <c r="A217" s="69"/>
      <c r="B217" s="17" t="s">
        <v>181</v>
      </c>
      <c r="C217" s="17" t="s">
        <v>190</v>
      </c>
      <c r="E217" t="s">
        <v>184</v>
      </c>
      <c r="F217" t="str">
        <f t="shared" si="0"/>
        <v xml:space="preserve">     El riesgo afecta la imagen de alguna área de la organización</v>
      </c>
    </row>
    <row r="218" spans="1:8" ht="21" x14ac:dyDescent="0.35">
      <c r="A218" s="69"/>
      <c r="B218" s="17" t="s">
        <v>181</v>
      </c>
      <c r="C218" s="17" t="s">
        <v>193</v>
      </c>
      <c r="E218" t="s">
        <v>187</v>
      </c>
      <c r="F218" t="str">
        <f t="shared" si="0"/>
        <v xml:space="preserve">     El riesgo afecta la imagen de la entidad internamente, de conocimiento general, nivel interno, de junta dircetiva y accionistas y/o de provedores</v>
      </c>
    </row>
    <row r="219" spans="1:8" ht="21" x14ac:dyDescent="0.35">
      <c r="A219" s="69"/>
      <c r="B219" s="17" t="s">
        <v>181</v>
      </c>
      <c r="C219" s="17" t="s">
        <v>196</v>
      </c>
      <c r="E219" t="s">
        <v>190</v>
      </c>
      <c r="F219" t="str">
        <f t="shared" si="0"/>
        <v xml:space="preserve">     El riesgo afecta la imagen de la entidad con algunos usuarios de relevancia frente al logro de los objetivos</v>
      </c>
    </row>
    <row r="220" spans="1:8" x14ac:dyDescent="0.25">
      <c r="A220" s="69"/>
      <c r="B220" s="18"/>
      <c r="C220" s="18"/>
      <c r="E220" t="s">
        <v>193</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196</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201</v>
      </c>
    </row>
    <row r="224" spans="1:8" x14ac:dyDescent="0.25">
      <c r="B224" s="14"/>
      <c r="C224" s="14"/>
      <c r="F224" s="21" t="s">
        <v>202</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95" t="s">
        <v>203</v>
      </c>
      <c r="C1" s="696"/>
      <c r="D1" s="696"/>
      <c r="E1" s="696"/>
      <c r="F1" s="697"/>
    </row>
    <row r="2" spans="2:6" ht="16.5" thickBot="1" x14ac:dyDescent="0.3">
      <c r="B2" s="75"/>
      <c r="C2" s="75"/>
      <c r="D2" s="75"/>
      <c r="E2" s="75"/>
      <c r="F2" s="75"/>
    </row>
    <row r="3" spans="2:6" ht="16.5" thickBot="1" x14ac:dyDescent="0.25">
      <c r="B3" s="699" t="s">
        <v>204</v>
      </c>
      <c r="C3" s="700"/>
      <c r="D3" s="700"/>
      <c r="E3" s="87" t="s">
        <v>205</v>
      </c>
      <c r="F3" s="88" t="s">
        <v>206</v>
      </c>
    </row>
    <row r="4" spans="2:6" ht="31.5" x14ac:dyDescent="0.2">
      <c r="B4" s="701" t="s">
        <v>207</v>
      </c>
      <c r="C4" s="703" t="s">
        <v>100</v>
      </c>
      <c r="D4" s="76" t="s">
        <v>208</v>
      </c>
      <c r="E4" s="77" t="s">
        <v>209</v>
      </c>
      <c r="F4" s="78">
        <v>0.25</v>
      </c>
    </row>
    <row r="5" spans="2:6" ht="47.25" x14ac:dyDescent="0.2">
      <c r="B5" s="702"/>
      <c r="C5" s="704"/>
      <c r="D5" s="79" t="s">
        <v>210</v>
      </c>
      <c r="E5" s="80" t="s">
        <v>211</v>
      </c>
      <c r="F5" s="81">
        <v>0.15</v>
      </c>
    </row>
    <row r="6" spans="2:6" ht="47.25" x14ac:dyDescent="0.2">
      <c r="B6" s="702"/>
      <c r="C6" s="704"/>
      <c r="D6" s="79" t="s">
        <v>212</v>
      </c>
      <c r="E6" s="80" t="s">
        <v>213</v>
      </c>
      <c r="F6" s="81">
        <v>0.1</v>
      </c>
    </row>
    <row r="7" spans="2:6" ht="63" x14ac:dyDescent="0.2">
      <c r="B7" s="702"/>
      <c r="C7" s="704" t="s">
        <v>101</v>
      </c>
      <c r="D7" s="79" t="s">
        <v>214</v>
      </c>
      <c r="E7" s="80" t="s">
        <v>215</v>
      </c>
      <c r="F7" s="81">
        <v>0.25</v>
      </c>
    </row>
    <row r="8" spans="2:6" ht="31.5" x14ac:dyDescent="0.2">
      <c r="B8" s="702"/>
      <c r="C8" s="704"/>
      <c r="D8" s="79" t="s">
        <v>216</v>
      </c>
      <c r="E8" s="80" t="s">
        <v>217</v>
      </c>
      <c r="F8" s="81">
        <v>0.15</v>
      </c>
    </row>
    <row r="9" spans="2:6" ht="47.25" x14ac:dyDescent="0.2">
      <c r="B9" s="702" t="s">
        <v>218</v>
      </c>
      <c r="C9" s="704" t="s">
        <v>103</v>
      </c>
      <c r="D9" s="79" t="s">
        <v>219</v>
      </c>
      <c r="E9" s="80" t="s">
        <v>220</v>
      </c>
      <c r="F9" s="82" t="s">
        <v>221</v>
      </c>
    </row>
    <row r="10" spans="2:6" ht="63" x14ac:dyDescent="0.2">
      <c r="B10" s="702"/>
      <c r="C10" s="704"/>
      <c r="D10" s="79" t="s">
        <v>222</v>
      </c>
      <c r="E10" s="80" t="s">
        <v>223</v>
      </c>
      <c r="F10" s="82" t="s">
        <v>221</v>
      </c>
    </row>
    <row r="11" spans="2:6" ht="47.25" x14ac:dyDescent="0.2">
      <c r="B11" s="702"/>
      <c r="C11" s="704" t="s">
        <v>104</v>
      </c>
      <c r="D11" s="79" t="s">
        <v>224</v>
      </c>
      <c r="E11" s="80" t="s">
        <v>225</v>
      </c>
      <c r="F11" s="82" t="s">
        <v>221</v>
      </c>
    </row>
    <row r="12" spans="2:6" ht="47.25" x14ac:dyDescent="0.2">
      <c r="B12" s="702"/>
      <c r="C12" s="704"/>
      <c r="D12" s="79" t="s">
        <v>226</v>
      </c>
      <c r="E12" s="80" t="s">
        <v>227</v>
      </c>
      <c r="F12" s="82" t="s">
        <v>221</v>
      </c>
    </row>
    <row r="13" spans="2:6" ht="31.5" x14ac:dyDescent="0.2">
      <c r="B13" s="702"/>
      <c r="C13" s="704" t="s">
        <v>105</v>
      </c>
      <c r="D13" s="79" t="s">
        <v>228</v>
      </c>
      <c r="E13" s="80" t="s">
        <v>229</v>
      </c>
      <c r="F13" s="82" t="s">
        <v>221</v>
      </c>
    </row>
    <row r="14" spans="2:6" ht="32.25" thickBot="1" x14ac:dyDescent="0.25">
      <c r="B14" s="705"/>
      <c r="C14" s="706"/>
      <c r="D14" s="83" t="s">
        <v>230</v>
      </c>
      <c r="E14" s="84" t="s">
        <v>231</v>
      </c>
      <c r="F14" s="85" t="s">
        <v>221</v>
      </c>
    </row>
    <row r="15" spans="2:6" ht="49.5" customHeight="1" x14ac:dyDescent="0.2">
      <c r="B15" s="698" t="s">
        <v>232</v>
      </c>
      <c r="C15" s="698"/>
      <c r="D15" s="698"/>
      <c r="E15" s="698"/>
      <c r="F15" s="698"/>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73" t="s">
        <v>233</v>
      </c>
      <c r="C3" s="173" t="s">
        <v>234</v>
      </c>
      <c r="D3" s="173" t="s">
        <v>235</v>
      </c>
    </row>
    <row r="4" spans="2:4" x14ac:dyDescent="0.25">
      <c r="B4" s="110"/>
      <c r="C4" s="151"/>
      <c r="D4" s="152"/>
    </row>
    <row r="5" spans="2:4" x14ac:dyDescent="0.25">
      <c r="B5" s="110" t="s">
        <v>236</v>
      </c>
      <c r="C5" s="108" t="s">
        <v>239</v>
      </c>
      <c r="D5" s="152" t="s">
        <v>180</v>
      </c>
    </row>
    <row r="6" spans="2:4" x14ac:dyDescent="0.25">
      <c r="B6" s="110" t="s">
        <v>238</v>
      </c>
      <c r="C6" s="108" t="s">
        <v>243</v>
      </c>
      <c r="D6" s="152" t="s">
        <v>183</v>
      </c>
    </row>
    <row r="7" spans="2:4" ht="15.75" thickBot="1" x14ac:dyDescent="0.3">
      <c r="B7" s="111" t="s">
        <v>240</v>
      </c>
      <c r="C7" s="108" t="s">
        <v>244</v>
      </c>
      <c r="D7" s="152" t="s">
        <v>186</v>
      </c>
    </row>
    <row r="8" spans="2:4" ht="30" x14ac:dyDescent="0.25">
      <c r="C8" s="112" t="s">
        <v>241</v>
      </c>
      <c r="D8" s="152" t="s">
        <v>189</v>
      </c>
    </row>
    <row r="9" spans="2:4" x14ac:dyDescent="0.25">
      <c r="C9" s="108" t="s">
        <v>242</v>
      </c>
      <c r="D9" s="152" t="s">
        <v>192</v>
      </c>
    </row>
    <row r="10" spans="2:4" x14ac:dyDescent="0.25">
      <c r="C10" s="108" t="s">
        <v>245</v>
      </c>
      <c r="D10" s="152" t="s">
        <v>195</v>
      </c>
    </row>
    <row r="11" spans="2:4" x14ac:dyDescent="0.25">
      <c r="C11" s="108" t="s">
        <v>246</v>
      </c>
      <c r="D11" s="152"/>
    </row>
    <row r="12" spans="2:4" x14ac:dyDescent="0.25">
      <c r="C12" s="108" t="s">
        <v>237</v>
      </c>
      <c r="D12" s="152" t="s">
        <v>247</v>
      </c>
    </row>
    <row r="13" spans="2:4" x14ac:dyDescent="0.25">
      <c r="C13" s="172" t="s">
        <v>465</v>
      </c>
      <c r="D13" s="152" t="s">
        <v>184</v>
      </c>
    </row>
    <row r="14" spans="2:4" x14ac:dyDescent="0.25">
      <c r="C14" s="172" t="s">
        <v>466</v>
      </c>
      <c r="D14" s="152" t="s">
        <v>187</v>
      </c>
    </row>
    <row r="15" spans="2:4" x14ac:dyDescent="0.25">
      <c r="C15" s="172" t="s">
        <v>467</v>
      </c>
      <c r="D15" s="152" t="s">
        <v>190</v>
      </c>
    </row>
    <row r="16" spans="2:4" x14ac:dyDescent="0.25">
      <c r="C16" s="172" t="s">
        <v>468</v>
      </c>
      <c r="D16" s="152" t="s">
        <v>193</v>
      </c>
    </row>
    <row r="17" spans="2:21" ht="15.75" thickBot="1" x14ac:dyDescent="0.3">
      <c r="C17" s="172" t="s">
        <v>469</v>
      </c>
      <c r="D17" s="153" t="s">
        <v>196</v>
      </c>
    </row>
    <row r="18" spans="2:21" x14ac:dyDescent="0.25">
      <c r="C18" s="172" t="s">
        <v>470</v>
      </c>
    </row>
    <row r="19" spans="2:21" ht="15.75" thickBot="1" x14ac:dyDescent="0.3">
      <c r="C19" s="108"/>
    </row>
    <row r="20" spans="2:21" ht="15.75" thickBot="1" x14ac:dyDescent="0.3">
      <c r="C20" s="173" t="s">
        <v>248</v>
      </c>
    </row>
    <row r="21" spans="2:21" x14ac:dyDescent="0.25">
      <c r="C21" s="108" t="s">
        <v>249</v>
      </c>
    </row>
    <row r="22" spans="2:21" x14ac:dyDescent="0.25">
      <c r="C22" s="108" t="s">
        <v>250</v>
      </c>
    </row>
    <row r="23" spans="2:21" ht="15.75" thickBot="1" x14ac:dyDescent="0.3">
      <c r="C23" s="109" t="s">
        <v>251</v>
      </c>
    </row>
    <row r="25" spans="2:21" ht="15.75" thickBot="1" x14ac:dyDescent="0.3"/>
    <row r="26" spans="2:21" ht="15.75" thickBot="1" x14ac:dyDescent="0.3">
      <c r="B26" s="173" t="s">
        <v>252</v>
      </c>
      <c r="C26" s="174" t="s">
        <v>253</v>
      </c>
      <c r="D26" s="173" t="s">
        <v>254</v>
      </c>
      <c r="R26" t="s">
        <v>255</v>
      </c>
      <c r="U26" t="s">
        <v>236</v>
      </c>
    </row>
    <row r="27" spans="2:21" x14ac:dyDescent="0.25">
      <c r="B27" s="108"/>
      <c r="C27" s="108"/>
      <c r="D27" s="108"/>
      <c r="R27" t="s">
        <v>258</v>
      </c>
      <c r="U27" t="s">
        <v>238</v>
      </c>
    </row>
    <row r="28" spans="2:21" x14ac:dyDescent="0.25">
      <c r="B28" s="108" t="s">
        <v>255</v>
      </c>
      <c r="C28" s="112" t="s">
        <v>256</v>
      </c>
      <c r="D28" s="108" t="s">
        <v>257</v>
      </c>
      <c r="R28" t="s">
        <v>261</v>
      </c>
      <c r="U28" t="s">
        <v>240</v>
      </c>
    </row>
    <row r="29" spans="2:21" ht="15.75" thickBot="1" x14ac:dyDescent="0.3">
      <c r="B29" s="108" t="s">
        <v>258</v>
      </c>
      <c r="C29" s="113" t="s">
        <v>259</v>
      </c>
      <c r="D29" s="109" t="s">
        <v>260</v>
      </c>
      <c r="R29" t="s">
        <v>262</v>
      </c>
    </row>
    <row r="30" spans="2:21" ht="15.75" thickBot="1" x14ac:dyDescent="0.3">
      <c r="B30" s="108" t="s">
        <v>261</v>
      </c>
    </row>
    <row r="31" spans="2:21" ht="15.75" thickBot="1" x14ac:dyDescent="0.3">
      <c r="B31" s="109" t="s">
        <v>262</v>
      </c>
      <c r="D31" s="173" t="s">
        <v>263</v>
      </c>
    </row>
    <row r="32" spans="2:21" ht="15.75" thickBot="1" x14ac:dyDescent="0.3">
      <c r="D32" s="108" t="s">
        <v>257</v>
      </c>
      <c r="R32" t="s">
        <v>270</v>
      </c>
    </row>
    <row r="33" spans="2:18" ht="16.5" thickBot="1" x14ac:dyDescent="0.3">
      <c r="B33" s="140" t="s">
        <v>264</v>
      </c>
      <c r="D33" s="109" t="s">
        <v>260</v>
      </c>
      <c r="R33" t="s">
        <v>256</v>
      </c>
    </row>
    <row r="34" spans="2:18" ht="15.75" x14ac:dyDescent="0.25">
      <c r="B34" s="114"/>
      <c r="R34" t="s">
        <v>259</v>
      </c>
    </row>
    <row r="35" spans="2:18" ht="15.75" x14ac:dyDescent="0.25">
      <c r="B35" s="114" t="s">
        <v>265</v>
      </c>
    </row>
    <row r="36" spans="2:18" ht="15.75" x14ac:dyDescent="0.25">
      <c r="B36" s="114" t="s">
        <v>266</v>
      </c>
    </row>
    <row r="37" spans="2:18" ht="15.75" x14ac:dyDescent="0.25">
      <c r="B37" s="114" t="s">
        <v>267</v>
      </c>
      <c r="R37" t="s">
        <v>237</v>
      </c>
    </row>
    <row r="38" spans="2:18" ht="15.75" x14ac:dyDescent="0.25">
      <c r="B38" s="114" t="s">
        <v>268</v>
      </c>
      <c r="R38" t="s">
        <v>239</v>
      </c>
    </row>
    <row r="39" spans="2:18" ht="15.75" x14ac:dyDescent="0.25">
      <c r="B39" s="114" t="s">
        <v>269</v>
      </c>
      <c r="R39" t="s">
        <v>242</v>
      </c>
    </row>
    <row r="40" spans="2:18" ht="15.75" x14ac:dyDescent="0.25">
      <c r="B40" s="114" t="s">
        <v>271</v>
      </c>
      <c r="R40" t="s">
        <v>243</v>
      </c>
    </row>
    <row r="41" spans="2:18" ht="15.75" x14ac:dyDescent="0.25">
      <c r="B41" s="114" t="s">
        <v>272</v>
      </c>
      <c r="R41" t="s">
        <v>244</v>
      </c>
    </row>
    <row r="42" spans="2:18" ht="15.75" x14ac:dyDescent="0.25">
      <c r="B42" s="114" t="s">
        <v>273</v>
      </c>
      <c r="R42" t="s">
        <v>245</v>
      </c>
    </row>
    <row r="43" spans="2:18" ht="15.75" x14ac:dyDescent="0.25">
      <c r="B43" s="114" t="s">
        <v>274</v>
      </c>
      <c r="R43" t="s">
        <v>246</v>
      </c>
    </row>
    <row r="44" spans="2:18" ht="15.75" x14ac:dyDescent="0.25">
      <c r="B44" s="114" t="s">
        <v>275</v>
      </c>
    </row>
    <row r="45" spans="2:18" ht="15.75" x14ac:dyDescent="0.25">
      <c r="B45" s="114" t="s">
        <v>276</v>
      </c>
    </row>
    <row r="46" spans="2:18" ht="15.75" x14ac:dyDescent="0.25">
      <c r="B46" s="114" t="s">
        <v>277</v>
      </c>
    </row>
    <row r="47" spans="2:18" ht="15.75" x14ac:dyDescent="0.25">
      <c r="B47" s="114" t="s">
        <v>278</v>
      </c>
    </row>
    <row r="48" spans="2:18" ht="15.75" x14ac:dyDescent="0.25">
      <c r="B48" s="114" t="s">
        <v>279</v>
      </c>
    </row>
    <row r="49" spans="2:2" ht="16.5" thickBot="1" x14ac:dyDescent="0.3">
      <c r="B49" s="115" t="s">
        <v>280</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208</v>
      </c>
    </row>
    <row r="4" spans="1:1" x14ac:dyDescent="0.2">
      <c r="A4" s="2" t="s">
        <v>210</v>
      </c>
    </row>
    <row r="5" spans="1:1" x14ac:dyDescent="0.2">
      <c r="A5" s="2" t="s">
        <v>212</v>
      </c>
    </row>
    <row r="6" spans="1:1" x14ac:dyDescent="0.2">
      <c r="A6" s="2" t="s">
        <v>214</v>
      </c>
    </row>
    <row r="7" spans="1:1" x14ac:dyDescent="0.2">
      <c r="A7" s="2" t="s">
        <v>216</v>
      </c>
    </row>
    <row r="8" spans="1:1" x14ac:dyDescent="0.2">
      <c r="A8" s="2" t="s">
        <v>219</v>
      </c>
    </row>
    <row r="9" spans="1:1" x14ac:dyDescent="0.2">
      <c r="A9" s="2" t="s">
        <v>222</v>
      </c>
    </row>
    <row r="10" spans="1:1" x14ac:dyDescent="0.2">
      <c r="A10" s="2" t="s">
        <v>224</v>
      </c>
    </row>
    <row r="11" spans="1:1" x14ac:dyDescent="0.2">
      <c r="A11" s="2" t="s">
        <v>226</v>
      </c>
    </row>
    <row r="12" spans="1:1" x14ac:dyDescent="0.2">
      <c r="A12" s="2" t="s">
        <v>281</v>
      </c>
    </row>
    <row r="13" spans="1:1" x14ac:dyDescent="0.2">
      <c r="A13" s="2" t="s">
        <v>282</v>
      </c>
    </row>
    <row r="14" spans="1:1" x14ac:dyDescent="0.2">
      <c r="A14" s="2" t="s">
        <v>283</v>
      </c>
    </row>
    <row r="16" spans="1:1" x14ac:dyDescent="0.2">
      <c r="A16" s="2" t="s">
        <v>284</v>
      </c>
    </row>
    <row r="17" spans="1:1" x14ac:dyDescent="0.2">
      <c r="A17" s="2" t="s">
        <v>255</v>
      </c>
    </row>
    <row r="18" spans="1:1" x14ac:dyDescent="0.2">
      <c r="A18" s="2" t="s">
        <v>258</v>
      </c>
    </row>
    <row r="20" spans="1:1" x14ac:dyDescent="0.2">
      <c r="A20" s="2" t="s">
        <v>256</v>
      </c>
    </row>
    <row r="21" spans="1:1" x14ac:dyDescent="0.2">
      <c r="A21" s="2" t="s">
        <v>259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285</v>
      </c>
      <c r="C1" s="116"/>
      <c r="D1" s="125"/>
      <c r="E1" s="125"/>
      <c r="F1" s="125"/>
    </row>
    <row r="2" spans="2:6" x14ac:dyDescent="0.25">
      <c r="B2" s="116" t="s">
        <v>286</v>
      </c>
      <c r="C2" s="116"/>
      <c r="D2" s="125"/>
      <c r="E2" s="125"/>
      <c r="F2" s="125"/>
    </row>
    <row r="3" spans="2:6" x14ac:dyDescent="0.25">
      <c r="B3" s="117"/>
      <c r="C3" s="117"/>
      <c r="D3" s="126"/>
      <c r="E3" s="126"/>
      <c r="F3" s="126"/>
    </row>
    <row r="4" spans="2:6" ht="45" x14ac:dyDescent="0.25">
      <c r="B4" s="117" t="s">
        <v>287</v>
      </c>
      <c r="C4" s="117"/>
      <c r="D4" s="126"/>
      <c r="E4" s="126"/>
      <c r="F4" s="126"/>
    </row>
    <row r="5" spans="2:6" x14ac:dyDescent="0.25">
      <c r="B5" s="117"/>
      <c r="C5" s="117"/>
      <c r="D5" s="126"/>
      <c r="E5" s="126"/>
      <c r="F5" s="126"/>
    </row>
    <row r="6" spans="2:6" ht="30" x14ac:dyDescent="0.25">
      <c r="B6" s="116" t="s">
        <v>288</v>
      </c>
      <c r="C6" s="116"/>
      <c r="D6" s="125"/>
      <c r="E6" s="125" t="s">
        <v>289</v>
      </c>
      <c r="F6" s="125" t="s">
        <v>290</v>
      </c>
    </row>
    <row r="7" spans="2:6" ht="15.75" thickBot="1" x14ac:dyDescent="0.3">
      <c r="B7" s="117"/>
      <c r="C7" s="117"/>
      <c r="D7" s="126"/>
      <c r="E7" s="126"/>
      <c r="F7" s="126"/>
    </row>
    <row r="8" spans="2:6" ht="60" x14ac:dyDescent="0.25">
      <c r="B8" s="118" t="s">
        <v>291</v>
      </c>
      <c r="C8" s="119"/>
      <c r="D8" s="127"/>
      <c r="E8" s="127">
        <v>300</v>
      </c>
      <c r="F8" s="128"/>
    </row>
    <row r="9" spans="2:6" ht="30" x14ac:dyDescent="0.25">
      <c r="B9" s="120"/>
      <c r="C9" s="117"/>
      <c r="D9" s="126"/>
      <c r="E9" s="129" t="s">
        <v>292</v>
      </c>
      <c r="F9" s="130" t="s">
        <v>293</v>
      </c>
    </row>
    <row r="10" spans="2:6" ht="30" x14ac:dyDescent="0.25">
      <c r="B10" s="120"/>
      <c r="C10" s="117"/>
      <c r="D10" s="126"/>
      <c r="E10" s="129" t="s">
        <v>294</v>
      </c>
      <c r="F10" s="130"/>
    </row>
    <row r="11" spans="2:6" ht="30" x14ac:dyDescent="0.25">
      <c r="B11" s="120"/>
      <c r="C11" s="117"/>
      <c r="D11" s="126"/>
      <c r="E11" s="129" t="s">
        <v>295</v>
      </c>
      <c r="F11" s="130"/>
    </row>
    <row r="12" spans="2:6" ht="30" x14ac:dyDescent="0.25">
      <c r="B12" s="120"/>
      <c r="C12" s="117"/>
      <c r="D12" s="126"/>
      <c r="E12" s="129" t="s">
        <v>296</v>
      </c>
      <c r="F12" s="130"/>
    </row>
    <row r="13" spans="2:6" ht="30" x14ac:dyDescent="0.25">
      <c r="B13" s="120"/>
      <c r="C13" s="117"/>
      <c r="D13" s="126"/>
      <c r="E13" s="129" t="s">
        <v>297</v>
      </c>
      <c r="F13" s="130"/>
    </row>
    <row r="14" spans="2:6" ht="30" x14ac:dyDescent="0.25">
      <c r="B14" s="120"/>
      <c r="C14" s="117"/>
      <c r="D14" s="126"/>
      <c r="E14" s="129" t="s">
        <v>298</v>
      </c>
      <c r="F14" s="130"/>
    </row>
    <row r="15" spans="2:6" ht="30" x14ac:dyDescent="0.25">
      <c r="B15" s="120"/>
      <c r="C15" s="117"/>
      <c r="D15" s="126"/>
      <c r="E15" s="129" t="s">
        <v>299</v>
      </c>
      <c r="F15" s="130"/>
    </row>
    <row r="16" spans="2:6" ht="30" x14ac:dyDescent="0.25">
      <c r="B16" s="120"/>
      <c r="C16" s="117"/>
      <c r="D16" s="126"/>
      <c r="E16" s="129" t="s">
        <v>300</v>
      </c>
      <c r="F16" s="130"/>
    </row>
    <row r="17" spans="2:6" ht="30" x14ac:dyDescent="0.25">
      <c r="B17" s="120"/>
      <c r="C17" s="117"/>
      <c r="D17" s="126"/>
      <c r="E17" s="129" t="s">
        <v>301</v>
      </c>
      <c r="F17" s="130"/>
    </row>
    <row r="18" spans="2:6" ht="30" x14ac:dyDescent="0.25">
      <c r="B18" s="120"/>
      <c r="C18" s="117"/>
      <c r="D18" s="126"/>
      <c r="E18" s="129" t="s">
        <v>302</v>
      </c>
      <c r="F18" s="130"/>
    </row>
    <row r="19" spans="2:6" ht="30" x14ac:dyDescent="0.25">
      <c r="B19" s="120"/>
      <c r="C19" s="117"/>
      <c r="D19" s="126"/>
      <c r="E19" s="129" t="s">
        <v>303</v>
      </c>
      <c r="F19" s="130"/>
    </row>
    <row r="20" spans="2:6" ht="30" x14ac:dyDescent="0.25">
      <c r="B20" s="120"/>
      <c r="C20" s="117"/>
      <c r="D20" s="126"/>
      <c r="E20" s="129" t="s">
        <v>304</v>
      </c>
      <c r="F20" s="130"/>
    </row>
    <row r="21" spans="2:6" ht="30" x14ac:dyDescent="0.25">
      <c r="B21" s="120"/>
      <c r="C21" s="117"/>
      <c r="D21" s="126"/>
      <c r="E21" s="129" t="s">
        <v>305</v>
      </c>
      <c r="F21" s="130"/>
    </row>
    <row r="22" spans="2:6" ht="30" x14ac:dyDescent="0.25">
      <c r="B22" s="120"/>
      <c r="C22" s="117"/>
      <c r="D22" s="126"/>
      <c r="E22" s="129" t="s">
        <v>306</v>
      </c>
      <c r="F22" s="130"/>
    </row>
    <row r="23" spans="2:6" ht="30" x14ac:dyDescent="0.25">
      <c r="B23" s="120"/>
      <c r="C23" s="117"/>
      <c r="D23" s="126"/>
      <c r="E23" s="129" t="s">
        <v>307</v>
      </c>
      <c r="F23" s="130"/>
    </row>
    <row r="24" spans="2:6" ht="30" x14ac:dyDescent="0.25">
      <c r="B24" s="120"/>
      <c r="C24" s="117"/>
      <c r="D24" s="126"/>
      <c r="E24" s="129" t="s">
        <v>308</v>
      </c>
      <c r="F24" s="130"/>
    </row>
    <row r="25" spans="2:6" ht="30" x14ac:dyDescent="0.25">
      <c r="B25" s="120"/>
      <c r="C25" s="117"/>
      <c r="D25" s="126"/>
      <c r="E25" s="129" t="s">
        <v>309</v>
      </c>
      <c r="F25" s="130"/>
    </row>
    <row r="26" spans="2:6" ht="30" x14ac:dyDescent="0.25">
      <c r="B26" s="120"/>
      <c r="C26" s="117"/>
      <c r="D26" s="126"/>
      <c r="E26" s="129" t="s">
        <v>310</v>
      </c>
      <c r="F26" s="130"/>
    </row>
    <row r="27" spans="2:6" ht="30" x14ac:dyDescent="0.25">
      <c r="B27" s="120"/>
      <c r="C27" s="117"/>
      <c r="D27" s="126"/>
      <c r="E27" s="129" t="s">
        <v>311</v>
      </c>
      <c r="F27" s="130"/>
    </row>
    <row r="28" spans="2:6" ht="30" x14ac:dyDescent="0.25">
      <c r="B28" s="120"/>
      <c r="C28" s="117"/>
      <c r="D28" s="126"/>
      <c r="E28" s="129" t="s">
        <v>312</v>
      </c>
      <c r="F28" s="130"/>
    </row>
    <row r="29" spans="2:6" ht="30" x14ac:dyDescent="0.25">
      <c r="B29" s="120"/>
      <c r="C29" s="117"/>
      <c r="D29" s="126"/>
      <c r="E29" s="129" t="s">
        <v>313</v>
      </c>
      <c r="F29" s="130"/>
    </row>
    <row r="30" spans="2:6" ht="30" x14ac:dyDescent="0.25">
      <c r="B30" s="120"/>
      <c r="C30" s="117"/>
      <c r="D30" s="126"/>
      <c r="E30" s="129" t="s">
        <v>314</v>
      </c>
      <c r="F30" s="130"/>
    </row>
    <row r="31" spans="2:6" ht="30" x14ac:dyDescent="0.25">
      <c r="B31" s="120"/>
      <c r="C31" s="117"/>
      <c r="D31" s="126"/>
      <c r="E31" s="129" t="s">
        <v>315</v>
      </c>
      <c r="F31" s="130"/>
    </row>
    <row r="32" spans="2:6" ht="30" x14ac:dyDescent="0.25">
      <c r="B32" s="120"/>
      <c r="C32" s="117"/>
      <c r="D32" s="126"/>
      <c r="E32" s="129" t="s">
        <v>316</v>
      </c>
      <c r="F32" s="130"/>
    </row>
    <row r="33" spans="2:6" ht="30" x14ac:dyDescent="0.25">
      <c r="B33" s="120"/>
      <c r="C33" s="117"/>
      <c r="D33" s="126"/>
      <c r="E33" s="129" t="s">
        <v>317</v>
      </c>
      <c r="F33" s="130"/>
    </row>
    <row r="34" spans="2:6" ht="30" x14ac:dyDescent="0.25">
      <c r="B34" s="120"/>
      <c r="C34" s="117"/>
      <c r="D34" s="126"/>
      <c r="E34" s="129" t="s">
        <v>318</v>
      </c>
      <c r="F34" s="130"/>
    </row>
    <row r="35" spans="2:6" ht="30" x14ac:dyDescent="0.25">
      <c r="B35" s="120"/>
      <c r="C35" s="117"/>
      <c r="D35" s="126"/>
      <c r="E35" s="129" t="s">
        <v>319</v>
      </c>
      <c r="F35" s="130"/>
    </row>
    <row r="36" spans="2:6" ht="30" x14ac:dyDescent="0.25">
      <c r="B36" s="120"/>
      <c r="C36" s="117"/>
      <c r="D36" s="126"/>
      <c r="E36" s="129" t="s">
        <v>320</v>
      </c>
      <c r="F36" s="130"/>
    </row>
    <row r="37" spans="2:6" ht="30" x14ac:dyDescent="0.25">
      <c r="B37" s="120"/>
      <c r="C37" s="117"/>
      <c r="D37" s="126"/>
      <c r="E37" s="129" t="s">
        <v>321</v>
      </c>
      <c r="F37" s="130"/>
    </row>
    <row r="38" spans="2:6" ht="30" x14ac:dyDescent="0.25">
      <c r="B38" s="120"/>
      <c r="C38" s="117"/>
      <c r="D38" s="126"/>
      <c r="E38" s="129" t="s">
        <v>322</v>
      </c>
      <c r="F38" s="130"/>
    </row>
    <row r="39" spans="2:6" ht="30" x14ac:dyDescent="0.25">
      <c r="B39" s="120"/>
      <c r="C39" s="117"/>
      <c r="D39" s="126"/>
      <c r="E39" s="129" t="s">
        <v>323</v>
      </c>
      <c r="F39" s="130"/>
    </row>
    <row r="40" spans="2:6" ht="30" x14ac:dyDescent="0.25">
      <c r="B40" s="120"/>
      <c r="C40" s="117"/>
      <c r="D40" s="126"/>
      <c r="E40" s="129" t="s">
        <v>324</v>
      </c>
      <c r="F40" s="130"/>
    </row>
    <row r="41" spans="2:6" ht="30" x14ac:dyDescent="0.25">
      <c r="B41" s="120"/>
      <c r="C41" s="117"/>
      <c r="D41" s="126"/>
      <c r="E41" s="129" t="s">
        <v>325</v>
      </c>
      <c r="F41" s="130"/>
    </row>
    <row r="42" spans="2:6" ht="30" x14ac:dyDescent="0.25">
      <c r="B42" s="120"/>
      <c r="C42" s="117"/>
      <c r="D42" s="126"/>
      <c r="E42" s="129" t="s">
        <v>326</v>
      </c>
      <c r="F42" s="130"/>
    </row>
    <row r="43" spans="2:6" ht="30" x14ac:dyDescent="0.25">
      <c r="B43" s="120"/>
      <c r="C43" s="117"/>
      <c r="D43" s="126"/>
      <c r="E43" s="129" t="s">
        <v>327</v>
      </c>
      <c r="F43" s="130"/>
    </row>
    <row r="44" spans="2:6" ht="30" x14ac:dyDescent="0.25">
      <c r="B44" s="120"/>
      <c r="C44" s="117"/>
      <c r="D44" s="126"/>
      <c r="E44" s="129" t="s">
        <v>328</v>
      </c>
      <c r="F44" s="130"/>
    </row>
    <row r="45" spans="2:6" ht="30" x14ac:dyDescent="0.25">
      <c r="B45" s="120"/>
      <c r="C45" s="117"/>
      <c r="D45" s="126"/>
      <c r="E45" s="129" t="s">
        <v>329</v>
      </c>
      <c r="F45" s="130"/>
    </row>
    <row r="46" spans="2:6" ht="30" x14ac:dyDescent="0.25">
      <c r="B46" s="120"/>
      <c r="C46" s="117"/>
      <c r="D46" s="126"/>
      <c r="E46" s="129" t="s">
        <v>330</v>
      </c>
      <c r="F46" s="130"/>
    </row>
    <row r="47" spans="2:6" ht="30" x14ac:dyDescent="0.25">
      <c r="B47" s="120"/>
      <c r="C47" s="117"/>
      <c r="D47" s="126"/>
      <c r="E47" s="129" t="s">
        <v>331</v>
      </c>
      <c r="F47" s="130"/>
    </row>
    <row r="48" spans="2:6" ht="30" x14ac:dyDescent="0.25">
      <c r="B48" s="120"/>
      <c r="C48" s="117"/>
      <c r="D48" s="126"/>
      <c r="E48" s="129" t="s">
        <v>332</v>
      </c>
      <c r="F48" s="130"/>
    </row>
    <row r="49" spans="2:6" ht="30" x14ac:dyDescent="0.25">
      <c r="B49" s="120"/>
      <c r="C49" s="117"/>
      <c r="D49" s="126"/>
      <c r="E49" s="129" t="s">
        <v>333</v>
      </c>
      <c r="F49" s="130"/>
    </row>
    <row r="50" spans="2:6" ht="30" x14ac:dyDescent="0.25">
      <c r="B50" s="120"/>
      <c r="C50" s="117"/>
      <c r="D50" s="126"/>
      <c r="E50" s="129" t="s">
        <v>334</v>
      </c>
      <c r="F50" s="130"/>
    </row>
    <row r="51" spans="2:6" ht="30" x14ac:dyDescent="0.25">
      <c r="B51" s="120"/>
      <c r="C51" s="117"/>
      <c r="D51" s="126"/>
      <c r="E51" s="129" t="s">
        <v>335</v>
      </c>
      <c r="F51" s="130"/>
    </row>
    <row r="52" spans="2:6" ht="30" x14ac:dyDescent="0.25">
      <c r="B52" s="120"/>
      <c r="C52" s="117"/>
      <c r="D52" s="126"/>
      <c r="E52" s="129" t="s">
        <v>336</v>
      </c>
      <c r="F52" s="130"/>
    </row>
    <row r="53" spans="2:6" ht="30" x14ac:dyDescent="0.25">
      <c r="B53" s="120"/>
      <c r="C53" s="117"/>
      <c r="D53" s="126"/>
      <c r="E53" s="129" t="s">
        <v>337</v>
      </c>
      <c r="F53" s="130"/>
    </row>
    <row r="54" spans="2:6" ht="30" x14ac:dyDescent="0.25">
      <c r="B54" s="120"/>
      <c r="C54" s="117"/>
      <c r="D54" s="126"/>
      <c r="E54" s="129" t="s">
        <v>338</v>
      </c>
      <c r="F54" s="130"/>
    </row>
    <row r="55" spans="2:6" ht="30" x14ac:dyDescent="0.25">
      <c r="B55" s="120"/>
      <c r="C55" s="117"/>
      <c r="D55" s="126"/>
      <c r="E55" s="129" t="s">
        <v>339</v>
      </c>
      <c r="F55" s="130"/>
    </row>
    <row r="56" spans="2:6" ht="30" x14ac:dyDescent="0.25">
      <c r="B56" s="120"/>
      <c r="C56" s="117"/>
      <c r="D56" s="126"/>
      <c r="E56" s="129" t="s">
        <v>340</v>
      </c>
      <c r="F56" s="130"/>
    </row>
    <row r="57" spans="2:6" ht="30" x14ac:dyDescent="0.25">
      <c r="B57" s="120"/>
      <c r="C57" s="117"/>
      <c r="D57" s="126"/>
      <c r="E57" s="129" t="s">
        <v>341</v>
      </c>
      <c r="F57" s="130"/>
    </row>
    <row r="58" spans="2:6" ht="30" x14ac:dyDescent="0.25">
      <c r="B58" s="120"/>
      <c r="C58" s="117"/>
      <c r="D58" s="126"/>
      <c r="E58" s="129" t="s">
        <v>342</v>
      </c>
      <c r="F58" s="130"/>
    </row>
    <row r="59" spans="2:6" ht="30" x14ac:dyDescent="0.25">
      <c r="B59" s="120"/>
      <c r="C59" s="117"/>
      <c r="D59" s="126"/>
      <c r="E59" s="129" t="s">
        <v>343</v>
      </c>
      <c r="F59" s="130"/>
    </row>
    <row r="60" spans="2:6" ht="30" x14ac:dyDescent="0.25">
      <c r="B60" s="120"/>
      <c r="C60" s="117"/>
      <c r="D60" s="126"/>
      <c r="E60" s="129" t="s">
        <v>344</v>
      </c>
      <c r="F60" s="130"/>
    </row>
    <row r="61" spans="2:6" ht="30" x14ac:dyDescent="0.25">
      <c r="B61" s="120"/>
      <c r="C61" s="117"/>
      <c r="D61" s="126"/>
      <c r="E61" s="129" t="s">
        <v>345</v>
      </c>
      <c r="F61" s="130"/>
    </row>
    <row r="62" spans="2:6" ht="30" x14ac:dyDescent="0.25">
      <c r="B62" s="120"/>
      <c r="C62" s="117"/>
      <c r="D62" s="126"/>
      <c r="E62" s="129" t="s">
        <v>346</v>
      </c>
      <c r="F62" s="130"/>
    </row>
    <row r="63" spans="2:6" ht="30" x14ac:dyDescent="0.25">
      <c r="B63" s="120"/>
      <c r="C63" s="117"/>
      <c r="D63" s="126"/>
      <c r="E63" s="129" t="s">
        <v>347</v>
      </c>
      <c r="F63" s="130"/>
    </row>
    <row r="64" spans="2:6" ht="30" x14ac:dyDescent="0.25">
      <c r="B64" s="120"/>
      <c r="C64" s="117"/>
      <c r="D64" s="126"/>
      <c r="E64" s="129" t="s">
        <v>348</v>
      </c>
      <c r="F64" s="130"/>
    </row>
    <row r="65" spans="2:6" ht="30" x14ac:dyDescent="0.25">
      <c r="B65" s="120"/>
      <c r="C65" s="117"/>
      <c r="D65" s="126"/>
      <c r="E65" s="129" t="s">
        <v>349</v>
      </c>
      <c r="F65" s="130"/>
    </row>
    <row r="66" spans="2:6" ht="30" x14ac:dyDescent="0.25">
      <c r="B66" s="120"/>
      <c r="C66" s="117"/>
      <c r="D66" s="126"/>
      <c r="E66" s="129" t="s">
        <v>350</v>
      </c>
      <c r="F66" s="130"/>
    </row>
    <row r="67" spans="2:6" ht="30" x14ac:dyDescent="0.25">
      <c r="B67" s="120"/>
      <c r="C67" s="117"/>
      <c r="D67" s="126"/>
      <c r="E67" s="129" t="s">
        <v>351</v>
      </c>
      <c r="F67" s="130"/>
    </row>
    <row r="68" spans="2:6" ht="30" x14ac:dyDescent="0.25">
      <c r="B68" s="120"/>
      <c r="C68" s="117"/>
      <c r="D68" s="126"/>
      <c r="E68" s="129" t="s">
        <v>352</v>
      </c>
      <c r="F68" s="130"/>
    </row>
    <row r="69" spans="2:6" ht="30" x14ac:dyDescent="0.25">
      <c r="B69" s="120"/>
      <c r="C69" s="117"/>
      <c r="D69" s="126"/>
      <c r="E69" s="129" t="s">
        <v>353</v>
      </c>
      <c r="F69" s="130"/>
    </row>
    <row r="70" spans="2:6" ht="30" x14ac:dyDescent="0.25">
      <c r="B70" s="120"/>
      <c r="C70" s="117"/>
      <c r="D70" s="126"/>
      <c r="E70" s="129" t="s">
        <v>354</v>
      </c>
      <c r="F70" s="130"/>
    </row>
    <row r="71" spans="2:6" ht="30" x14ac:dyDescent="0.25">
      <c r="B71" s="120"/>
      <c r="C71" s="117"/>
      <c r="D71" s="126"/>
      <c r="E71" s="129" t="s">
        <v>355</v>
      </c>
      <c r="F71" s="130"/>
    </row>
    <row r="72" spans="2:6" ht="30" x14ac:dyDescent="0.25">
      <c r="B72" s="120"/>
      <c r="C72" s="117"/>
      <c r="D72" s="126"/>
      <c r="E72" s="129" t="s">
        <v>356</v>
      </c>
      <c r="F72" s="130"/>
    </row>
    <row r="73" spans="2:6" ht="30" x14ac:dyDescent="0.25">
      <c r="B73" s="120"/>
      <c r="C73" s="117"/>
      <c r="D73" s="126"/>
      <c r="E73" s="129" t="s">
        <v>357</v>
      </c>
      <c r="F73" s="130"/>
    </row>
    <row r="74" spans="2:6" ht="30" x14ac:dyDescent="0.25">
      <c r="B74" s="120"/>
      <c r="C74" s="117"/>
      <c r="D74" s="126"/>
      <c r="E74" s="129" t="s">
        <v>358</v>
      </c>
      <c r="F74" s="130"/>
    </row>
    <row r="75" spans="2:6" ht="30" x14ac:dyDescent="0.25">
      <c r="B75" s="120"/>
      <c r="C75" s="117"/>
      <c r="D75" s="126"/>
      <c r="E75" s="129" t="s">
        <v>359</v>
      </c>
      <c r="F75" s="130"/>
    </row>
    <row r="76" spans="2:6" ht="30" x14ac:dyDescent="0.25">
      <c r="B76" s="120"/>
      <c r="C76" s="117"/>
      <c r="D76" s="126"/>
      <c r="E76" s="129" t="s">
        <v>360</v>
      </c>
      <c r="F76" s="130"/>
    </row>
    <row r="77" spans="2:6" ht="30" x14ac:dyDescent="0.25">
      <c r="B77" s="120"/>
      <c r="C77" s="117"/>
      <c r="D77" s="126"/>
      <c r="E77" s="129" t="s">
        <v>361</v>
      </c>
      <c r="F77" s="130"/>
    </row>
    <row r="78" spans="2:6" ht="30" x14ac:dyDescent="0.25">
      <c r="B78" s="120"/>
      <c r="C78" s="117"/>
      <c r="D78" s="126"/>
      <c r="E78" s="129" t="s">
        <v>362</v>
      </c>
      <c r="F78" s="130"/>
    </row>
    <row r="79" spans="2:6" ht="30" x14ac:dyDescent="0.25">
      <c r="B79" s="120"/>
      <c r="C79" s="117"/>
      <c r="D79" s="126"/>
      <c r="E79" s="129" t="s">
        <v>363</v>
      </c>
      <c r="F79" s="130"/>
    </row>
    <row r="80" spans="2:6" ht="30" x14ac:dyDescent="0.25">
      <c r="B80" s="120"/>
      <c r="C80" s="117"/>
      <c r="D80" s="126"/>
      <c r="E80" s="129" t="s">
        <v>364</v>
      </c>
      <c r="F80" s="130"/>
    </row>
    <row r="81" spans="2:6" ht="30" x14ac:dyDescent="0.25">
      <c r="B81" s="120"/>
      <c r="C81" s="117"/>
      <c r="D81" s="126"/>
      <c r="E81" s="129" t="s">
        <v>365</v>
      </c>
      <c r="F81" s="130"/>
    </row>
    <row r="82" spans="2:6" ht="30" x14ac:dyDescent="0.25">
      <c r="B82" s="120"/>
      <c r="C82" s="117"/>
      <c r="D82" s="126"/>
      <c r="E82" s="129" t="s">
        <v>366</v>
      </c>
      <c r="F82" s="130"/>
    </row>
    <row r="83" spans="2:6" ht="30" x14ac:dyDescent="0.25">
      <c r="B83" s="120"/>
      <c r="C83" s="117"/>
      <c r="D83" s="126"/>
      <c r="E83" s="129" t="s">
        <v>367</v>
      </c>
      <c r="F83" s="130"/>
    </row>
    <row r="84" spans="2:6" ht="30" x14ac:dyDescent="0.25">
      <c r="B84" s="120"/>
      <c r="C84" s="117"/>
      <c r="D84" s="126"/>
      <c r="E84" s="129" t="s">
        <v>368</v>
      </c>
      <c r="F84" s="130"/>
    </row>
    <row r="85" spans="2:6" ht="30" x14ac:dyDescent="0.25">
      <c r="B85" s="120"/>
      <c r="C85" s="117"/>
      <c r="D85" s="126"/>
      <c r="E85" s="129" t="s">
        <v>369</v>
      </c>
      <c r="F85" s="130"/>
    </row>
    <row r="86" spans="2:6" ht="30" x14ac:dyDescent="0.25">
      <c r="B86" s="120"/>
      <c r="C86" s="117"/>
      <c r="D86" s="126"/>
      <c r="E86" s="129" t="s">
        <v>370</v>
      </c>
      <c r="F86" s="130"/>
    </row>
    <row r="87" spans="2:6" ht="30" x14ac:dyDescent="0.25">
      <c r="B87" s="120"/>
      <c r="C87" s="117"/>
      <c r="D87" s="126"/>
      <c r="E87" s="129" t="s">
        <v>371</v>
      </c>
      <c r="F87" s="130"/>
    </row>
    <row r="88" spans="2:6" ht="30" x14ac:dyDescent="0.25">
      <c r="B88" s="120"/>
      <c r="C88" s="117"/>
      <c r="D88" s="126"/>
      <c r="E88" s="129" t="s">
        <v>372</v>
      </c>
      <c r="F88" s="130"/>
    </row>
    <row r="89" spans="2:6" ht="30" x14ac:dyDescent="0.25">
      <c r="B89" s="120"/>
      <c r="C89" s="117"/>
      <c r="D89" s="126"/>
      <c r="E89" s="129" t="s">
        <v>373</v>
      </c>
      <c r="F89" s="130"/>
    </row>
    <row r="90" spans="2:6" ht="30" x14ac:dyDescent="0.25">
      <c r="B90" s="120"/>
      <c r="C90" s="117"/>
      <c r="D90" s="126"/>
      <c r="E90" s="129" t="s">
        <v>374</v>
      </c>
      <c r="F90" s="130"/>
    </row>
    <row r="91" spans="2:6" ht="30" x14ac:dyDescent="0.25">
      <c r="B91" s="120"/>
      <c r="C91" s="117"/>
      <c r="D91" s="126"/>
      <c r="E91" s="129" t="s">
        <v>375</v>
      </c>
      <c r="F91" s="130"/>
    </row>
    <row r="92" spans="2:6" ht="30" x14ac:dyDescent="0.25">
      <c r="B92" s="120"/>
      <c r="C92" s="117"/>
      <c r="D92" s="126"/>
      <c r="E92" s="129" t="s">
        <v>376</v>
      </c>
      <c r="F92" s="130"/>
    </row>
    <row r="93" spans="2:6" ht="30" x14ac:dyDescent="0.25">
      <c r="B93" s="120"/>
      <c r="C93" s="117"/>
      <c r="D93" s="126"/>
      <c r="E93" s="129" t="s">
        <v>377</v>
      </c>
      <c r="F93" s="130"/>
    </row>
    <row r="94" spans="2:6" ht="30" x14ac:dyDescent="0.25">
      <c r="B94" s="120"/>
      <c r="C94" s="117"/>
      <c r="D94" s="126"/>
      <c r="E94" s="129" t="s">
        <v>378</v>
      </c>
      <c r="F94" s="130"/>
    </row>
    <row r="95" spans="2:6" ht="30" x14ac:dyDescent="0.25">
      <c r="B95" s="120"/>
      <c r="C95" s="117"/>
      <c r="D95" s="126"/>
      <c r="E95" s="129" t="s">
        <v>379</v>
      </c>
      <c r="F95" s="130"/>
    </row>
    <row r="96" spans="2:6" ht="30" x14ac:dyDescent="0.25">
      <c r="B96" s="120"/>
      <c r="C96" s="117"/>
      <c r="D96" s="126"/>
      <c r="E96" s="129" t="s">
        <v>380</v>
      </c>
      <c r="F96" s="130"/>
    </row>
    <row r="97" spans="2:6" ht="30" x14ac:dyDescent="0.25">
      <c r="B97" s="120"/>
      <c r="C97" s="117"/>
      <c r="D97" s="126"/>
      <c r="E97" s="129" t="s">
        <v>381</v>
      </c>
      <c r="F97" s="130"/>
    </row>
    <row r="98" spans="2:6" ht="30" x14ac:dyDescent="0.25">
      <c r="B98" s="120"/>
      <c r="C98" s="117"/>
      <c r="D98" s="126"/>
      <c r="E98" s="129" t="s">
        <v>382</v>
      </c>
      <c r="F98" s="130"/>
    </row>
    <row r="99" spans="2:6" ht="30" x14ac:dyDescent="0.25">
      <c r="B99" s="120"/>
      <c r="C99" s="117"/>
      <c r="D99" s="126"/>
      <c r="E99" s="129" t="s">
        <v>383</v>
      </c>
      <c r="F99" s="130"/>
    </row>
    <row r="100" spans="2:6" ht="30" x14ac:dyDescent="0.25">
      <c r="B100" s="120"/>
      <c r="C100" s="117"/>
      <c r="D100" s="126"/>
      <c r="E100" s="129" t="s">
        <v>384</v>
      </c>
      <c r="F100" s="130"/>
    </row>
    <row r="101" spans="2:6" ht="30" x14ac:dyDescent="0.25">
      <c r="B101" s="120"/>
      <c r="C101" s="117"/>
      <c r="D101" s="126"/>
      <c r="E101" s="129" t="s">
        <v>385</v>
      </c>
      <c r="F101" s="130"/>
    </row>
    <row r="102" spans="2:6" ht="30" x14ac:dyDescent="0.25">
      <c r="B102" s="120"/>
      <c r="C102" s="117"/>
      <c r="D102" s="126"/>
      <c r="E102" s="129" t="s">
        <v>386</v>
      </c>
      <c r="F102" s="130"/>
    </row>
    <row r="103" spans="2:6" ht="30" x14ac:dyDescent="0.25">
      <c r="B103" s="120"/>
      <c r="C103" s="117"/>
      <c r="D103" s="126"/>
      <c r="E103" s="129" t="s">
        <v>387</v>
      </c>
      <c r="F103" s="130"/>
    </row>
    <row r="104" spans="2:6" ht="30" x14ac:dyDescent="0.25">
      <c r="B104" s="120"/>
      <c r="C104" s="117"/>
      <c r="D104" s="126"/>
      <c r="E104" s="129" t="s">
        <v>388</v>
      </c>
      <c r="F104" s="130"/>
    </row>
    <row r="105" spans="2:6" ht="30" x14ac:dyDescent="0.25">
      <c r="B105" s="120"/>
      <c r="C105" s="117"/>
      <c r="D105" s="126"/>
      <c r="E105" s="129" t="s">
        <v>389</v>
      </c>
      <c r="F105" s="130"/>
    </row>
    <row r="106" spans="2:6" ht="30" x14ac:dyDescent="0.25">
      <c r="B106" s="120"/>
      <c r="C106" s="117"/>
      <c r="D106" s="126"/>
      <c r="E106" s="129" t="s">
        <v>390</v>
      </c>
      <c r="F106" s="130"/>
    </row>
    <row r="107" spans="2:6" ht="30" x14ac:dyDescent="0.25">
      <c r="B107" s="120"/>
      <c r="C107" s="117"/>
      <c r="D107" s="126"/>
      <c r="E107" s="129" t="s">
        <v>391</v>
      </c>
      <c r="F107" s="130"/>
    </row>
    <row r="108" spans="2:6" ht="30" x14ac:dyDescent="0.25">
      <c r="B108" s="120"/>
      <c r="C108" s="117"/>
      <c r="D108" s="126"/>
      <c r="E108" s="129" t="s">
        <v>392</v>
      </c>
      <c r="F108" s="130"/>
    </row>
    <row r="109" spans="2:6" ht="30" x14ac:dyDescent="0.25">
      <c r="B109" s="120"/>
      <c r="C109" s="117"/>
      <c r="D109" s="126"/>
      <c r="E109" s="129" t="s">
        <v>393</v>
      </c>
      <c r="F109" s="130"/>
    </row>
    <row r="110" spans="2:6" ht="30" x14ac:dyDescent="0.25">
      <c r="B110" s="120"/>
      <c r="C110" s="117"/>
      <c r="D110" s="126"/>
      <c r="E110" s="129" t="s">
        <v>394</v>
      </c>
      <c r="F110" s="130"/>
    </row>
    <row r="111" spans="2:6" ht="30" x14ac:dyDescent="0.25">
      <c r="B111" s="120"/>
      <c r="C111" s="117"/>
      <c r="D111" s="126"/>
      <c r="E111" s="129" t="s">
        <v>395</v>
      </c>
      <c r="F111" s="130"/>
    </row>
    <row r="112" spans="2:6" ht="30" x14ac:dyDescent="0.25">
      <c r="B112" s="120"/>
      <c r="C112" s="117"/>
      <c r="D112" s="126"/>
      <c r="E112" s="129" t="s">
        <v>396</v>
      </c>
      <c r="F112" s="130"/>
    </row>
    <row r="113" spans="2:6" ht="30" x14ac:dyDescent="0.25">
      <c r="B113" s="120"/>
      <c r="C113" s="117"/>
      <c r="D113" s="126"/>
      <c r="E113" s="129" t="s">
        <v>397</v>
      </c>
      <c r="F113" s="130"/>
    </row>
    <row r="114" spans="2:6" ht="30" x14ac:dyDescent="0.25">
      <c r="B114" s="120"/>
      <c r="C114" s="117"/>
      <c r="D114" s="126"/>
      <c r="E114" s="129" t="s">
        <v>398</v>
      </c>
      <c r="F114" s="130"/>
    </row>
    <row r="115" spans="2:6" ht="30" x14ac:dyDescent="0.25">
      <c r="B115" s="120"/>
      <c r="C115" s="117"/>
      <c r="D115" s="126"/>
      <c r="E115" s="129" t="s">
        <v>399</v>
      </c>
      <c r="F115" s="130"/>
    </row>
    <row r="116" spans="2:6" ht="30" x14ac:dyDescent="0.25">
      <c r="B116" s="120"/>
      <c r="C116" s="117"/>
      <c r="D116" s="126"/>
      <c r="E116" s="129" t="s">
        <v>400</v>
      </c>
      <c r="F116" s="130"/>
    </row>
    <row r="117" spans="2:6" ht="30" x14ac:dyDescent="0.25">
      <c r="B117" s="120"/>
      <c r="C117" s="117"/>
      <c r="D117" s="126"/>
      <c r="E117" s="129" t="s">
        <v>401</v>
      </c>
      <c r="F117" s="130"/>
    </row>
    <row r="118" spans="2:6" ht="30" x14ac:dyDescent="0.25">
      <c r="B118" s="120"/>
      <c r="C118" s="117"/>
      <c r="D118" s="126"/>
      <c r="E118" s="129" t="s">
        <v>402</v>
      </c>
      <c r="F118" s="130"/>
    </row>
    <row r="119" spans="2:6" ht="30" x14ac:dyDescent="0.25">
      <c r="B119" s="120"/>
      <c r="C119" s="117"/>
      <c r="D119" s="126"/>
      <c r="E119" s="129" t="s">
        <v>403</v>
      </c>
      <c r="F119" s="130"/>
    </row>
    <row r="120" spans="2:6" ht="30" x14ac:dyDescent="0.25">
      <c r="B120" s="120"/>
      <c r="C120" s="117"/>
      <c r="D120" s="126"/>
      <c r="E120" s="129" t="s">
        <v>404</v>
      </c>
      <c r="F120" s="130"/>
    </row>
    <row r="121" spans="2:6" ht="30" x14ac:dyDescent="0.25">
      <c r="B121" s="120"/>
      <c r="C121" s="117"/>
      <c r="D121" s="126"/>
      <c r="E121" s="129" t="s">
        <v>405</v>
      </c>
      <c r="F121" s="130"/>
    </row>
    <row r="122" spans="2:6" ht="30" x14ac:dyDescent="0.25">
      <c r="B122" s="120"/>
      <c r="C122" s="117"/>
      <c r="D122" s="126"/>
      <c r="E122" s="129" t="s">
        <v>406</v>
      </c>
      <c r="F122" s="130"/>
    </row>
    <row r="123" spans="2:6" ht="30" x14ac:dyDescent="0.25">
      <c r="B123" s="120"/>
      <c r="C123" s="117"/>
      <c r="D123" s="126"/>
      <c r="E123" s="129" t="s">
        <v>407</v>
      </c>
      <c r="F123" s="130"/>
    </row>
    <row r="124" spans="2:6" ht="30" x14ac:dyDescent="0.25">
      <c r="B124" s="120"/>
      <c r="C124" s="117"/>
      <c r="D124" s="126"/>
      <c r="E124" s="129" t="s">
        <v>408</v>
      </c>
      <c r="F124" s="130"/>
    </row>
    <row r="125" spans="2:6" ht="30" x14ac:dyDescent="0.25">
      <c r="B125" s="120"/>
      <c r="C125" s="117"/>
      <c r="D125" s="126"/>
      <c r="E125" s="129" t="s">
        <v>409</v>
      </c>
      <c r="F125" s="130"/>
    </row>
    <row r="126" spans="2:6" ht="30" x14ac:dyDescent="0.25">
      <c r="B126" s="120"/>
      <c r="C126" s="117"/>
      <c r="D126" s="126"/>
      <c r="E126" s="129" t="s">
        <v>410</v>
      </c>
      <c r="F126" s="130"/>
    </row>
    <row r="127" spans="2:6" ht="30" x14ac:dyDescent="0.25">
      <c r="B127" s="120"/>
      <c r="C127" s="117"/>
      <c r="D127" s="126"/>
      <c r="E127" s="129" t="s">
        <v>411</v>
      </c>
      <c r="F127" s="130"/>
    </row>
    <row r="128" spans="2:6" ht="30.75" thickBot="1" x14ac:dyDescent="0.3">
      <c r="B128" s="121"/>
      <c r="C128" s="122"/>
      <c r="D128" s="131"/>
      <c r="E128" s="132" t="s">
        <v>412</v>
      </c>
      <c r="F128" s="133"/>
    </row>
    <row r="129" spans="2:6" ht="15.75" thickBot="1" x14ac:dyDescent="0.3">
      <c r="B129" s="117"/>
      <c r="C129" s="117"/>
      <c r="D129" s="126"/>
      <c r="E129" s="126"/>
      <c r="F129" s="126"/>
    </row>
    <row r="130" spans="2:6" ht="60" x14ac:dyDescent="0.25">
      <c r="B130" s="118" t="s">
        <v>413</v>
      </c>
      <c r="C130" s="119"/>
      <c r="D130" s="127"/>
      <c r="E130" s="127">
        <v>33</v>
      </c>
      <c r="F130" s="128"/>
    </row>
    <row r="131" spans="2:6" x14ac:dyDescent="0.25">
      <c r="B131" s="120"/>
      <c r="C131" s="117"/>
      <c r="D131" s="126"/>
      <c r="E131" s="129" t="s">
        <v>414</v>
      </c>
      <c r="F131" s="130" t="s">
        <v>293</v>
      </c>
    </row>
    <row r="132" spans="2:6" x14ac:dyDescent="0.25">
      <c r="B132" s="120"/>
      <c r="C132" s="117"/>
      <c r="D132" s="126"/>
      <c r="E132" s="129" t="s">
        <v>415</v>
      </c>
      <c r="F132" s="130"/>
    </row>
    <row r="133" spans="2:6" x14ac:dyDescent="0.25">
      <c r="B133" s="120"/>
      <c r="C133" s="117"/>
      <c r="D133" s="126"/>
      <c r="E133" s="129" t="s">
        <v>416</v>
      </c>
      <c r="F133" s="130"/>
    </row>
    <row r="134" spans="2:6" x14ac:dyDescent="0.25">
      <c r="B134" s="120"/>
      <c r="C134" s="117"/>
      <c r="D134" s="126"/>
      <c r="E134" s="129" t="s">
        <v>417</v>
      </c>
      <c r="F134" s="130"/>
    </row>
    <row r="135" spans="2:6" x14ac:dyDescent="0.25">
      <c r="B135" s="120"/>
      <c r="C135" s="117"/>
      <c r="D135" s="126"/>
      <c r="E135" s="129" t="s">
        <v>418</v>
      </c>
      <c r="F135" s="130"/>
    </row>
    <row r="136" spans="2:6" x14ac:dyDescent="0.25">
      <c r="B136" s="120"/>
      <c r="C136" s="117"/>
      <c r="D136" s="126"/>
      <c r="E136" s="129" t="s">
        <v>419</v>
      </c>
      <c r="F136" s="130"/>
    </row>
    <row r="137" spans="2:6" x14ac:dyDescent="0.25">
      <c r="B137" s="120"/>
      <c r="C137" s="117"/>
      <c r="D137" s="126"/>
      <c r="E137" s="129" t="s">
        <v>420</v>
      </c>
      <c r="F137" s="130"/>
    </row>
    <row r="138" spans="2:6" x14ac:dyDescent="0.25">
      <c r="B138" s="120"/>
      <c r="C138" s="117"/>
      <c r="D138" s="126"/>
      <c r="E138" s="129" t="s">
        <v>421</v>
      </c>
      <c r="F138" s="130"/>
    </row>
    <row r="139" spans="2:6" x14ac:dyDescent="0.25">
      <c r="B139" s="120"/>
      <c r="C139" s="117"/>
      <c r="D139" s="126"/>
      <c r="E139" s="129" t="s">
        <v>422</v>
      </c>
      <c r="F139" s="130"/>
    </row>
    <row r="140" spans="2:6" x14ac:dyDescent="0.25">
      <c r="B140" s="120"/>
      <c r="C140" s="117"/>
      <c r="D140" s="126"/>
      <c r="E140" s="129" t="s">
        <v>423</v>
      </c>
      <c r="F140" s="130"/>
    </row>
    <row r="141" spans="2:6" x14ac:dyDescent="0.25">
      <c r="B141" s="120"/>
      <c r="C141" s="117"/>
      <c r="D141" s="126"/>
      <c r="E141" s="129" t="s">
        <v>424</v>
      </c>
      <c r="F141" s="130"/>
    </row>
    <row r="142" spans="2:6" x14ac:dyDescent="0.25">
      <c r="B142" s="120"/>
      <c r="C142" s="117"/>
      <c r="D142" s="126"/>
      <c r="E142" s="129" t="s">
        <v>425</v>
      </c>
      <c r="F142" s="130"/>
    </row>
    <row r="143" spans="2:6" x14ac:dyDescent="0.25">
      <c r="B143" s="120"/>
      <c r="C143" s="117"/>
      <c r="D143" s="126"/>
      <c r="E143" s="129" t="s">
        <v>426</v>
      </c>
      <c r="F143" s="130"/>
    </row>
    <row r="144" spans="2:6" x14ac:dyDescent="0.25">
      <c r="B144" s="120"/>
      <c r="C144" s="117"/>
      <c r="D144" s="126"/>
      <c r="E144" s="129" t="s">
        <v>427</v>
      </c>
      <c r="F144" s="130"/>
    </row>
    <row r="145" spans="2:6" x14ac:dyDescent="0.25">
      <c r="B145" s="120"/>
      <c r="C145" s="117"/>
      <c r="D145" s="126"/>
      <c r="E145" s="129" t="s">
        <v>428</v>
      </c>
      <c r="F145" s="130"/>
    </row>
    <row r="146" spans="2:6" x14ac:dyDescent="0.25">
      <c r="B146" s="120"/>
      <c r="C146" s="117"/>
      <c r="D146" s="126"/>
      <c r="E146" s="129" t="s">
        <v>429</v>
      </c>
      <c r="F146" s="130"/>
    </row>
    <row r="147" spans="2:6" x14ac:dyDescent="0.25">
      <c r="B147" s="120"/>
      <c r="C147" s="117"/>
      <c r="D147" s="126"/>
      <c r="E147" s="129" t="s">
        <v>430</v>
      </c>
      <c r="F147" s="130"/>
    </row>
    <row r="148" spans="2:6" x14ac:dyDescent="0.25">
      <c r="B148" s="120"/>
      <c r="C148" s="117"/>
      <c r="D148" s="126"/>
      <c r="E148" s="129" t="s">
        <v>431</v>
      </c>
      <c r="F148" s="130"/>
    </row>
    <row r="149" spans="2:6" x14ac:dyDescent="0.25">
      <c r="B149" s="120"/>
      <c r="C149" s="117"/>
      <c r="D149" s="126"/>
      <c r="E149" s="129" t="s">
        <v>432</v>
      </c>
      <c r="F149" s="130"/>
    </row>
    <row r="150" spans="2:6" x14ac:dyDescent="0.25">
      <c r="B150" s="120"/>
      <c r="C150" s="117"/>
      <c r="D150" s="126"/>
      <c r="E150" s="129" t="s">
        <v>433</v>
      </c>
      <c r="F150" s="130"/>
    </row>
    <row r="151" spans="2:6" x14ac:dyDescent="0.25">
      <c r="B151" s="120"/>
      <c r="C151" s="117"/>
      <c r="D151" s="126"/>
      <c r="E151" s="129" t="s">
        <v>434</v>
      </c>
      <c r="F151" s="130"/>
    </row>
    <row r="152" spans="2:6" x14ac:dyDescent="0.25">
      <c r="B152" s="120"/>
      <c r="C152" s="117"/>
      <c r="D152" s="126"/>
      <c r="E152" s="129" t="s">
        <v>435</v>
      </c>
      <c r="F152" s="130"/>
    </row>
    <row r="153" spans="2:6" ht="30" x14ac:dyDescent="0.25">
      <c r="B153" s="120"/>
      <c r="C153" s="117"/>
      <c r="D153" s="126"/>
      <c r="E153" s="129" t="s">
        <v>436</v>
      </c>
      <c r="F153" s="130"/>
    </row>
    <row r="154" spans="2:6" ht="30" x14ac:dyDescent="0.25">
      <c r="B154" s="120"/>
      <c r="C154" s="117"/>
      <c r="D154" s="126"/>
      <c r="E154" s="129" t="s">
        <v>437</v>
      </c>
      <c r="F154" s="130"/>
    </row>
    <row r="155" spans="2:6" ht="30" x14ac:dyDescent="0.25">
      <c r="B155" s="120"/>
      <c r="C155" s="117"/>
      <c r="D155" s="126"/>
      <c r="E155" s="129" t="s">
        <v>438</v>
      </c>
      <c r="F155" s="130"/>
    </row>
    <row r="156" spans="2:6" x14ac:dyDescent="0.25">
      <c r="B156" s="120"/>
      <c r="C156" s="117"/>
      <c r="D156" s="126"/>
      <c r="E156" s="129" t="s">
        <v>439</v>
      </c>
      <c r="F156" s="130"/>
    </row>
    <row r="157" spans="2:6" x14ac:dyDescent="0.25">
      <c r="B157" s="120"/>
      <c r="C157" s="117"/>
      <c r="D157" s="126"/>
      <c r="E157" s="129" t="s">
        <v>440</v>
      </c>
      <c r="F157" s="130"/>
    </row>
    <row r="158" spans="2:6" x14ac:dyDescent="0.25">
      <c r="B158" s="120"/>
      <c r="C158" s="117"/>
      <c r="D158" s="126"/>
      <c r="E158" s="129" t="s">
        <v>441</v>
      </c>
      <c r="F158" s="130"/>
    </row>
    <row r="159" spans="2:6" x14ac:dyDescent="0.25">
      <c r="B159" s="120"/>
      <c r="C159" s="117"/>
      <c r="D159" s="126"/>
      <c r="E159" s="129" t="s">
        <v>442</v>
      </c>
      <c r="F159" s="130"/>
    </row>
    <row r="160" spans="2:6" x14ac:dyDescent="0.25">
      <c r="B160" s="120"/>
      <c r="C160" s="117"/>
      <c r="D160" s="126"/>
      <c r="E160" s="129" t="s">
        <v>443</v>
      </c>
      <c r="F160" s="130"/>
    </row>
    <row r="161" spans="2:6" x14ac:dyDescent="0.25">
      <c r="B161" s="120"/>
      <c r="C161" s="117"/>
      <c r="D161" s="126"/>
      <c r="E161" s="129" t="s">
        <v>444</v>
      </c>
      <c r="F161" s="130"/>
    </row>
    <row r="162" spans="2:6" x14ac:dyDescent="0.25">
      <c r="B162" s="120"/>
      <c r="C162" s="117"/>
      <c r="D162" s="126"/>
      <c r="E162" s="129" t="s">
        <v>445</v>
      </c>
      <c r="F162" s="130"/>
    </row>
    <row r="163" spans="2:6" ht="15.75" thickBot="1" x14ac:dyDescent="0.3">
      <c r="B163" s="121"/>
      <c r="C163" s="122"/>
      <c r="D163" s="131"/>
      <c r="E163" s="132" t="s">
        <v>446</v>
      </c>
      <c r="F163" s="133"/>
    </row>
    <row r="164" spans="2:6" ht="15.75" thickBot="1" x14ac:dyDescent="0.3">
      <c r="B164" s="117"/>
      <c r="C164" s="117"/>
      <c r="D164" s="126"/>
      <c r="E164" s="126"/>
      <c r="F164" s="126"/>
    </row>
    <row r="165" spans="2:6" ht="60" x14ac:dyDescent="0.25">
      <c r="B165" s="118" t="s">
        <v>447</v>
      </c>
      <c r="C165" s="119"/>
      <c r="D165" s="127"/>
      <c r="E165" s="127">
        <v>69</v>
      </c>
      <c r="F165" s="128"/>
    </row>
    <row r="166" spans="2:6" ht="30" x14ac:dyDescent="0.25">
      <c r="B166" s="120"/>
      <c r="C166" s="117"/>
      <c r="D166" s="126"/>
      <c r="E166" s="129" t="s">
        <v>448</v>
      </c>
      <c r="F166" s="130" t="s">
        <v>293</v>
      </c>
    </row>
    <row r="167" spans="2:6" ht="30" x14ac:dyDescent="0.25">
      <c r="B167" s="120"/>
      <c r="C167" s="117"/>
      <c r="D167" s="126"/>
      <c r="E167" s="129" t="s">
        <v>449</v>
      </c>
      <c r="F167" s="130"/>
    </row>
    <row r="168" spans="2:6" ht="30" x14ac:dyDescent="0.25">
      <c r="B168" s="120"/>
      <c r="C168" s="117"/>
      <c r="D168" s="126"/>
      <c r="E168" s="129" t="s">
        <v>450</v>
      </c>
      <c r="F168" s="130"/>
    </row>
    <row r="169" spans="2:6" ht="30" x14ac:dyDescent="0.25">
      <c r="B169" s="120"/>
      <c r="C169" s="117"/>
      <c r="D169" s="126"/>
      <c r="E169" s="129" t="s">
        <v>436</v>
      </c>
      <c r="F169" s="130"/>
    </row>
    <row r="170" spans="2:6" ht="30" x14ac:dyDescent="0.25">
      <c r="B170" s="120"/>
      <c r="C170" s="117"/>
      <c r="D170" s="126"/>
      <c r="E170" s="129" t="s">
        <v>437</v>
      </c>
      <c r="F170" s="130"/>
    </row>
    <row r="171" spans="2:6" ht="30" x14ac:dyDescent="0.25">
      <c r="B171" s="120"/>
      <c r="C171" s="117"/>
      <c r="D171" s="126"/>
      <c r="E171" s="129" t="s">
        <v>438</v>
      </c>
      <c r="F171" s="130"/>
    </row>
    <row r="172" spans="2:6" x14ac:dyDescent="0.25">
      <c r="B172" s="120"/>
      <c r="C172" s="117"/>
      <c r="D172" s="126"/>
      <c r="E172" s="129" t="s">
        <v>439</v>
      </c>
      <c r="F172" s="130"/>
    </row>
    <row r="173" spans="2:6" x14ac:dyDescent="0.25">
      <c r="B173" s="120"/>
      <c r="C173" s="117"/>
      <c r="D173" s="126"/>
      <c r="E173" s="129" t="s">
        <v>440</v>
      </c>
      <c r="F173" s="130"/>
    </row>
    <row r="174" spans="2:6" x14ac:dyDescent="0.25">
      <c r="B174" s="120"/>
      <c r="C174" s="117"/>
      <c r="D174" s="126"/>
      <c r="E174" s="129" t="s">
        <v>441</v>
      </c>
      <c r="F174" s="130"/>
    </row>
    <row r="175" spans="2:6" x14ac:dyDescent="0.25">
      <c r="B175" s="120"/>
      <c r="C175" s="117"/>
      <c r="D175" s="126"/>
      <c r="E175" s="129" t="s">
        <v>442</v>
      </c>
      <c r="F175" s="130"/>
    </row>
    <row r="176" spans="2:6" x14ac:dyDescent="0.25">
      <c r="B176" s="120"/>
      <c r="C176" s="117"/>
      <c r="D176" s="126"/>
      <c r="E176" s="129" t="s">
        <v>443</v>
      </c>
      <c r="F176" s="130"/>
    </row>
    <row r="177" spans="2:6" x14ac:dyDescent="0.25">
      <c r="B177" s="120"/>
      <c r="C177" s="117"/>
      <c r="D177" s="126"/>
      <c r="E177" s="129" t="s">
        <v>444</v>
      </c>
      <c r="F177" s="130"/>
    </row>
    <row r="178" spans="2:6" x14ac:dyDescent="0.25">
      <c r="B178" s="120"/>
      <c r="C178" s="117"/>
      <c r="D178" s="126"/>
      <c r="E178" s="129" t="s">
        <v>445</v>
      </c>
      <c r="F178" s="130"/>
    </row>
    <row r="179" spans="2:6" x14ac:dyDescent="0.25">
      <c r="B179" s="120"/>
      <c r="C179" s="117"/>
      <c r="D179" s="126"/>
      <c r="E179" s="129" t="s">
        <v>446</v>
      </c>
      <c r="F179" s="130"/>
    </row>
    <row r="180" spans="2:6" ht="30.75" thickBot="1" x14ac:dyDescent="0.3">
      <c r="B180" s="121"/>
      <c r="C180" s="122"/>
      <c r="D180" s="131"/>
      <c r="E180" s="132" t="s">
        <v>451</v>
      </c>
      <c r="F180" s="133"/>
    </row>
    <row r="181" spans="2:6" ht="15.75" thickBot="1" x14ac:dyDescent="0.3">
      <c r="B181" s="117"/>
      <c r="C181" s="117"/>
      <c r="D181" s="126"/>
      <c r="E181" s="126"/>
      <c r="F181" s="126"/>
    </row>
    <row r="182" spans="2:6" ht="45" x14ac:dyDescent="0.25">
      <c r="B182" s="118" t="s">
        <v>452</v>
      </c>
      <c r="C182" s="119"/>
      <c r="D182" s="127"/>
      <c r="E182" s="127">
        <v>5</v>
      </c>
      <c r="F182" s="128"/>
    </row>
    <row r="183" spans="2:6" ht="30" x14ac:dyDescent="0.25">
      <c r="B183" s="120"/>
      <c r="C183" s="117"/>
      <c r="D183" s="126"/>
      <c r="E183" s="129" t="s">
        <v>453</v>
      </c>
      <c r="F183" s="130" t="s">
        <v>293</v>
      </c>
    </row>
    <row r="184" spans="2:6" ht="30" x14ac:dyDescent="0.25">
      <c r="B184" s="120"/>
      <c r="C184" s="117"/>
      <c r="D184" s="126"/>
      <c r="E184" s="129" t="s">
        <v>454</v>
      </c>
      <c r="F184" s="130"/>
    </row>
    <row r="185" spans="2:6" ht="30" x14ac:dyDescent="0.25">
      <c r="B185" s="120"/>
      <c r="C185" s="117"/>
      <c r="D185" s="126"/>
      <c r="E185" s="129" t="s">
        <v>455</v>
      </c>
      <c r="F185" s="130"/>
    </row>
    <row r="186" spans="2:6" ht="30" x14ac:dyDescent="0.25">
      <c r="B186" s="120"/>
      <c r="C186" s="117"/>
      <c r="D186" s="126"/>
      <c r="E186" s="129" t="s">
        <v>456</v>
      </c>
      <c r="F186" s="130"/>
    </row>
    <row r="187" spans="2:6" ht="30.75" thickBot="1" x14ac:dyDescent="0.3">
      <c r="B187" s="121"/>
      <c r="C187" s="122"/>
      <c r="D187" s="131"/>
      <c r="E187" s="132" t="s">
        <v>457</v>
      </c>
      <c r="F187" s="133" t="s">
        <v>293</v>
      </c>
    </row>
    <row r="188" spans="2:6" x14ac:dyDescent="0.25">
      <c r="B188" s="117"/>
      <c r="C188" s="117"/>
      <c r="D188" s="126"/>
      <c r="E188" s="126"/>
      <c r="F188" s="126"/>
    </row>
    <row r="189" spans="2:6" x14ac:dyDescent="0.25">
      <c r="B189" s="117"/>
      <c r="C189" s="117"/>
      <c r="D189" s="126"/>
      <c r="E189" s="126"/>
      <c r="F189" s="126"/>
    </row>
    <row r="190" spans="2:6" x14ac:dyDescent="0.25">
      <c r="B190" s="116" t="s">
        <v>458</v>
      </c>
      <c r="C190" s="116"/>
      <c r="D190" s="125"/>
      <c r="E190" s="125"/>
      <c r="F190" s="125"/>
    </row>
    <row r="191" spans="2:6" ht="15.75" thickBot="1" x14ac:dyDescent="0.3">
      <c r="B191" s="117"/>
      <c r="C191" s="117"/>
      <c r="D191" s="126"/>
      <c r="E191" s="126"/>
      <c r="F191" s="126"/>
    </row>
    <row r="192" spans="2:6" ht="30" x14ac:dyDescent="0.25">
      <c r="B192" s="118" t="s">
        <v>459</v>
      </c>
      <c r="C192" s="119"/>
      <c r="D192" s="127"/>
      <c r="E192" s="127">
        <v>1</v>
      </c>
      <c r="F192" s="128"/>
    </row>
    <row r="193" spans="2:6" ht="45.75" thickBot="1" x14ac:dyDescent="0.3">
      <c r="B193" s="121"/>
      <c r="C193" s="122"/>
      <c r="D193" s="131"/>
      <c r="E193" s="132" t="s">
        <v>460</v>
      </c>
      <c r="F193" s="133" t="s">
        <v>293</v>
      </c>
    </row>
    <row r="194" spans="2:6" ht="15.75" thickBot="1" x14ac:dyDescent="0.3">
      <c r="B194" s="117"/>
      <c r="C194" s="117"/>
      <c r="D194" s="126"/>
      <c r="E194" s="126"/>
      <c r="F194" s="126"/>
    </row>
    <row r="195" spans="2:6" ht="45" x14ac:dyDescent="0.25">
      <c r="B195" s="118" t="s">
        <v>461</v>
      </c>
      <c r="C195" s="119"/>
      <c r="D195" s="127"/>
      <c r="E195" s="127">
        <v>1</v>
      </c>
      <c r="F195" s="128"/>
    </row>
    <row r="196" spans="2:6" ht="45.75" thickBot="1" x14ac:dyDescent="0.3">
      <c r="B196" s="121"/>
      <c r="C196" s="122"/>
      <c r="D196" s="131"/>
      <c r="E196" s="132" t="s">
        <v>462</v>
      </c>
      <c r="F196" s="133" t="s">
        <v>293</v>
      </c>
    </row>
    <row r="197" spans="2:6" ht="15.75" thickBot="1" x14ac:dyDescent="0.3">
      <c r="B197" s="117"/>
      <c r="C197" s="117"/>
      <c r="D197" s="126"/>
      <c r="E197" s="126"/>
      <c r="F197" s="126"/>
    </row>
    <row r="198" spans="2:6" ht="60" x14ac:dyDescent="0.25">
      <c r="B198" s="118" t="s">
        <v>463</v>
      </c>
      <c r="C198" s="119"/>
      <c r="D198" s="127"/>
      <c r="E198" s="127">
        <v>1</v>
      </c>
      <c r="F198" s="128"/>
    </row>
    <row r="199" spans="2:6" ht="45.75" thickBot="1" x14ac:dyDescent="0.3">
      <c r="B199" s="121"/>
      <c r="C199" s="122"/>
      <c r="D199" s="131"/>
      <c r="E199" s="132" t="s">
        <v>462</v>
      </c>
      <c r="F199" s="133" t="s">
        <v>293</v>
      </c>
    </row>
    <row r="200" spans="2:6" ht="15.75" thickBot="1" x14ac:dyDescent="0.3">
      <c r="B200" s="117"/>
      <c r="C200" s="117"/>
      <c r="D200" s="126"/>
      <c r="E200" s="126"/>
      <c r="F200" s="126"/>
    </row>
    <row r="201" spans="2:6" ht="45.75" thickBot="1" x14ac:dyDescent="0.3">
      <c r="B201" s="123" t="s">
        <v>464</v>
      </c>
      <c r="C201" s="124"/>
      <c r="D201" s="134"/>
      <c r="E201" s="134">
        <v>163</v>
      </c>
      <c r="F201" s="135" t="s">
        <v>293</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cp:lastPrinted>2025-01-24T16:40:09Z</cp:lastPrinted>
  <dcterms:created xsi:type="dcterms:W3CDTF">2020-03-24T23:12:47Z</dcterms:created>
  <dcterms:modified xsi:type="dcterms:W3CDTF">2026-01-20T20:14:33Z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