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ThisWorkbook" defaultThemeVersion="124226"/>
  <mc:AlternateContent xmlns:mc="http://schemas.openxmlformats.org/markup-compatibility/2006">
    <mc:Choice Requires="x15">
      <x15ac:absPath xmlns:x15ac="http://schemas.microsoft.com/office/spreadsheetml/2010/11/ac" url="G:\Mi unidad\HOMIL -NCR\ADMINISTRACIÓN DE RIESGOS\2025\Mapa de Riesgos 2025\"/>
    </mc:Choice>
  </mc:AlternateContent>
  <workbookProtection workbookAlgorithmName="SHA-512" workbookHashValue="hGPt/BeR6/gOGQz49plCpY7GDjmE0EeTIySkJJvNkydbBcSfiZnPlU+KKT2fzqdaJJaT7Wancf4GTg2VzgGU0w==" workbookSaltValue="h5Wvly2guV6QRI95DrCekA==" workbookSpinCount="100000" lockStructure="1"/>
  <bookViews>
    <workbookView xWindow="0" yWindow="0" windowWidth="28800" windowHeight="12315" tabRatio="882" firstSheet="1" activeTab="1"/>
  </bookViews>
  <sheets>
    <sheet name="Intructivo" sheetId="20" state="hidden" r:id="rId1"/>
    <sheet name="Mapa final" sheetId="1" r:id="rId2"/>
    <sheet name="Monitoreo No. 1" sheetId="22" state="hidden" r:id="rId3"/>
    <sheet name="Monitoreo No. 2" sheetId="23" state="hidden" r:id="rId4"/>
    <sheet name="Monitoreo No . 3" sheetId="24" state="hidden" r:id="rId5"/>
    <sheet name="Matriz Calor Inherente" sheetId="18" state="hidden" r:id="rId6"/>
    <sheet name="Matriz Calor Residual" sheetId="19" state="hidden" r:id="rId7"/>
    <sheet name="Tabla probabilidad" sheetId="12" state="hidden" r:id="rId8"/>
    <sheet name="Monitoreo No. 4" sheetId="25" state="hidden" r:id="rId9"/>
    <sheet name="Monitoreo Riesgos de Corrupción" sheetId="26" state="hidden" r:id="rId10"/>
    <sheet name="Tabla Impacto" sheetId="13" state="hidden" r:id="rId11"/>
    <sheet name="Tabla Valoración controles" sheetId="15" state="hidden" r:id="rId12"/>
    <sheet name="Opciones Tratamiento" sheetId="16" state="hidden" r:id="rId13"/>
    <sheet name="Hoja1" sheetId="11" state="hidden" r:id="rId14"/>
    <sheet name="Informe de compatibilidad" sheetId="21" state="hidden" r:id="rId15"/>
  </sheets>
  <externalReferences>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s>
  <definedNames>
    <definedName name="_xlnm.Print_Area" localSheetId="1">'Mapa final'!$A$1:$AR$255</definedName>
    <definedName name="_xlnm.Print_Area" localSheetId="4">'Monitoreo No . 3'!$A$1:$M$71</definedName>
    <definedName name="_xlnm.Print_Area" localSheetId="2">'Monitoreo No. 1'!$A$1:$M$71</definedName>
    <definedName name="_xlnm.Print_Area" localSheetId="3">'Monitoreo No. 2'!$A$1:$M$73</definedName>
    <definedName name="_xlnm.Print_Area" localSheetId="8">'Monitoreo No. 4'!$A$2:$M$71</definedName>
    <definedName name="_xlnm.Print_Area" localSheetId="9">'Monitoreo Riesgos de Corrupción'!$A$1:$M$47</definedName>
  </definedNames>
  <calcPr calcId="152511"/>
  <pivotCaches>
    <pivotCache cacheId="0" r:id="rId26"/>
  </pivotCaches>
</workbook>
</file>

<file path=xl/calcChain.xml><?xml version="1.0" encoding="utf-8"?>
<calcChain xmlns="http://schemas.openxmlformats.org/spreadsheetml/2006/main">
  <c r="P80" i="1" l="1"/>
  <c r="Q80" i="1" s="1"/>
  <c r="Y101" i="1" l="1"/>
  <c r="AB101" i="1"/>
  <c r="B12" i="22" l="1"/>
  <c r="C39" i="25" l="1"/>
  <c r="B39" i="25"/>
  <c r="C36" i="25"/>
  <c r="B36" i="25"/>
  <c r="C33" i="25"/>
  <c r="B33" i="25"/>
  <c r="C30" i="25"/>
  <c r="B30" i="25"/>
  <c r="C27" i="25"/>
  <c r="B27" i="25"/>
  <c r="C24" i="25"/>
  <c r="B24" i="25"/>
  <c r="C21" i="25"/>
  <c r="B21" i="25"/>
  <c r="C18" i="25"/>
  <c r="B18" i="25"/>
  <c r="C15" i="25"/>
  <c r="B15" i="25"/>
  <c r="C12" i="25"/>
  <c r="B12" i="25"/>
  <c r="C39" i="24"/>
  <c r="B39" i="24"/>
  <c r="C36" i="24"/>
  <c r="B36" i="24"/>
  <c r="C33" i="24"/>
  <c r="B33" i="24"/>
  <c r="C30" i="24"/>
  <c r="B30" i="24"/>
  <c r="C27" i="24"/>
  <c r="B27" i="24"/>
  <c r="C24" i="24"/>
  <c r="B24" i="24"/>
  <c r="C21" i="24"/>
  <c r="B21" i="24"/>
  <c r="C18" i="24"/>
  <c r="B18" i="24"/>
  <c r="C15" i="24"/>
  <c r="B15" i="24"/>
  <c r="C12" i="24"/>
  <c r="B12" i="24"/>
  <c r="C39" i="23"/>
  <c r="B39" i="23"/>
  <c r="C36" i="23"/>
  <c r="B36" i="23"/>
  <c r="C33" i="23"/>
  <c r="B33" i="23"/>
  <c r="C30" i="23"/>
  <c r="B30" i="23"/>
  <c r="C27" i="23"/>
  <c r="B27" i="23"/>
  <c r="C24" i="23"/>
  <c r="B24" i="23"/>
  <c r="C21" i="23"/>
  <c r="B21" i="23"/>
  <c r="C18" i="23"/>
  <c r="B18" i="23"/>
  <c r="C15" i="23"/>
  <c r="B15" i="23"/>
  <c r="C12" i="23"/>
  <c r="B12" i="23"/>
  <c r="C39" i="22"/>
  <c r="C36" i="22"/>
  <c r="C33" i="22"/>
  <c r="C30" i="22"/>
  <c r="C27" i="22"/>
  <c r="C24" i="22"/>
  <c r="C21" i="22"/>
  <c r="C18" i="22"/>
  <c r="C15" i="22"/>
  <c r="B39" i="22"/>
  <c r="B36" i="22"/>
  <c r="B33" i="22"/>
  <c r="B30" i="22"/>
  <c r="B27" i="22"/>
  <c r="B24" i="22"/>
  <c r="B15" i="22"/>
  <c r="B18" i="22"/>
  <c r="B21" i="22"/>
  <c r="C12" i="22"/>
  <c r="AB132" i="1" l="1"/>
  <c r="AB131" i="1"/>
  <c r="AB133" i="1"/>
  <c r="AB134" i="1"/>
  <c r="AB135" i="1"/>
  <c r="AB136" i="1"/>
  <c r="Y131" i="1"/>
  <c r="Y132" i="1"/>
  <c r="Y133" i="1"/>
  <c r="Y134" i="1"/>
  <c r="Y135" i="1"/>
  <c r="Y136" i="1"/>
  <c r="AB80" i="1"/>
  <c r="AJ136" i="1" l="1"/>
  <c r="AI136" i="1" s="1"/>
  <c r="AF136" i="1"/>
  <c r="AH136" i="1" s="1"/>
  <c r="AJ135" i="1"/>
  <c r="AI135" i="1" s="1"/>
  <c r="AJ134" i="1"/>
  <c r="AI134" i="1" s="1"/>
  <c r="AF134" i="1"/>
  <c r="AF135" i="1"/>
  <c r="AH135" i="1" s="1"/>
  <c r="AJ133" i="1"/>
  <c r="AI133" i="1" s="1"/>
  <c r="AF133" i="1"/>
  <c r="P131" i="1"/>
  <c r="Q131" i="1" s="1"/>
  <c r="AF131" i="1" s="1"/>
  <c r="AH131" i="1" s="1"/>
  <c r="AF132" i="1" s="1"/>
  <c r="AH132" i="1" s="1"/>
  <c r="S134" i="1"/>
  <c r="S133" i="1"/>
  <c r="S136" i="1"/>
  <c r="S135" i="1"/>
  <c r="S132" i="1"/>
  <c r="AG131" i="1" l="1"/>
  <c r="AG136" i="1"/>
  <c r="AK136" i="1" s="1"/>
  <c r="AH134" i="1"/>
  <c r="AG134" i="1"/>
  <c r="AK134" i="1" s="1"/>
  <c r="AG135" i="1"/>
  <c r="AK135" i="1" s="1"/>
  <c r="AG132" i="1"/>
  <c r="AG133" i="1"/>
  <c r="AK133" i="1" s="1"/>
  <c r="AH133" i="1"/>
  <c r="AB248" i="1"/>
  <c r="Y248" i="1"/>
  <c r="AB247" i="1"/>
  <c r="Y247" i="1"/>
  <c r="AB246" i="1"/>
  <c r="Y246" i="1"/>
  <c r="P246" i="1"/>
  <c r="Q246" i="1" s="1"/>
  <c r="AB245" i="1"/>
  <c r="Y245" i="1"/>
  <c r="AB244" i="1"/>
  <c r="Y244" i="1"/>
  <c r="AB243" i="1"/>
  <c r="Y243" i="1"/>
  <c r="P243" i="1"/>
  <c r="Q243" i="1" s="1"/>
  <c r="P242" i="1"/>
  <c r="Q242" i="1" s="1"/>
  <c r="Y242" i="1"/>
  <c r="AB242" i="1"/>
  <c r="S244" i="1"/>
  <c r="S248" i="1"/>
  <c r="S245" i="1"/>
  <c r="S247" i="1"/>
  <c r="AF246" i="1" l="1"/>
  <c r="AF243" i="1"/>
  <c r="AF242" i="1"/>
  <c r="AH246" i="1" l="1"/>
  <c r="AF247" i="1" s="1"/>
  <c r="AG246" i="1"/>
  <c r="AH243" i="1"/>
  <c r="AF244" i="1" s="1"/>
  <c r="AG243" i="1"/>
  <c r="AG242" i="1"/>
  <c r="AH242" i="1"/>
  <c r="AH247" i="1" l="1"/>
  <c r="AF248" i="1" s="1"/>
  <c r="AG247" i="1"/>
  <c r="AH244" i="1"/>
  <c r="AF245" i="1" s="1"/>
  <c r="AG244" i="1"/>
  <c r="AH248" i="1" l="1"/>
  <c r="AG248" i="1"/>
  <c r="AH245" i="1"/>
  <c r="AG245" i="1"/>
  <c r="Y197" i="1" l="1"/>
  <c r="Y198" i="1"/>
  <c r="Y199" i="1"/>
  <c r="Y200" i="1"/>
  <c r="Y201" i="1"/>
  <c r="Y202" i="1"/>
  <c r="AB144" i="1" l="1"/>
  <c r="AB34" i="1" l="1"/>
  <c r="AB35" i="1"/>
  <c r="AB36" i="1"/>
  <c r="AB37" i="1"/>
  <c r="Y34" i="1"/>
  <c r="AB14" i="1"/>
  <c r="AB15" i="1"/>
  <c r="AB16" i="1"/>
  <c r="AB17" i="1"/>
  <c r="AB18" i="1"/>
  <c r="AB19" i="1"/>
  <c r="AB20" i="1"/>
  <c r="AB21" i="1"/>
  <c r="AB22" i="1"/>
  <c r="AB23" i="1"/>
  <c r="AB24" i="1"/>
  <c r="AB25" i="1"/>
  <c r="AB26" i="1"/>
  <c r="AB27" i="1"/>
  <c r="AB28" i="1"/>
  <c r="AB29" i="1"/>
  <c r="AB30" i="1"/>
  <c r="AB31" i="1"/>
  <c r="AB32" i="1"/>
  <c r="AB33" i="1"/>
  <c r="AB38" i="1"/>
  <c r="AB39" i="1"/>
  <c r="AB40" i="1"/>
  <c r="AB41" i="1"/>
  <c r="AB42" i="1"/>
  <c r="AB43" i="1"/>
  <c r="AB44" i="1"/>
  <c r="AB45" i="1"/>
  <c r="AB46" i="1"/>
  <c r="AB47" i="1"/>
  <c r="AB48" i="1"/>
  <c r="AB49" i="1"/>
  <c r="AB50" i="1"/>
  <c r="AB51" i="1"/>
  <c r="AB52" i="1"/>
  <c r="AB53" i="1"/>
  <c r="AB54" i="1"/>
  <c r="AB55" i="1"/>
  <c r="AB56" i="1"/>
  <c r="AB57" i="1"/>
  <c r="AB58" i="1"/>
  <c r="AB59" i="1"/>
  <c r="AB60" i="1"/>
  <c r="AB61" i="1"/>
  <c r="AB62" i="1"/>
  <c r="AB63" i="1"/>
  <c r="AB64" i="1"/>
  <c r="AB65" i="1"/>
  <c r="AB66" i="1"/>
  <c r="AB67" i="1"/>
  <c r="AB68" i="1"/>
  <c r="AB69" i="1"/>
  <c r="AB70" i="1"/>
  <c r="AB71" i="1"/>
  <c r="AB72" i="1"/>
  <c r="AB73" i="1"/>
  <c r="AB74" i="1"/>
  <c r="AB75" i="1"/>
  <c r="AB76" i="1"/>
  <c r="AB77" i="1"/>
  <c r="AB78" i="1"/>
  <c r="AB79" i="1"/>
  <c r="AB81" i="1"/>
  <c r="AB82" i="1"/>
  <c r="AB83" i="1"/>
  <c r="AB84" i="1"/>
  <c r="AB85" i="1"/>
  <c r="AB86" i="1"/>
  <c r="AB87" i="1"/>
  <c r="AB88" i="1"/>
  <c r="AB89" i="1"/>
  <c r="AB90" i="1"/>
  <c r="AB91" i="1"/>
  <c r="AB92" i="1"/>
  <c r="AB93" i="1"/>
  <c r="AB94" i="1"/>
  <c r="AB95" i="1"/>
  <c r="AB96" i="1"/>
  <c r="AB97" i="1"/>
  <c r="AB98" i="1"/>
  <c r="AB99" i="1"/>
  <c r="AB100" i="1"/>
  <c r="AB102" i="1"/>
  <c r="AB103" i="1"/>
  <c r="AB104" i="1"/>
  <c r="AB105" i="1"/>
  <c r="AB106" i="1"/>
  <c r="AB107" i="1"/>
  <c r="AB108" i="1"/>
  <c r="AB109" i="1"/>
  <c r="AB110" i="1"/>
  <c r="AB111" i="1"/>
  <c r="AB112" i="1"/>
  <c r="AB113" i="1"/>
  <c r="AB114" i="1"/>
  <c r="AB115" i="1"/>
  <c r="AB116" i="1"/>
  <c r="AB117" i="1"/>
  <c r="AB118" i="1"/>
  <c r="AB119" i="1"/>
  <c r="AB120" i="1"/>
  <c r="AB121" i="1"/>
  <c r="AB122" i="1"/>
  <c r="AB123" i="1"/>
  <c r="AB124" i="1"/>
  <c r="AB125" i="1"/>
  <c r="AB126" i="1"/>
  <c r="AB127" i="1"/>
  <c r="AB128" i="1"/>
  <c r="AB129" i="1"/>
  <c r="AB130" i="1"/>
  <c r="AB137" i="1"/>
  <c r="AB138" i="1"/>
  <c r="AB139" i="1"/>
  <c r="AB140" i="1"/>
  <c r="AB141" i="1"/>
  <c r="AB142" i="1"/>
  <c r="AB143" i="1"/>
  <c r="AB145" i="1"/>
  <c r="AB146" i="1"/>
  <c r="AB147" i="1"/>
  <c r="AB148" i="1"/>
  <c r="AB149" i="1"/>
  <c r="AB150" i="1"/>
  <c r="AB151" i="1"/>
  <c r="AB152" i="1"/>
  <c r="AB153" i="1"/>
  <c r="AB154" i="1"/>
  <c r="AB155" i="1"/>
  <c r="AB156" i="1"/>
  <c r="AB157" i="1"/>
  <c r="AB158" i="1"/>
  <c r="AB159" i="1"/>
  <c r="AB160" i="1"/>
  <c r="AB161" i="1"/>
  <c r="AB162" i="1"/>
  <c r="AB163" i="1"/>
  <c r="AB164" i="1"/>
  <c r="AB165" i="1"/>
  <c r="AB166" i="1"/>
  <c r="AB167" i="1"/>
  <c r="AB168" i="1"/>
  <c r="AB169" i="1"/>
  <c r="AB170" i="1"/>
  <c r="AB171" i="1"/>
  <c r="AB172" i="1"/>
  <c r="AB173" i="1"/>
  <c r="AB174" i="1"/>
  <c r="AB175" i="1"/>
  <c r="AB176" i="1"/>
  <c r="AB177" i="1"/>
  <c r="AB178" i="1"/>
  <c r="AB179" i="1"/>
  <c r="AB180" i="1"/>
  <c r="AB181" i="1"/>
  <c r="AB182" i="1"/>
  <c r="AB183" i="1"/>
  <c r="AB184" i="1"/>
  <c r="AB185" i="1"/>
  <c r="AB186" i="1"/>
  <c r="AB187" i="1"/>
  <c r="AB188" i="1"/>
  <c r="AB189" i="1"/>
  <c r="AB190" i="1"/>
  <c r="AB191" i="1"/>
  <c r="AB192" i="1"/>
  <c r="AB193" i="1"/>
  <c r="AB194" i="1"/>
  <c r="AB195" i="1"/>
  <c r="AB196" i="1"/>
  <c r="AB197" i="1"/>
  <c r="AB198" i="1"/>
  <c r="AB199" i="1"/>
  <c r="AB200" i="1"/>
  <c r="AB201" i="1"/>
  <c r="AB202" i="1"/>
  <c r="AB203" i="1"/>
  <c r="AB204" i="1"/>
  <c r="AB205" i="1"/>
  <c r="AB206" i="1"/>
  <c r="AB207" i="1"/>
  <c r="AB208" i="1"/>
  <c r="AB209" i="1"/>
  <c r="AB210" i="1"/>
  <c r="AB211" i="1"/>
  <c r="AB212" i="1"/>
  <c r="AB213" i="1"/>
  <c r="AB214" i="1"/>
  <c r="AB215" i="1"/>
  <c r="AB216" i="1"/>
  <c r="AB217" i="1"/>
  <c r="AB218" i="1"/>
  <c r="AB219" i="1"/>
  <c r="AB220" i="1"/>
  <c r="AB221" i="1"/>
  <c r="AB222" i="1"/>
  <c r="AB223" i="1"/>
  <c r="AB224" i="1"/>
  <c r="AB225" i="1"/>
  <c r="AB226" i="1"/>
  <c r="AB227" i="1"/>
  <c r="AB228" i="1"/>
  <c r="AB229" i="1"/>
  <c r="AB230" i="1"/>
  <c r="AB231" i="1"/>
  <c r="AB232" i="1"/>
  <c r="AB233" i="1"/>
  <c r="AB234" i="1"/>
  <c r="AB235" i="1"/>
  <c r="AB236" i="1"/>
  <c r="AB237" i="1"/>
  <c r="AB238" i="1"/>
  <c r="AB239" i="1"/>
  <c r="AB240" i="1"/>
  <c r="AB241" i="1"/>
  <c r="AB249" i="1"/>
  <c r="AB250" i="1"/>
  <c r="AB251" i="1"/>
  <c r="AB252" i="1"/>
  <c r="AB253" i="1"/>
  <c r="AB254" i="1"/>
  <c r="P200" i="1" l="1"/>
  <c r="Q200" i="1" s="1"/>
  <c r="AF200" i="1" s="1"/>
  <c r="AH200" i="1" s="1"/>
  <c r="AF201" i="1" s="1"/>
  <c r="AH201" i="1" s="1"/>
  <c r="AF202" i="1" s="1"/>
  <c r="AH202" i="1" s="1"/>
  <c r="P197" i="1"/>
  <c r="Q197" i="1" s="1"/>
  <c r="AF197" i="1" s="1"/>
  <c r="AH197" i="1" s="1"/>
  <c r="AF198" i="1" s="1"/>
  <c r="AH198" i="1" s="1"/>
  <c r="AF199" i="1" s="1"/>
  <c r="AH199" i="1" s="1"/>
  <c r="S199" i="1"/>
  <c r="S198" i="1"/>
  <c r="S201" i="1"/>
  <c r="S202" i="1"/>
  <c r="AG200" i="1" l="1"/>
  <c r="AG202" i="1"/>
  <c r="AG198" i="1"/>
  <c r="AG199" i="1"/>
  <c r="AG197" i="1"/>
  <c r="AG201" i="1"/>
  <c r="P128" i="1" l="1"/>
  <c r="Q128" i="1" s="1"/>
  <c r="P127" i="1"/>
  <c r="Y130" i="1"/>
  <c r="Y129" i="1"/>
  <c r="Y128" i="1"/>
  <c r="Y127" i="1"/>
  <c r="S130" i="1"/>
  <c r="S129" i="1"/>
  <c r="Q127" i="1" l="1"/>
  <c r="AF127" i="1" s="1"/>
  <c r="AH127" i="1" s="1"/>
  <c r="AF128" i="1"/>
  <c r="Y253" i="1"/>
  <c r="Y254" i="1"/>
  <c r="Y252" i="1"/>
  <c r="P253" i="1"/>
  <c r="Q253" i="1" s="1"/>
  <c r="P252" i="1"/>
  <c r="Q252" i="1" s="1"/>
  <c r="S254" i="1"/>
  <c r="AG127" i="1" l="1"/>
  <c r="AH128" i="1"/>
  <c r="AF129" i="1" s="1"/>
  <c r="AG128" i="1"/>
  <c r="AF253" i="1"/>
  <c r="AG253" i="1" s="1"/>
  <c r="AF252" i="1"/>
  <c r="AG252" i="1" s="1"/>
  <c r="AH129" i="1" l="1"/>
  <c r="AF130" i="1" s="1"/>
  <c r="AG129" i="1"/>
  <c r="AH253" i="1"/>
  <c r="AF254" i="1" s="1"/>
  <c r="AH252" i="1"/>
  <c r="AH130" i="1" l="1"/>
  <c r="AG130" i="1"/>
  <c r="AG254" i="1"/>
  <c r="AH254" i="1"/>
  <c r="Y175" i="1" l="1"/>
  <c r="Y176" i="1"/>
  <c r="Y177" i="1"/>
  <c r="Y160" i="1" l="1"/>
  <c r="Y161" i="1"/>
  <c r="Y84" i="1" l="1"/>
  <c r="Y51" i="1" l="1"/>
  <c r="Y52" i="1"/>
  <c r="Y53" i="1"/>
  <c r="AJ51" i="1" l="1"/>
  <c r="AI51" i="1" s="1"/>
  <c r="AJ52" i="1" l="1"/>
  <c r="AI52" i="1" l="1"/>
  <c r="AJ53" i="1"/>
  <c r="AI53" i="1" l="1"/>
  <c r="AB13" i="1" l="1"/>
  <c r="P13" i="1"/>
  <c r="Q13" i="1" s="1"/>
  <c r="Y13" i="1"/>
  <c r="S14" i="1"/>
  <c r="AF13" i="1" l="1"/>
  <c r="Y14" i="1"/>
  <c r="AG13" i="1" l="1"/>
  <c r="AH13" i="1"/>
  <c r="AF14" i="1" s="1"/>
  <c r="AG14" i="1" l="1"/>
  <c r="AH14" i="1"/>
  <c r="M12" i="22" l="1"/>
  <c r="L12" i="24"/>
  <c r="I12" i="22" l="1"/>
  <c r="F12" i="22" l="1"/>
  <c r="G12" i="22"/>
  <c r="H12" i="22"/>
  <c r="M45" i="26"/>
  <c r="L45" i="26"/>
  <c r="K45" i="26"/>
  <c r="J45" i="26"/>
  <c r="I45" i="26"/>
  <c r="H45" i="26"/>
  <c r="G45" i="26"/>
  <c r="F45" i="26"/>
  <c r="M42" i="26"/>
  <c r="L42" i="26"/>
  <c r="K42" i="26"/>
  <c r="J42" i="26"/>
  <c r="I42" i="26"/>
  <c r="H42" i="26"/>
  <c r="G42" i="26"/>
  <c r="F42" i="26"/>
  <c r="M39" i="26"/>
  <c r="L39" i="26"/>
  <c r="K39" i="26"/>
  <c r="J39" i="26"/>
  <c r="I39" i="26"/>
  <c r="H39" i="26"/>
  <c r="G39" i="26"/>
  <c r="F39" i="26"/>
  <c r="M36" i="26"/>
  <c r="L36" i="26"/>
  <c r="K36" i="26"/>
  <c r="J36" i="26"/>
  <c r="I36" i="26"/>
  <c r="H36" i="26"/>
  <c r="G36" i="26"/>
  <c r="F36" i="26"/>
  <c r="M33" i="26"/>
  <c r="L33" i="26"/>
  <c r="K33" i="26"/>
  <c r="J33" i="26"/>
  <c r="I33" i="26"/>
  <c r="H33" i="26"/>
  <c r="G33" i="26"/>
  <c r="F33" i="26"/>
  <c r="M30" i="26"/>
  <c r="L30" i="26"/>
  <c r="K30" i="26"/>
  <c r="J30" i="26"/>
  <c r="I30" i="26"/>
  <c r="H30" i="26"/>
  <c r="G30" i="26"/>
  <c r="F30" i="26"/>
  <c r="M27" i="26"/>
  <c r="L27" i="26"/>
  <c r="K27" i="26"/>
  <c r="J27" i="26"/>
  <c r="I27" i="26"/>
  <c r="H27" i="26"/>
  <c r="G27" i="26"/>
  <c r="F27" i="26"/>
  <c r="M24" i="26"/>
  <c r="L24" i="26"/>
  <c r="K24" i="26"/>
  <c r="J24" i="26"/>
  <c r="I24" i="26"/>
  <c r="H24" i="26"/>
  <c r="G24" i="26"/>
  <c r="F24" i="26"/>
  <c r="M21" i="26"/>
  <c r="L21" i="26"/>
  <c r="K21" i="26"/>
  <c r="J21" i="26"/>
  <c r="I21" i="26"/>
  <c r="H21" i="26"/>
  <c r="G21" i="26"/>
  <c r="F21" i="26"/>
  <c r="M18" i="26"/>
  <c r="L18" i="26"/>
  <c r="K18" i="26"/>
  <c r="J18" i="26"/>
  <c r="I18" i="26"/>
  <c r="H18" i="26"/>
  <c r="G18" i="26"/>
  <c r="F18" i="26"/>
  <c r="M15" i="26"/>
  <c r="L15" i="26"/>
  <c r="K15" i="26"/>
  <c r="J15" i="26"/>
  <c r="I15" i="26"/>
  <c r="H15" i="26"/>
  <c r="G15" i="26"/>
  <c r="F15" i="26"/>
  <c r="M12" i="26"/>
  <c r="L12" i="26"/>
  <c r="K12" i="26"/>
  <c r="J12" i="26"/>
  <c r="I12" i="26"/>
  <c r="H12" i="26"/>
  <c r="G12" i="26"/>
  <c r="F12" i="26"/>
  <c r="A12" i="25"/>
  <c r="A12" i="24"/>
  <c r="A12" i="22"/>
  <c r="F42" i="24"/>
  <c r="G42" i="24"/>
  <c r="H42" i="24"/>
  <c r="I42" i="24"/>
  <c r="J42" i="24"/>
  <c r="K42" i="24"/>
  <c r="L42" i="24"/>
  <c r="M42" i="24"/>
  <c r="F45" i="24"/>
  <c r="G45" i="24"/>
  <c r="H45" i="24"/>
  <c r="I45" i="24"/>
  <c r="J45" i="24"/>
  <c r="K45" i="24"/>
  <c r="L45" i="24"/>
  <c r="M45" i="24"/>
  <c r="F48" i="24"/>
  <c r="G48" i="24"/>
  <c r="H48" i="24"/>
  <c r="I48" i="24"/>
  <c r="J48" i="24"/>
  <c r="K48" i="24"/>
  <c r="L48" i="24"/>
  <c r="M48" i="24"/>
  <c r="F51" i="24"/>
  <c r="G51" i="24"/>
  <c r="H51" i="24"/>
  <c r="I51" i="24"/>
  <c r="J51" i="24"/>
  <c r="K51" i="24"/>
  <c r="L51" i="24"/>
  <c r="M51" i="24"/>
  <c r="F54" i="24"/>
  <c r="G54" i="24"/>
  <c r="H54" i="24"/>
  <c r="I54" i="24"/>
  <c r="J54" i="24"/>
  <c r="K54" i="24"/>
  <c r="L54" i="24"/>
  <c r="M54" i="24"/>
  <c r="F57" i="24"/>
  <c r="G57" i="24"/>
  <c r="H57" i="24"/>
  <c r="I57" i="24"/>
  <c r="J57" i="24"/>
  <c r="K57" i="24"/>
  <c r="L57" i="24"/>
  <c r="M57" i="24"/>
  <c r="F60" i="24"/>
  <c r="G60" i="24"/>
  <c r="H60" i="24"/>
  <c r="I60" i="24"/>
  <c r="J60" i="24"/>
  <c r="K60" i="24"/>
  <c r="L60" i="24"/>
  <c r="M60" i="24"/>
  <c r="F63" i="24"/>
  <c r="G63" i="24"/>
  <c r="H63" i="24"/>
  <c r="I63" i="24"/>
  <c r="J63" i="24"/>
  <c r="K63" i="24"/>
  <c r="L63" i="24"/>
  <c r="M63" i="24"/>
  <c r="F66" i="24"/>
  <c r="G66" i="24"/>
  <c r="H66" i="24"/>
  <c r="I66" i="24"/>
  <c r="J66" i="24"/>
  <c r="K66" i="24"/>
  <c r="L66" i="24"/>
  <c r="M66" i="24"/>
  <c r="F69" i="24"/>
  <c r="G69" i="24"/>
  <c r="H69" i="24"/>
  <c r="I69" i="24"/>
  <c r="J69" i="24"/>
  <c r="K69" i="24"/>
  <c r="L69" i="24"/>
  <c r="M69" i="24"/>
  <c r="M69" i="25" l="1"/>
  <c r="L69" i="25"/>
  <c r="K69" i="25"/>
  <c r="J69" i="25"/>
  <c r="I69" i="25"/>
  <c r="H69" i="25"/>
  <c r="G69" i="25"/>
  <c r="F69" i="25"/>
  <c r="M66" i="25"/>
  <c r="L66" i="25"/>
  <c r="K66" i="25"/>
  <c r="J66" i="25"/>
  <c r="I66" i="25"/>
  <c r="H66" i="25"/>
  <c r="G66" i="25"/>
  <c r="F66" i="25"/>
  <c r="M63" i="25"/>
  <c r="L63" i="25"/>
  <c r="K63" i="25"/>
  <c r="J63" i="25"/>
  <c r="I63" i="25"/>
  <c r="H63" i="25"/>
  <c r="G63" i="25"/>
  <c r="F63" i="25"/>
  <c r="M60" i="25"/>
  <c r="L60" i="25"/>
  <c r="K60" i="25"/>
  <c r="J60" i="25"/>
  <c r="I60" i="25"/>
  <c r="H60" i="25"/>
  <c r="G60" i="25"/>
  <c r="F60" i="25"/>
  <c r="M57" i="25"/>
  <c r="L57" i="25"/>
  <c r="K57" i="25"/>
  <c r="J57" i="25"/>
  <c r="I57" i="25"/>
  <c r="H57" i="25"/>
  <c r="G57" i="25"/>
  <c r="F57" i="25"/>
  <c r="M54" i="25"/>
  <c r="L54" i="25"/>
  <c r="K54" i="25"/>
  <c r="J54" i="25"/>
  <c r="I54" i="25"/>
  <c r="H54" i="25"/>
  <c r="G54" i="25"/>
  <c r="F54" i="25"/>
  <c r="M51" i="25"/>
  <c r="L51" i="25"/>
  <c r="K51" i="25"/>
  <c r="J51" i="25"/>
  <c r="I51" i="25"/>
  <c r="H51" i="25"/>
  <c r="G51" i="25"/>
  <c r="F51" i="25"/>
  <c r="M48" i="25"/>
  <c r="L48" i="25"/>
  <c r="K48" i="25"/>
  <c r="J48" i="25"/>
  <c r="I48" i="25"/>
  <c r="H48" i="25"/>
  <c r="G48" i="25"/>
  <c r="F48" i="25"/>
  <c r="M45" i="25"/>
  <c r="L45" i="25"/>
  <c r="K45" i="25"/>
  <c r="J45" i="25"/>
  <c r="I45" i="25"/>
  <c r="H45" i="25"/>
  <c r="G45" i="25"/>
  <c r="F45" i="25"/>
  <c r="M42" i="25"/>
  <c r="L42" i="25"/>
  <c r="K42" i="25"/>
  <c r="J42" i="25"/>
  <c r="I42" i="25"/>
  <c r="H42" i="25"/>
  <c r="G42" i="25"/>
  <c r="F42" i="25"/>
  <c r="M39" i="25"/>
  <c r="L39" i="25"/>
  <c r="K39" i="25"/>
  <c r="J39" i="25"/>
  <c r="I39" i="25"/>
  <c r="H39" i="25"/>
  <c r="G39" i="25"/>
  <c r="F39" i="25"/>
  <c r="M36" i="25"/>
  <c r="L36" i="25"/>
  <c r="K36" i="25"/>
  <c r="J36" i="25"/>
  <c r="I36" i="25"/>
  <c r="H36" i="25"/>
  <c r="G36" i="25"/>
  <c r="F36" i="25"/>
  <c r="M33" i="25"/>
  <c r="L33" i="25"/>
  <c r="K33" i="25"/>
  <c r="J33" i="25"/>
  <c r="I33" i="25"/>
  <c r="H33" i="25"/>
  <c r="G33" i="25"/>
  <c r="F33" i="25"/>
  <c r="M30" i="25"/>
  <c r="L30" i="25"/>
  <c r="K30" i="25"/>
  <c r="J30" i="25"/>
  <c r="I30" i="25"/>
  <c r="H30" i="25"/>
  <c r="G30" i="25"/>
  <c r="F30" i="25"/>
  <c r="M27" i="25"/>
  <c r="L27" i="25"/>
  <c r="K27" i="25"/>
  <c r="J27" i="25"/>
  <c r="I27" i="25"/>
  <c r="H27" i="25"/>
  <c r="G27" i="25"/>
  <c r="F27" i="25"/>
  <c r="M24" i="25"/>
  <c r="L24" i="25"/>
  <c r="K24" i="25"/>
  <c r="J24" i="25"/>
  <c r="I24" i="25"/>
  <c r="H24" i="25"/>
  <c r="G24" i="25"/>
  <c r="F24" i="25"/>
  <c r="M21" i="25"/>
  <c r="L21" i="25"/>
  <c r="K21" i="25"/>
  <c r="J21" i="25"/>
  <c r="I21" i="25"/>
  <c r="H21" i="25"/>
  <c r="G21" i="25"/>
  <c r="F21" i="25"/>
  <c r="M18" i="25"/>
  <c r="L18" i="25"/>
  <c r="K18" i="25"/>
  <c r="J18" i="25"/>
  <c r="I18" i="25"/>
  <c r="H18" i="25"/>
  <c r="G18" i="25"/>
  <c r="F18" i="25"/>
  <c r="M15" i="25"/>
  <c r="L15" i="25"/>
  <c r="K15" i="25"/>
  <c r="J15" i="25"/>
  <c r="I15" i="25"/>
  <c r="H15" i="25"/>
  <c r="G15" i="25"/>
  <c r="F15" i="25"/>
  <c r="M12" i="25"/>
  <c r="L12" i="25"/>
  <c r="K12" i="25"/>
  <c r="J12" i="25"/>
  <c r="I12" i="25"/>
  <c r="H12" i="25"/>
  <c r="G12" i="25"/>
  <c r="F12" i="25"/>
  <c r="F42" i="23"/>
  <c r="G42" i="23"/>
  <c r="H42" i="23"/>
  <c r="I42" i="23"/>
  <c r="J42" i="23"/>
  <c r="K42" i="23"/>
  <c r="L42" i="23"/>
  <c r="M42" i="23"/>
  <c r="F45" i="23"/>
  <c r="G45" i="23"/>
  <c r="H45" i="23"/>
  <c r="I45" i="23"/>
  <c r="J45" i="23"/>
  <c r="K45" i="23"/>
  <c r="L45" i="23"/>
  <c r="M45" i="23"/>
  <c r="F48" i="23"/>
  <c r="G48" i="23"/>
  <c r="H48" i="23"/>
  <c r="I48" i="23"/>
  <c r="J48" i="23"/>
  <c r="K48" i="23"/>
  <c r="L48" i="23"/>
  <c r="M48" i="23"/>
  <c r="F51" i="23"/>
  <c r="G51" i="23"/>
  <c r="H51" i="23"/>
  <c r="I51" i="23"/>
  <c r="J51" i="23"/>
  <c r="K51" i="23"/>
  <c r="L51" i="23"/>
  <c r="M51" i="23"/>
  <c r="F54" i="23"/>
  <c r="G54" i="23"/>
  <c r="H54" i="23"/>
  <c r="I54" i="23"/>
  <c r="J54" i="23"/>
  <c r="K54" i="23"/>
  <c r="L54" i="23"/>
  <c r="M54" i="23"/>
  <c r="F57" i="23"/>
  <c r="G57" i="23"/>
  <c r="H57" i="23"/>
  <c r="I57" i="23"/>
  <c r="J57" i="23"/>
  <c r="K57" i="23"/>
  <c r="L57" i="23"/>
  <c r="M57" i="23"/>
  <c r="F60" i="23"/>
  <c r="G60" i="23"/>
  <c r="H60" i="23"/>
  <c r="I60" i="23"/>
  <c r="J60" i="23"/>
  <c r="K60" i="23"/>
  <c r="L60" i="23"/>
  <c r="M60" i="23"/>
  <c r="F63" i="23"/>
  <c r="G63" i="23"/>
  <c r="H63" i="23"/>
  <c r="I63" i="23"/>
  <c r="J63" i="23"/>
  <c r="K63" i="23"/>
  <c r="L63" i="23"/>
  <c r="M63" i="23"/>
  <c r="F66" i="23"/>
  <c r="G66" i="23"/>
  <c r="H66" i="23"/>
  <c r="I66" i="23"/>
  <c r="J66" i="23"/>
  <c r="K66" i="23"/>
  <c r="L66" i="23"/>
  <c r="M66" i="23"/>
  <c r="F69" i="23"/>
  <c r="G69" i="23"/>
  <c r="H69" i="23"/>
  <c r="I69" i="23"/>
  <c r="J69" i="23"/>
  <c r="K69" i="23"/>
  <c r="L69" i="23"/>
  <c r="M69" i="23"/>
  <c r="M42" i="22" l="1"/>
  <c r="M45" i="22"/>
  <c r="M48" i="22"/>
  <c r="M51" i="22"/>
  <c r="M54" i="22"/>
  <c r="M57" i="22"/>
  <c r="M60" i="22"/>
  <c r="M63" i="22"/>
  <c r="M66" i="22"/>
  <c r="M69" i="22"/>
  <c r="L42" i="22"/>
  <c r="L45" i="22"/>
  <c r="L48" i="22"/>
  <c r="L51" i="22"/>
  <c r="L54" i="22"/>
  <c r="L57" i="22"/>
  <c r="L60" i="22"/>
  <c r="L63" i="22"/>
  <c r="L66" i="22"/>
  <c r="L69" i="22"/>
  <c r="K42" i="22"/>
  <c r="K45" i="22"/>
  <c r="K48" i="22"/>
  <c r="K51" i="22"/>
  <c r="K54" i="22"/>
  <c r="K57" i="22"/>
  <c r="K60" i="22"/>
  <c r="K63" i="22"/>
  <c r="K66" i="22"/>
  <c r="K69" i="22"/>
  <c r="J42" i="22"/>
  <c r="J45" i="22"/>
  <c r="J48" i="22"/>
  <c r="J51" i="22"/>
  <c r="J54" i="22"/>
  <c r="J57" i="22"/>
  <c r="J60" i="22"/>
  <c r="J63" i="22"/>
  <c r="J66" i="22"/>
  <c r="J69" i="22"/>
  <c r="I42" i="22"/>
  <c r="I45" i="22"/>
  <c r="I48" i="22"/>
  <c r="I51" i="22"/>
  <c r="I54" i="22"/>
  <c r="I57" i="22"/>
  <c r="I60" i="22"/>
  <c r="I63" i="22"/>
  <c r="I66" i="22"/>
  <c r="I69" i="22"/>
  <c r="H42" i="22"/>
  <c r="H45" i="22"/>
  <c r="H48" i="22"/>
  <c r="H51" i="22"/>
  <c r="H54" i="22"/>
  <c r="H57" i="22"/>
  <c r="H60" i="22"/>
  <c r="H63" i="22"/>
  <c r="H66" i="22"/>
  <c r="H69" i="22"/>
  <c r="G42" i="22"/>
  <c r="G45" i="22"/>
  <c r="G48" i="22"/>
  <c r="G51" i="22"/>
  <c r="G54" i="22"/>
  <c r="G57" i="22"/>
  <c r="G60" i="22"/>
  <c r="G63" i="22"/>
  <c r="G66" i="22"/>
  <c r="G69" i="22"/>
  <c r="F60" i="22"/>
  <c r="F63" i="22"/>
  <c r="F66" i="22"/>
  <c r="F69" i="22"/>
  <c r="F42" i="22"/>
  <c r="F45" i="22"/>
  <c r="F48" i="22"/>
  <c r="F51" i="22"/>
  <c r="F54" i="22"/>
  <c r="F57" i="22"/>
  <c r="P116" i="1" l="1"/>
  <c r="Q116" i="1" s="1"/>
  <c r="Y116" i="1"/>
  <c r="Y117" i="1"/>
  <c r="Y118" i="1"/>
  <c r="Y119" i="1"/>
  <c r="P120" i="1"/>
  <c r="Y120" i="1"/>
  <c r="Y121" i="1"/>
  <c r="Y122" i="1"/>
  <c r="Y123" i="1"/>
  <c r="P124" i="1"/>
  <c r="Q124" i="1" s="1"/>
  <c r="Y124" i="1"/>
  <c r="Y125" i="1"/>
  <c r="Y126" i="1"/>
  <c r="P137" i="1"/>
  <c r="Q137" i="1" s="1"/>
  <c r="Y137" i="1"/>
  <c r="Y138" i="1"/>
  <c r="P139" i="1"/>
  <c r="Q139" i="1" s="1"/>
  <c r="Y139" i="1"/>
  <c r="P140" i="1"/>
  <c r="Q140" i="1" s="1"/>
  <c r="Y140" i="1"/>
  <c r="Y141" i="1"/>
  <c r="P142" i="1"/>
  <c r="Q142" i="1" s="1"/>
  <c r="Y142" i="1"/>
  <c r="Y143" i="1"/>
  <c r="P144" i="1"/>
  <c r="Y144" i="1"/>
  <c r="P145" i="1"/>
  <c r="Q145" i="1" s="1"/>
  <c r="Y145" i="1"/>
  <c r="Y146" i="1"/>
  <c r="P147" i="1"/>
  <c r="Q147" i="1" s="1"/>
  <c r="Y147" i="1"/>
  <c r="Y148" i="1"/>
  <c r="P149" i="1"/>
  <c r="Q149" i="1" s="1"/>
  <c r="Y149" i="1"/>
  <c r="Y150" i="1"/>
  <c r="P151" i="1"/>
  <c r="Q151" i="1" s="1"/>
  <c r="Y151" i="1"/>
  <c r="Y152" i="1"/>
  <c r="P153" i="1"/>
  <c r="Q153" i="1" s="1"/>
  <c r="Y153" i="1"/>
  <c r="Y154" i="1"/>
  <c r="Y155" i="1"/>
  <c r="P156" i="1"/>
  <c r="Y156" i="1"/>
  <c r="Y157" i="1"/>
  <c r="P158" i="1"/>
  <c r="Q158" i="1" s="1"/>
  <c r="Y158" i="1"/>
  <c r="Y159" i="1"/>
  <c r="P160" i="1"/>
  <c r="Q160" i="1" s="1"/>
  <c r="P162" i="1"/>
  <c r="Q162" i="1" s="1"/>
  <c r="Y162" i="1"/>
  <c r="P163" i="1"/>
  <c r="Q163" i="1" s="1"/>
  <c r="Y163" i="1"/>
  <c r="Y164" i="1"/>
  <c r="Y165" i="1"/>
  <c r="Y166" i="1"/>
  <c r="Y167" i="1"/>
  <c r="P168" i="1"/>
  <c r="Q168" i="1" s="1"/>
  <c r="Y168" i="1"/>
  <c r="Y169" i="1"/>
  <c r="Y170" i="1"/>
  <c r="Y171" i="1"/>
  <c r="P172" i="1"/>
  <c r="Q172" i="1" s="1"/>
  <c r="Y172" i="1"/>
  <c r="Y173" i="1"/>
  <c r="P174" i="1"/>
  <c r="Q174" i="1" s="1"/>
  <c r="Y174" i="1"/>
  <c r="P178" i="1"/>
  <c r="Y178" i="1"/>
  <c r="Y179" i="1"/>
  <c r="Y180" i="1"/>
  <c r="Y181" i="1"/>
  <c r="Y182" i="1"/>
  <c r="Y183" i="1"/>
  <c r="P184" i="1"/>
  <c r="Q184" i="1" s="1"/>
  <c r="Y184" i="1"/>
  <c r="Y185" i="1"/>
  <c r="Y186" i="1"/>
  <c r="P187" i="1"/>
  <c r="Q187" i="1" s="1"/>
  <c r="Y187" i="1"/>
  <c r="Y188" i="1"/>
  <c r="Y189" i="1"/>
  <c r="Y190" i="1"/>
  <c r="P191" i="1"/>
  <c r="Q191" i="1" s="1"/>
  <c r="Y191" i="1"/>
  <c r="Y192" i="1"/>
  <c r="Y193" i="1"/>
  <c r="Y194" i="1"/>
  <c r="P195" i="1"/>
  <c r="Y195" i="1"/>
  <c r="Y196" i="1"/>
  <c r="P203" i="1"/>
  <c r="Q203" i="1" s="1"/>
  <c r="Y203" i="1"/>
  <c r="Y204" i="1"/>
  <c r="Y205" i="1"/>
  <c r="P206" i="1"/>
  <c r="Q206" i="1" s="1"/>
  <c r="Y206" i="1"/>
  <c r="Y207" i="1"/>
  <c r="Y208" i="1"/>
  <c r="Y209" i="1"/>
  <c r="P210" i="1"/>
  <c r="Q210" i="1" s="1"/>
  <c r="Y210" i="1"/>
  <c r="Y211" i="1"/>
  <c r="Y212" i="1"/>
  <c r="Y213" i="1"/>
  <c r="P214" i="1"/>
  <c r="Q214" i="1" s="1"/>
  <c r="Y214" i="1"/>
  <c r="Y215" i="1"/>
  <c r="Y216" i="1"/>
  <c r="Y217" i="1"/>
  <c r="Y218" i="1"/>
  <c r="P219" i="1"/>
  <c r="Q219" i="1" s="1"/>
  <c r="Y219" i="1"/>
  <c r="Y220" i="1"/>
  <c r="P221" i="1"/>
  <c r="Q221" i="1" s="1"/>
  <c r="Y221" i="1"/>
  <c r="Y222" i="1"/>
  <c r="Y223" i="1"/>
  <c r="P224" i="1"/>
  <c r="Y224" i="1"/>
  <c r="Y225" i="1"/>
  <c r="Y226" i="1"/>
  <c r="Y227" i="1"/>
  <c r="Y228" i="1"/>
  <c r="P229" i="1"/>
  <c r="Q229" i="1" s="1"/>
  <c r="Y229" i="1"/>
  <c r="Y230" i="1"/>
  <c r="Y231" i="1"/>
  <c r="Y232" i="1"/>
  <c r="P233" i="1"/>
  <c r="Q233" i="1" s="1"/>
  <c r="Y233" i="1"/>
  <c r="P234" i="1"/>
  <c r="Q234" i="1" s="1"/>
  <c r="Y234" i="1"/>
  <c r="Y235" i="1"/>
  <c r="P236" i="1"/>
  <c r="Q236" i="1" s="1"/>
  <c r="Y236" i="1"/>
  <c r="Y237" i="1"/>
  <c r="P238" i="1"/>
  <c r="Q238" i="1" s="1"/>
  <c r="Y238" i="1"/>
  <c r="Y239" i="1"/>
  <c r="P240" i="1"/>
  <c r="Q240" i="1" s="1"/>
  <c r="Y240" i="1"/>
  <c r="Y241" i="1"/>
  <c r="P249" i="1"/>
  <c r="Q249" i="1" s="1"/>
  <c r="Y249" i="1"/>
  <c r="P250" i="1"/>
  <c r="Q250" i="1" s="1"/>
  <c r="Y250" i="1"/>
  <c r="Y251" i="1"/>
  <c r="P99" i="1"/>
  <c r="Q99" i="1" s="1"/>
  <c r="Y99" i="1"/>
  <c r="Y100" i="1"/>
  <c r="P102" i="1"/>
  <c r="Q102" i="1" s="1"/>
  <c r="Y102" i="1"/>
  <c r="Y103" i="1"/>
  <c r="P104" i="1"/>
  <c r="Q104" i="1" s="1"/>
  <c r="Y104" i="1"/>
  <c r="Y105" i="1"/>
  <c r="P106" i="1"/>
  <c r="Q106" i="1" s="1"/>
  <c r="Y106" i="1"/>
  <c r="Y107" i="1"/>
  <c r="Y108" i="1"/>
  <c r="Y109" i="1"/>
  <c r="P110" i="1"/>
  <c r="Q110" i="1" s="1"/>
  <c r="Y110" i="1"/>
  <c r="P111" i="1"/>
  <c r="Q111" i="1" s="1"/>
  <c r="Y111" i="1"/>
  <c r="P112" i="1"/>
  <c r="Q112" i="1" s="1"/>
  <c r="Y112" i="1"/>
  <c r="P113" i="1"/>
  <c r="Q113" i="1" s="1"/>
  <c r="Y113" i="1"/>
  <c r="Y114" i="1"/>
  <c r="Y115" i="1"/>
  <c r="P86" i="1"/>
  <c r="Q86" i="1" s="1"/>
  <c r="Y86" i="1"/>
  <c r="P87" i="1"/>
  <c r="Q87" i="1" s="1"/>
  <c r="Y87" i="1"/>
  <c r="Y80" i="1"/>
  <c r="P88" i="1"/>
  <c r="Q88" i="1" s="1"/>
  <c r="Y88" i="1"/>
  <c r="P89" i="1"/>
  <c r="Q89" i="1" s="1"/>
  <c r="Y89" i="1"/>
  <c r="P90" i="1"/>
  <c r="Q90" i="1" s="1"/>
  <c r="Y90" i="1"/>
  <c r="P91" i="1"/>
  <c r="Q91" i="1" s="1"/>
  <c r="Y91" i="1"/>
  <c r="Y92" i="1"/>
  <c r="P93" i="1"/>
  <c r="Q93" i="1" s="1"/>
  <c r="Y93" i="1"/>
  <c r="Y94" i="1"/>
  <c r="P95" i="1"/>
  <c r="Q95" i="1" s="1"/>
  <c r="Y95" i="1"/>
  <c r="P96" i="1"/>
  <c r="Q96" i="1" s="1"/>
  <c r="Y96" i="1"/>
  <c r="P97" i="1"/>
  <c r="Q97" i="1" s="1"/>
  <c r="Y97" i="1"/>
  <c r="Y98" i="1"/>
  <c r="P77" i="1"/>
  <c r="Q77" i="1" s="1"/>
  <c r="Y77" i="1"/>
  <c r="Y78" i="1"/>
  <c r="Y79" i="1"/>
  <c r="P81" i="1"/>
  <c r="Q81" i="1" s="1"/>
  <c r="Y81" i="1"/>
  <c r="Y82" i="1"/>
  <c r="P83" i="1"/>
  <c r="Q83" i="1" s="1"/>
  <c r="Y83" i="1"/>
  <c r="P85" i="1"/>
  <c r="Q85" i="1" s="1"/>
  <c r="Y85" i="1"/>
  <c r="P60" i="1"/>
  <c r="Q60" i="1" s="1"/>
  <c r="Y60" i="1"/>
  <c r="Y61" i="1"/>
  <c r="P62" i="1"/>
  <c r="Q62" i="1" s="1"/>
  <c r="Y62" i="1"/>
  <c r="Y63" i="1"/>
  <c r="Y64" i="1"/>
  <c r="Y65" i="1"/>
  <c r="Y66" i="1"/>
  <c r="P67" i="1"/>
  <c r="Q67" i="1" s="1"/>
  <c r="Y67" i="1"/>
  <c r="Y68" i="1"/>
  <c r="P69" i="1"/>
  <c r="Q69" i="1" s="1"/>
  <c r="Y69" i="1"/>
  <c r="Y70" i="1"/>
  <c r="P71" i="1"/>
  <c r="Q71" i="1" s="1"/>
  <c r="Y71" i="1"/>
  <c r="Y72" i="1"/>
  <c r="Y73" i="1"/>
  <c r="P74" i="1"/>
  <c r="Q74" i="1" s="1"/>
  <c r="Y74" i="1"/>
  <c r="P75" i="1"/>
  <c r="Q75" i="1" s="1"/>
  <c r="Y75" i="1"/>
  <c r="Y76" i="1"/>
  <c r="P44" i="1"/>
  <c r="Q44" i="1" s="1"/>
  <c r="Y44" i="1"/>
  <c r="P45" i="1"/>
  <c r="Q45" i="1" s="1"/>
  <c r="Y45" i="1"/>
  <c r="Y46" i="1"/>
  <c r="Y47" i="1"/>
  <c r="Y48" i="1"/>
  <c r="Y49" i="1"/>
  <c r="Y50" i="1"/>
  <c r="P54" i="1"/>
  <c r="Q54" i="1" s="1"/>
  <c r="Y54" i="1"/>
  <c r="Y55" i="1"/>
  <c r="Y56" i="1"/>
  <c r="P57" i="1"/>
  <c r="Q57" i="1" s="1"/>
  <c r="Y57" i="1"/>
  <c r="Y58" i="1"/>
  <c r="Y59" i="1"/>
  <c r="P43" i="1"/>
  <c r="Q43" i="1" s="1"/>
  <c r="Y43" i="1"/>
  <c r="P42" i="1"/>
  <c r="Q42" i="1" s="1"/>
  <c r="Y20" i="1"/>
  <c r="Y21" i="1"/>
  <c r="Y22" i="1"/>
  <c r="Y23" i="1"/>
  <c r="Y24" i="1"/>
  <c r="Y25" i="1"/>
  <c r="Y26" i="1"/>
  <c r="Y27" i="1"/>
  <c r="Y28" i="1"/>
  <c r="Y29" i="1"/>
  <c r="Y30" i="1"/>
  <c r="Y31" i="1"/>
  <c r="Y32" i="1"/>
  <c r="Y33" i="1"/>
  <c r="Y35" i="1"/>
  <c r="Y36" i="1"/>
  <c r="Y37" i="1"/>
  <c r="Y38" i="1"/>
  <c r="Y39" i="1"/>
  <c r="Y40" i="1"/>
  <c r="Y41" i="1"/>
  <c r="Y42" i="1"/>
  <c r="Y15" i="1"/>
  <c r="Y16" i="1"/>
  <c r="Y17" i="1"/>
  <c r="Y18" i="1"/>
  <c r="Y19" i="1"/>
  <c r="P40" i="1"/>
  <c r="Q40" i="1" s="1"/>
  <c r="S143" i="1"/>
  <c r="S230" i="1"/>
  <c r="S215" i="1"/>
  <c r="S157" i="1"/>
  <c r="S64" i="1"/>
  <c r="S35" i="1"/>
  <c r="S26" i="1"/>
  <c r="S28" i="1"/>
  <c r="S232" i="1"/>
  <c r="S209" i="1"/>
  <c r="S61" i="1"/>
  <c r="S84" i="1"/>
  <c r="S39" i="1"/>
  <c r="S109" i="1"/>
  <c r="S41" i="1"/>
  <c r="S103" i="1"/>
  <c r="S155" i="1"/>
  <c r="S208" i="1"/>
  <c r="S170" i="1"/>
  <c r="S225" i="1"/>
  <c r="S55" i="1"/>
  <c r="S152" i="1"/>
  <c r="S159" i="1"/>
  <c r="S19" i="1"/>
  <c r="S217" i="1"/>
  <c r="S122" i="1"/>
  <c r="S204" i="1"/>
  <c r="S141" i="1"/>
  <c r="S161" i="1"/>
  <c r="S72" i="1"/>
  <c r="S18" i="1"/>
  <c r="S226" i="1"/>
  <c r="S117" i="1"/>
  <c r="S164" i="1"/>
  <c r="S21" i="1"/>
  <c r="S105" i="1"/>
  <c r="S125" i="1"/>
  <c r="S185" i="1"/>
  <c r="S183" i="1"/>
  <c r="S231" i="1"/>
  <c r="S196" i="1"/>
  <c r="S70" i="1"/>
  <c r="S32" i="1"/>
  <c r="S66" i="1"/>
  <c r="S126" i="1"/>
  <c r="S107" i="1"/>
  <c r="S211" i="1"/>
  <c r="S37" i="1"/>
  <c r="S73" i="1"/>
  <c r="S121" i="1"/>
  <c r="S237" i="1"/>
  <c r="S173" i="1"/>
  <c r="S154" i="1"/>
  <c r="S213" i="1"/>
  <c r="S94" i="1"/>
  <c r="S179" i="1"/>
  <c r="S228" i="1"/>
  <c r="S194" i="1"/>
  <c r="S193" i="1"/>
  <c r="S115" i="1"/>
  <c r="S175" i="1"/>
  <c r="S167" i="1"/>
  <c r="S76" i="1"/>
  <c r="S148" i="1"/>
  <c r="S146" i="1"/>
  <c r="S223" i="1"/>
  <c r="S24" i="1"/>
  <c r="S138" i="1"/>
  <c r="S119" i="1"/>
  <c r="S169" i="1"/>
  <c r="S100" i="1"/>
  <c r="S222" i="1"/>
  <c r="S63" i="1"/>
  <c r="S58" i="1"/>
  <c r="S251" i="1"/>
  <c r="S92" i="1"/>
  <c r="S239" i="1"/>
  <c r="S171" i="1"/>
  <c r="S227" i="1"/>
  <c r="S34" i="1"/>
  <c r="S220" i="1"/>
  <c r="S65" i="1"/>
  <c r="S31" i="1"/>
  <c r="S180" i="1"/>
  <c r="S68" i="1"/>
  <c r="S212" i="1"/>
  <c r="S166" i="1"/>
  <c r="S186" i="1"/>
  <c r="S207" i="1"/>
  <c r="S241" i="1"/>
  <c r="S118" i="1"/>
  <c r="S189" i="1"/>
  <c r="S235" i="1"/>
  <c r="S108" i="1"/>
  <c r="S123" i="1"/>
  <c r="S181" i="1"/>
  <c r="S205" i="1"/>
  <c r="S16" i="1"/>
  <c r="S188" i="1"/>
  <c r="S165" i="1"/>
  <c r="S98" i="1"/>
  <c r="S190" i="1"/>
  <c r="S30" i="1"/>
  <c r="S114" i="1"/>
  <c r="S79" i="1"/>
  <c r="S176" i="1"/>
  <c r="S82" i="1"/>
  <c r="S23" i="1"/>
  <c r="S192" i="1"/>
  <c r="S218" i="1"/>
  <c r="S36" i="1"/>
  <c r="S182" i="1"/>
  <c r="S78" i="1"/>
  <c r="S150" i="1"/>
  <c r="S56" i="1"/>
  <c r="S177" i="1"/>
  <c r="S216" i="1"/>
  <c r="S59" i="1"/>
  <c r="AF234" i="1" l="1"/>
  <c r="AG234" i="1" s="1"/>
  <c r="AF233" i="1"/>
  <c r="AG233" i="1" s="1"/>
  <c r="AF163" i="1"/>
  <c r="AG163" i="1" s="1"/>
  <c r="AF236" i="1"/>
  <c r="AG236" i="1" s="1"/>
  <c r="AF214" i="1"/>
  <c r="AH214" i="1" s="1"/>
  <c r="AF215" i="1" s="1"/>
  <c r="AF106" i="1"/>
  <c r="AG106" i="1" s="1"/>
  <c r="AF81" i="1"/>
  <c r="AH81" i="1" s="1"/>
  <c r="AF82" i="1" s="1"/>
  <c r="AF74" i="1"/>
  <c r="AH74" i="1" s="1"/>
  <c r="AF249" i="1"/>
  <c r="AG249" i="1" s="1"/>
  <c r="AF168" i="1"/>
  <c r="AG168" i="1" s="1"/>
  <c r="AF147" i="1"/>
  <c r="AG147" i="1" s="1"/>
  <c r="AF137" i="1"/>
  <c r="AG137" i="1" s="1"/>
  <c r="AF172" i="1"/>
  <c r="AG172" i="1" s="1"/>
  <c r="AF91" i="1"/>
  <c r="AG91" i="1" s="1"/>
  <c r="AF140" i="1"/>
  <c r="AG140" i="1" s="1"/>
  <c r="AF191" i="1"/>
  <c r="AH191" i="1" s="1"/>
  <c r="AF192" i="1" s="1"/>
  <c r="AF40" i="1"/>
  <c r="AG40" i="1" s="1"/>
  <c r="AF111" i="1"/>
  <c r="AG111" i="1" s="1"/>
  <c r="AF71" i="1"/>
  <c r="AG71" i="1" s="1"/>
  <c r="AF57" i="1"/>
  <c r="AH57" i="1" s="1"/>
  <c r="AF58" i="1" s="1"/>
  <c r="AF102" i="1"/>
  <c r="AG102" i="1" s="1"/>
  <c r="AF85" i="1"/>
  <c r="AH85" i="1" s="1"/>
  <c r="AF90" i="1"/>
  <c r="AH90" i="1" s="1"/>
  <c r="AF42" i="1"/>
  <c r="AG42" i="1" s="1"/>
  <c r="AF96" i="1"/>
  <c r="AG96" i="1" s="1"/>
  <c r="AF75" i="1"/>
  <c r="AG75" i="1" s="1"/>
  <c r="AF187" i="1"/>
  <c r="AG187" i="1" s="1"/>
  <c r="AF69" i="1"/>
  <c r="AG69" i="1" s="1"/>
  <c r="AF240" i="1"/>
  <c r="AG240" i="1" s="1"/>
  <c r="AF139" i="1"/>
  <c r="AG139" i="1" s="1"/>
  <c r="AF45" i="1"/>
  <c r="AH45" i="1" s="1"/>
  <c r="AF46" i="1" s="1"/>
  <c r="AF88" i="1"/>
  <c r="AH88" i="1" s="1"/>
  <c r="AF153" i="1"/>
  <c r="AG153" i="1" s="1"/>
  <c r="AF113" i="1"/>
  <c r="AG113" i="1" s="1"/>
  <c r="AF89" i="1"/>
  <c r="AH89" i="1" s="1"/>
  <c r="AF203" i="1"/>
  <c r="AG203" i="1" s="1"/>
  <c r="AF158" i="1"/>
  <c r="AH158" i="1" s="1"/>
  <c r="AF159" i="1" s="1"/>
  <c r="AF229" i="1"/>
  <c r="AF184" i="1"/>
  <c r="AF219" i="1"/>
  <c r="Q224" i="1"/>
  <c r="AF224" i="1" s="1"/>
  <c r="AF238" i="1"/>
  <c r="Q195" i="1"/>
  <c r="AF195" i="1" s="1"/>
  <c r="AF221" i="1"/>
  <c r="AF210" i="1"/>
  <c r="AF206" i="1"/>
  <c r="AF160" i="1"/>
  <c r="AF250" i="1"/>
  <c r="AF151" i="1"/>
  <c r="Q156" i="1"/>
  <c r="AF156" i="1" s="1"/>
  <c r="AF145" i="1"/>
  <c r="Q178" i="1"/>
  <c r="AF178" i="1" s="1"/>
  <c r="AF162" i="1"/>
  <c r="Q144" i="1"/>
  <c r="AF144" i="1" s="1"/>
  <c r="AF124" i="1"/>
  <c r="Q120" i="1"/>
  <c r="AF120" i="1" s="1"/>
  <c r="AF174" i="1"/>
  <c r="AF142" i="1"/>
  <c r="AF116" i="1"/>
  <c r="AF149" i="1"/>
  <c r="AF104" i="1"/>
  <c r="AF112" i="1"/>
  <c r="AF99" i="1"/>
  <c r="AF110" i="1"/>
  <c r="AF97" i="1"/>
  <c r="AF93" i="1"/>
  <c r="AF86" i="1"/>
  <c r="AF95" i="1"/>
  <c r="AF87" i="1"/>
  <c r="AF83" i="1"/>
  <c r="AF77" i="1"/>
  <c r="AF67" i="1"/>
  <c r="AF60" i="1"/>
  <c r="AF62" i="1"/>
  <c r="AF54" i="1"/>
  <c r="AF44" i="1"/>
  <c r="AF43" i="1"/>
  <c r="J12" i="22"/>
  <c r="K12" i="22"/>
  <c r="L12" i="22"/>
  <c r="F15" i="22"/>
  <c r="G15" i="22"/>
  <c r="H15" i="22"/>
  <c r="I15" i="22"/>
  <c r="J15" i="22"/>
  <c r="K15" i="22"/>
  <c r="L15" i="22"/>
  <c r="M15" i="22"/>
  <c r="F18" i="22"/>
  <c r="G18" i="22"/>
  <c r="H18" i="22"/>
  <c r="I18" i="22"/>
  <c r="J18" i="22"/>
  <c r="K18" i="22"/>
  <c r="L18" i="22"/>
  <c r="M18" i="22"/>
  <c r="F21" i="22"/>
  <c r="G21" i="22"/>
  <c r="H21" i="22"/>
  <c r="I21" i="22"/>
  <c r="J21" i="22"/>
  <c r="K21" i="22"/>
  <c r="L21" i="22"/>
  <c r="M21" i="22"/>
  <c r="F24" i="22"/>
  <c r="G24" i="22"/>
  <c r="H24" i="22"/>
  <c r="I24" i="22"/>
  <c r="J24" i="22"/>
  <c r="K24" i="22"/>
  <c r="L24" i="22"/>
  <c r="M24" i="22"/>
  <c r="F27" i="22"/>
  <c r="G27" i="22"/>
  <c r="H27" i="22"/>
  <c r="I27" i="22"/>
  <c r="J27" i="22"/>
  <c r="K27" i="22"/>
  <c r="L27" i="22"/>
  <c r="M27" i="22"/>
  <c r="F30" i="22"/>
  <c r="G30" i="22"/>
  <c r="H30" i="22"/>
  <c r="I30" i="22"/>
  <c r="J30" i="22"/>
  <c r="K30" i="22"/>
  <c r="L30" i="22"/>
  <c r="M30" i="22"/>
  <c r="F33" i="22"/>
  <c r="G33" i="22"/>
  <c r="H33" i="22"/>
  <c r="I33" i="22"/>
  <c r="J33" i="22"/>
  <c r="K33" i="22"/>
  <c r="L33" i="22"/>
  <c r="M33" i="22"/>
  <c r="F36" i="22"/>
  <c r="G36" i="22"/>
  <c r="H36" i="22"/>
  <c r="I36" i="22"/>
  <c r="J36" i="22"/>
  <c r="K36" i="22"/>
  <c r="L36" i="22"/>
  <c r="M36" i="22"/>
  <c r="F39" i="22"/>
  <c r="G39" i="22"/>
  <c r="H39" i="22"/>
  <c r="I39" i="22"/>
  <c r="J39" i="22"/>
  <c r="K39" i="22"/>
  <c r="L39" i="22"/>
  <c r="M39" i="22"/>
  <c r="H15" i="24"/>
  <c r="H18" i="24"/>
  <c r="H21" i="24"/>
  <c r="H24" i="24"/>
  <c r="H27" i="24"/>
  <c r="H30" i="24"/>
  <c r="H33" i="24"/>
  <c r="H36" i="24"/>
  <c r="H39" i="24"/>
  <c r="H15" i="23"/>
  <c r="H18" i="23"/>
  <c r="H21" i="23"/>
  <c r="H24" i="23"/>
  <c r="H27" i="23"/>
  <c r="H30" i="23"/>
  <c r="H33" i="23"/>
  <c r="H36" i="23"/>
  <c r="H39" i="23"/>
  <c r="AH234" i="1" l="1"/>
  <c r="AF235" i="1" s="1"/>
  <c r="AG235" i="1" s="1"/>
  <c r="AG214" i="1"/>
  <c r="AG74" i="1"/>
  <c r="AH106" i="1"/>
  <c r="AF107" i="1" s="1"/>
  <c r="AH107" i="1" s="1"/>
  <c r="AF108" i="1" s="1"/>
  <c r="AG81" i="1"/>
  <c r="AH163" i="1"/>
  <c r="AF164" i="1" s="1"/>
  <c r="AG164" i="1" s="1"/>
  <c r="AH233" i="1"/>
  <c r="AH236" i="1"/>
  <c r="AF237" i="1" s="1"/>
  <c r="AG237" i="1" s="1"/>
  <c r="AH203" i="1"/>
  <c r="AF204" i="1" s="1"/>
  <c r="AH204" i="1" s="1"/>
  <c r="AF205" i="1" s="1"/>
  <c r="AG158" i="1"/>
  <c r="AH69" i="1"/>
  <c r="AF70" i="1" s="1"/>
  <c r="AH70" i="1" s="1"/>
  <c r="AG191" i="1"/>
  <c r="AH172" i="1"/>
  <c r="AF173" i="1" s="1"/>
  <c r="AH173" i="1" s="1"/>
  <c r="AH137" i="1"/>
  <c r="AF138" i="1" s="1"/>
  <c r="AH138" i="1" s="1"/>
  <c r="AH113" i="1"/>
  <c r="AF114" i="1" s="1"/>
  <c r="AH114" i="1" s="1"/>
  <c r="AF115" i="1" s="1"/>
  <c r="AH91" i="1"/>
  <c r="AF92" i="1" s="1"/>
  <c r="AG92" i="1" s="1"/>
  <c r="AH75" i="1"/>
  <c r="AF76" i="1" s="1"/>
  <c r="AG76" i="1" s="1"/>
  <c r="AH71" i="1"/>
  <c r="AF72" i="1" s="1"/>
  <c r="AG72" i="1" s="1"/>
  <c r="AH140" i="1"/>
  <c r="AF141" i="1" s="1"/>
  <c r="AH141" i="1" s="1"/>
  <c r="AG90" i="1"/>
  <c r="AH147" i="1"/>
  <c r="AF148" i="1" s="1"/>
  <c r="AG148" i="1" s="1"/>
  <c r="AH249" i="1"/>
  <c r="AH168" i="1"/>
  <c r="AF169" i="1" s="1"/>
  <c r="AG169" i="1" s="1"/>
  <c r="AH240" i="1"/>
  <c r="AF241" i="1" s="1"/>
  <c r="AH241" i="1" s="1"/>
  <c r="AG85" i="1"/>
  <c r="AH139" i="1"/>
  <c r="AG89" i="1"/>
  <c r="AH40" i="1"/>
  <c r="AF41" i="1" s="1"/>
  <c r="AG41" i="1" s="1"/>
  <c r="AH111" i="1"/>
  <c r="AH42" i="1"/>
  <c r="AG45" i="1"/>
  <c r="AG88" i="1"/>
  <c r="AG57" i="1"/>
  <c r="AH96" i="1"/>
  <c r="AH102" i="1"/>
  <c r="AF103" i="1" s="1"/>
  <c r="AG103" i="1" s="1"/>
  <c r="AH153" i="1"/>
  <c r="AF154" i="1" s="1"/>
  <c r="AG154" i="1" s="1"/>
  <c r="AH187" i="1"/>
  <c r="AF188" i="1" s="1"/>
  <c r="AG188" i="1" s="1"/>
  <c r="AG238" i="1"/>
  <c r="AH238" i="1"/>
  <c r="AF239" i="1" s="1"/>
  <c r="AG215" i="1"/>
  <c r="AH215" i="1"/>
  <c r="AF216" i="1" s="1"/>
  <c r="AH174" i="1"/>
  <c r="AF175" i="1" s="1"/>
  <c r="AG174" i="1"/>
  <c r="AG210" i="1"/>
  <c r="AH210" i="1"/>
  <c r="AF211" i="1" s="1"/>
  <c r="AG184" i="1"/>
  <c r="AH184" i="1"/>
  <c r="AF185" i="1" s="1"/>
  <c r="AG145" i="1"/>
  <c r="AH145" i="1"/>
  <c r="AF146" i="1" s="1"/>
  <c r="AG221" i="1"/>
  <c r="AH221" i="1"/>
  <c r="AF222" i="1" s="1"/>
  <c r="AG116" i="1"/>
  <c r="AH116" i="1"/>
  <c r="AF117" i="1" s="1"/>
  <c r="AG151" i="1"/>
  <c r="AH151" i="1"/>
  <c r="AF152" i="1" s="1"/>
  <c r="AG250" i="1"/>
  <c r="AH250" i="1"/>
  <c r="AF251" i="1" s="1"/>
  <c r="AH219" i="1"/>
  <c r="AF220" i="1" s="1"/>
  <c r="AG219" i="1"/>
  <c r="AG144" i="1"/>
  <c r="AH144" i="1"/>
  <c r="AG192" i="1"/>
  <c r="AH192" i="1"/>
  <c r="AF193" i="1" s="1"/>
  <c r="AH162" i="1"/>
  <c r="AG162" i="1"/>
  <c r="AG159" i="1"/>
  <c r="AH159" i="1"/>
  <c r="AG160" i="1"/>
  <c r="AH160" i="1"/>
  <c r="AF161" i="1" s="1"/>
  <c r="AG156" i="1"/>
  <c r="AH156" i="1"/>
  <c r="AF157" i="1" s="1"/>
  <c r="AG195" i="1"/>
  <c r="AH195" i="1"/>
  <c r="AF196" i="1" s="1"/>
  <c r="AH229" i="1"/>
  <c r="AF230" i="1" s="1"/>
  <c r="AG229" i="1"/>
  <c r="AG120" i="1"/>
  <c r="AH120" i="1"/>
  <c r="AF121" i="1" s="1"/>
  <c r="AH178" i="1"/>
  <c r="AF179" i="1" s="1"/>
  <c r="AG178" i="1"/>
  <c r="AG224" i="1"/>
  <c r="AH224" i="1"/>
  <c r="AF225" i="1" s="1"/>
  <c r="AG142" i="1"/>
  <c r="AH142" i="1"/>
  <c r="AF143" i="1" s="1"/>
  <c r="AH124" i="1"/>
  <c r="AF125" i="1" s="1"/>
  <c r="AG124" i="1"/>
  <c r="AG149" i="1"/>
  <c r="AH149" i="1"/>
  <c r="AF150" i="1" s="1"/>
  <c r="AG206" i="1"/>
  <c r="AH206" i="1"/>
  <c r="AF207" i="1" s="1"/>
  <c r="AG99" i="1"/>
  <c r="AH99" i="1"/>
  <c r="AF100" i="1" s="1"/>
  <c r="AG112" i="1"/>
  <c r="AH112" i="1"/>
  <c r="AG110" i="1"/>
  <c r="AH110" i="1"/>
  <c r="AH104" i="1"/>
  <c r="AF105" i="1" s="1"/>
  <c r="AG104" i="1"/>
  <c r="AG87" i="1"/>
  <c r="AH87" i="1"/>
  <c r="AF80" i="1" s="1"/>
  <c r="AG93" i="1"/>
  <c r="AH93" i="1"/>
  <c r="AF94" i="1" s="1"/>
  <c r="AG95" i="1"/>
  <c r="AH95" i="1"/>
  <c r="AG97" i="1"/>
  <c r="AH97" i="1"/>
  <c r="AF98" i="1" s="1"/>
  <c r="AG86" i="1"/>
  <c r="AH86" i="1"/>
  <c r="AG77" i="1"/>
  <c r="AH77" i="1"/>
  <c r="AF78" i="1" s="1"/>
  <c r="AG82" i="1"/>
  <c r="AH82" i="1"/>
  <c r="AH83" i="1"/>
  <c r="AF84" i="1" s="1"/>
  <c r="AG83" i="1"/>
  <c r="AG60" i="1"/>
  <c r="AH60" i="1"/>
  <c r="AF61" i="1" s="1"/>
  <c r="AH67" i="1"/>
  <c r="AF68" i="1" s="1"/>
  <c r="AG67" i="1"/>
  <c r="AG62" i="1"/>
  <c r="AH62" i="1"/>
  <c r="AF63" i="1" s="1"/>
  <c r="AG46" i="1"/>
  <c r="AH46" i="1"/>
  <c r="AF47" i="1" s="1"/>
  <c r="AG44" i="1"/>
  <c r="AH44" i="1"/>
  <c r="AG58" i="1"/>
  <c r="AH58" i="1"/>
  <c r="AF59" i="1" s="1"/>
  <c r="AH54" i="1"/>
  <c r="AF55" i="1" s="1"/>
  <c r="AG54" i="1"/>
  <c r="AG43" i="1"/>
  <c r="AH43" i="1"/>
  <c r="AH235" i="1" l="1"/>
  <c r="AH164" i="1"/>
  <c r="AF165" i="1" s="1"/>
  <c r="AG165" i="1" s="1"/>
  <c r="AG107" i="1"/>
  <c r="AH237" i="1"/>
  <c r="AG204" i="1"/>
  <c r="AG141" i="1"/>
  <c r="AH72" i="1"/>
  <c r="AF73" i="1" s="1"/>
  <c r="AH73" i="1" s="1"/>
  <c r="AG70" i="1"/>
  <c r="AG241" i="1"/>
  <c r="AG173" i="1"/>
  <c r="AH169" i="1"/>
  <c r="AF170" i="1" s="1"/>
  <c r="AG170" i="1" s="1"/>
  <c r="AG138" i="1"/>
  <c r="AG114" i="1"/>
  <c r="AH92" i="1"/>
  <c r="AH76" i="1"/>
  <c r="AH41" i="1"/>
  <c r="AH148" i="1"/>
  <c r="AH103" i="1"/>
  <c r="AH188" i="1"/>
  <c r="AF189" i="1" s="1"/>
  <c r="AG189" i="1" s="1"/>
  <c r="AH154" i="1"/>
  <c r="AF155" i="1" s="1"/>
  <c r="AH155" i="1" s="1"/>
  <c r="AG161" i="1"/>
  <c r="AH161" i="1"/>
  <c r="AG211" i="1"/>
  <c r="AH211" i="1"/>
  <c r="AF212" i="1" s="1"/>
  <c r="AG121" i="1"/>
  <c r="AH121" i="1"/>
  <c r="AF122" i="1" s="1"/>
  <c r="AG157" i="1"/>
  <c r="AH157" i="1"/>
  <c r="AH193" i="1"/>
  <c r="AF194" i="1" s="1"/>
  <c r="AG193" i="1"/>
  <c r="AG222" i="1"/>
  <c r="AH222" i="1"/>
  <c r="AF223" i="1" s="1"/>
  <c r="AG216" i="1"/>
  <c r="AH216" i="1"/>
  <c r="AF217" i="1" s="1"/>
  <c r="AG239" i="1"/>
  <c r="AH239" i="1"/>
  <c r="AG125" i="1"/>
  <c r="AH125" i="1"/>
  <c r="AF126" i="1" s="1"/>
  <c r="AG251" i="1"/>
  <c r="AH251" i="1"/>
  <c r="AH207" i="1"/>
  <c r="AF208" i="1" s="1"/>
  <c r="AG207" i="1"/>
  <c r="AH179" i="1"/>
  <c r="AF180" i="1" s="1"/>
  <c r="AG179" i="1"/>
  <c r="AG230" i="1"/>
  <c r="AH230" i="1"/>
  <c r="AF231" i="1" s="1"/>
  <c r="AG225" i="1"/>
  <c r="AH225" i="1"/>
  <c r="AF226" i="1" s="1"/>
  <c r="AG152" i="1"/>
  <c r="AH152" i="1"/>
  <c r="AG150" i="1"/>
  <c r="AH150" i="1"/>
  <c r="AG143" i="1"/>
  <c r="AH143" i="1"/>
  <c r="AH196" i="1"/>
  <c r="AG196" i="1"/>
  <c r="AG220" i="1"/>
  <c r="AH220" i="1"/>
  <c r="AG146" i="1"/>
  <c r="AH146" i="1"/>
  <c r="AG185" i="1"/>
  <c r="AH185" i="1"/>
  <c r="AF186" i="1" s="1"/>
  <c r="AH205" i="1"/>
  <c r="AG205" i="1"/>
  <c r="AG117" i="1"/>
  <c r="AH117" i="1"/>
  <c r="AF118" i="1" s="1"/>
  <c r="AH175" i="1"/>
  <c r="AF176" i="1" s="1"/>
  <c r="AG175" i="1"/>
  <c r="AG105" i="1"/>
  <c r="AH105" i="1"/>
  <c r="AG100" i="1"/>
  <c r="AH100" i="1"/>
  <c r="AF101" i="1" s="1"/>
  <c r="AG115" i="1"/>
  <c r="AH115" i="1"/>
  <c r="AG108" i="1"/>
  <c r="AH108" i="1"/>
  <c r="AF109" i="1" s="1"/>
  <c r="AG94" i="1"/>
  <c r="AH94" i="1"/>
  <c r="AH80" i="1"/>
  <c r="AG80" i="1"/>
  <c r="AH98" i="1"/>
  <c r="AG98" i="1"/>
  <c r="AG84" i="1"/>
  <c r="AH84" i="1"/>
  <c r="AG78" i="1"/>
  <c r="AH78" i="1"/>
  <c r="AF79" i="1" s="1"/>
  <c r="AG68" i="1"/>
  <c r="AH68" i="1"/>
  <c r="AG63" i="1"/>
  <c r="AH63" i="1"/>
  <c r="AF64" i="1" s="1"/>
  <c r="AG61" i="1"/>
  <c r="AH61" i="1"/>
  <c r="AG59" i="1"/>
  <c r="AH59" i="1"/>
  <c r="AG47" i="1"/>
  <c r="AH47" i="1"/>
  <c r="AF48" i="1" s="1"/>
  <c r="AH55" i="1"/>
  <c r="AF56" i="1" s="1"/>
  <c r="AG55" i="1"/>
  <c r="AG101" i="1" l="1"/>
  <c r="AH101" i="1"/>
  <c r="AH165" i="1"/>
  <c r="AF166" i="1" s="1"/>
  <c r="AH166" i="1" s="1"/>
  <c r="AF167" i="1" s="1"/>
  <c r="AG73" i="1"/>
  <c r="AH170" i="1"/>
  <c r="AF171" i="1" s="1"/>
  <c r="AG171" i="1" s="1"/>
  <c r="AG155" i="1"/>
  <c r="AH189" i="1"/>
  <c r="AF190" i="1" s="1"/>
  <c r="AG190" i="1" s="1"/>
  <c r="AG194" i="1"/>
  <c r="AH194" i="1"/>
  <c r="AG231" i="1"/>
  <c r="AH231" i="1"/>
  <c r="AF232" i="1" s="1"/>
  <c r="AG122" i="1"/>
  <c r="AH122" i="1"/>
  <c r="AF123" i="1" s="1"/>
  <c r="AG126" i="1"/>
  <c r="AH126" i="1"/>
  <c r="AG226" i="1"/>
  <c r="AH226" i="1"/>
  <c r="AF227" i="1" s="1"/>
  <c r="AG180" i="1"/>
  <c r="AH180" i="1"/>
  <c r="AF181" i="1" s="1"/>
  <c r="AG176" i="1"/>
  <c r="AH176" i="1"/>
  <c r="AF177" i="1" s="1"/>
  <c r="AG118" i="1"/>
  <c r="AH118" i="1"/>
  <c r="AF119" i="1" s="1"/>
  <c r="AG212" i="1"/>
  <c r="AH212" i="1"/>
  <c r="AF213" i="1" s="1"/>
  <c r="AG208" i="1"/>
  <c r="AH208" i="1"/>
  <c r="AF209" i="1" s="1"/>
  <c r="AG186" i="1"/>
  <c r="AH186" i="1"/>
  <c r="AH217" i="1"/>
  <c r="AF218" i="1" s="1"/>
  <c r="AG217" i="1"/>
  <c r="AG223" i="1"/>
  <c r="AH223" i="1"/>
  <c r="AG109" i="1"/>
  <c r="AH109" i="1"/>
  <c r="AH79" i="1"/>
  <c r="AG79" i="1"/>
  <c r="AG64" i="1"/>
  <c r="AH64" i="1"/>
  <c r="AF65" i="1" s="1"/>
  <c r="AG56" i="1"/>
  <c r="AH56" i="1"/>
  <c r="AH48" i="1"/>
  <c r="AF49" i="1" s="1"/>
  <c r="AG48" i="1"/>
  <c r="AG166" i="1" l="1"/>
  <c r="AH190" i="1"/>
  <c r="AH171" i="1"/>
  <c r="AG232" i="1"/>
  <c r="AH232" i="1"/>
  <c r="AG218" i="1"/>
  <c r="AH218" i="1"/>
  <c r="AG167" i="1"/>
  <c r="AH167" i="1"/>
  <c r="AH177" i="1"/>
  <c r="AG177" i="1"/>
  <c r="AG119" i="1"/>
  <c r="AH119" i="1"/>
  <c r="AH209" i="1"/>
  <c r="AG209" i="1"/>
  <c r="AH123" i="1"/>
  <c r="AG123" i="1"/>
  <c r="AG213" i="1"/>
  <c r="AH213" i="1"/>
  <c r="AG181" i="1"/>
  <c r="AH181" i="1"/>
  <c r="AF182" i="1" s="1"/>
  <c r="AH227" i="1"/>
  <c r="AF228" i="1" s="1"/>
  <c r="AG227" i="1"/>
  <c r="AH65" i="1"/>
  <c r="AF66" i="1" s="1"/>
  <c r="AG65" i="1"/>
  <c r="AG49" i="1"/>
  <c r="AH49" i="1"/>
  <c r="AF50" i="1" s="1"/>
  <c r="F15" i="24"/>
  <c r="AG182" i="1" l="1"/>
  <c r="AH182" i="1"/>
  <c r="AF183" i="1" s="1"/>
  <c r="AG228" i="1"/>
  <c r="AH228" i="1"/>
  <c r="AG66" i="1"/>
  <c r="AH66" i="1"/>
  <c r="AG50" i="1"/>
  <c r="AH50" i="1"/>
  <c r="AF51" i="1" s="1"/>
  <c r="F12" i="24"/>
  <c r="AH51" i="1" l="1"/>
  <c r="AF52" i="1" s="1"/>
  <c r="AG51" i="1"/>
  <c r="AK51" i="1" s="1"/>
  <c r="AG183" i="1"/>
  <c r="AH183" i="1"/>
  <c r="F12" i="23"/>
  <c r="G12" i="23"/>
  <c r="H12" i="23"/>
  <c r="I12" i="23"/>
  <c r="J12" i="23"/>
  <c r="K12" i="23"/>
  <c r="L12" i="23"/>
  <c r="M12" i="23"/>
  <c r="F15" i="23"/>
  <c r="G15" i="23"/>
  <c r="I15" i="23"/>
  <c r="J15" i="23"/>
  <c r="K15" i="23"/>
  <c r="L15" i="23"/>
  <c r="M15" i="23"/>
  <c r="F18" i="23"/>
  <c r="G18" i="23"/>
  <c r="I18" i="23"/>
  <c r="J18" i="23"/>
  <c r="K18" i="23"/>
  <c r="L18" i="23"/>
  <c r="M18" i="23"/>
  <c r="F21" i="23"/>
  <c r="G21" i="23"/>
  <c r="I21" i="23"/>
  <c r="J21" i="23"/>
  <c r="K21" i="23"/>
  <c r="L21" i="23"/>
  <c r="M21" i="23"/>
  <c r="F24" i="23"/>
  <c r="G24" i="23"/>
  <c r="I24" i="23"/>
  <c r="J24" i="23"/>
  <c r="K24" i="23"/>
  <c r="L24" i="23"/>
  <c r="M24" i="23"/>
  <c r="F27" i="23"/>
  <c r="G27" i="23"/>
  <c r="I27" i="23"/>
  <c r="J27" i="23"/>
  <c r="K27" i="23"/>
  <c r="L27" i="23"/>
  <c r="M27" i="23"/>
  <c r="F30" i="23"/>
  <c r="G30" i="23"/>
  <c r="I30" i="23"/>
  <c r="J30" i="23"/>
  <c r="K30" i="23"/>
  <c r="L30" i="23"/>
  <c r="M30" i="23"/>
  <c r="F33" i="23"/>
  <c r="G33" i="23"/>
  <c r="I33" i="23"/>
  <c r="J33" i="23"/>
  <c r="K33" i="23"/>
  <c r="L33" i="23"/>
  <c r="M33" i="23"/>
  <c r="F36" i="23"/>
  <c r="G36" i="23"/>
  <c r="I36" i="23"/>
  <c r="J36" i="23"/>
  <c r="K36" i="23"/>
  <c r="L36" i="23"/>
  <c r="M36" i="23"/>
  <c r="F39" i="23"/>
  <c r="G39" i="23"/>
  <c r="I39" i="23"/>
  <c r="J39" i="23"/>
  <c r="K39" i="23"/>
  <c r="L39" i="23"/>
  <c r="M39" i="23"/>
  <c r="AH52" i="1" l="1"/>
  <c r="AF53" i="1" s="1"/>
  <c r="AG52" i="1"/>
  <c r="AK52" i="1" s="1"/>
  <c r="M39" i="24"/>
  <c r="L39" i="24"/>
  <c r="K39" i="24"/>
  <c r="J39" i="24"/>
  <c r="I39" i="24"/>
  <c r="G39" i="24"/>
  <c r="F39" i="24"/>
  <c r="M36" i="24"/>
  <c r="L36" i="24"/>
  <c r="K36" i="24"/>
  <c r="J36" i="24"/>
  <c r="I36" i="24"/>
  <c r="G36" i="24"/>
  <c r="F36" i="24"/>
  <c r="M33" i="24"/>
  <c r="L33" i="24"/>
  <c r="K33" i="24"/>
  <c r="J33" i="24"/>
  <c r="I33" i="24"/>
  <c r="G33" i="24"/>
  <c r="F33" i="24"/>
  <c r="M30" i="24"/>
  <c r="L30" i="24"/>
  <c r="K30" i="24"/>
  <c r="J30" i="24"/>
  <c r="I30" i="24"/>
  <c r="G30" i="24"/>
  <c r="F30" i="24"/>
  <c r="M27" i="24"/>
  <c r="L27" i="24"/>
  <c r="K27" i="24"/>
  <c r="J27" i="24"/>
  <c r="I27" i="24"/>
  <c r="G27" i="24"/>
  <c r="F27" i="24"/>
  <c r="M24" i="24"/>
  <c r="L24" i="24"/>
  <c r="K24" i="24"/>
  <c r="J24" i="24"/>
  <c r="I24" i="24"/>
  <c r="G24" i="24"/>
  <c r="F24" i="24"/>
  <c r="M21" i="24"/>
  <c r="L21" i="24"/>
  <c r="K21" i="24"/>
  <c r="J21" i="24"/>
  <c r="I21" i="24"/>
  <c r="G21" i="24"/>
  <c r="F21" i="24"/>
  <c r="M18" i="24"/>
  <c r="L18" i="24"/>
  <c r="K18" i="24"/>
  <c r="J18" i="24"/>
  <c r="I18" i="24"/>
  <c r="G18" i="24"/>
  <c r="F18" i="24"/>
  <c r="M15" i="24"/>
  <c r="L15" i="24"/>
  <c r="K15" i="24"/>
  <c r="J15" i="24"/>
  <c r="I15" i="24"/>
  <c r="G15" i="24"/>
  <c r="M12" i="24"/>
  <c r="K12" i="24"/>
  <c r="J12" i="24"/>
  <c r="I12" i="24"/>
  <c r="H12" i="24"/>
  <c r="G12" i="24"/>
  <c r="AH53" i="1" l="1"/>
  <c r="AG53" i="1"/>
  <c r="AK53" i="1" s="1"/>
  <c r="F221" i="13"/>
  <c r="F211" i="13"/>
  <c r="F212" i="13"/>
  <c r="F213" i="13"/>
  <c r="F214" i="13"/>
  <c r="F215" i="13"/>
  <c r="F216" i="13"/>
  <c r="F217" i="13"/>
  <c r="F218" i="13"/>
  <c r="F219" i="13"/>
  <c r="F220" i="13"/>
  <c r="F210" i="13"/>
  <c r="AL44" i="18"/>
  <c r="AJ44" i="18"/>
  <c r="AF44" i="18"/>
  <c r="AD44" i="18"/>
  <c r="Z44" i="18"/>
  <c r="X44" i="18"/>
  <c r="T44" i="18"/>
  <c r="R44" i="18"/>
  <c r="N44" i="18"/>
  <c r="L44" i="18"/>
  <c r="AL36" i="18"/>
  <c r="AJ36" i="18"/>
  <c r="AF36" i="18"/>
  <c r="AD36" i="18"/>
  <c r="Z36" i="18"/>
  <c r="X36" i="18"/>
  <c r="T36" i="18"/>
  <c r="R36" i="18"/>
  <c r="N36" i="18"/>
  <c r="L36" i="18"/>
  <c r="AL28" i="18"/>
  <c r="AJ28" i="18"/>
  <c r="AF28" i="18"/>
  <c r="AD28" i="18"/>
  <c r="Z28" i="18"/>
  <c r="X28" i="18"/>
  <c r="T28" i="18"/>
  <c r="R28" i="18"/>
  <c r="N28" i="18"/>
  <c r="L28" i="18"/>
  <c r="AL20" i="18"/>
  <c r="AJ20" i="18"/>
  <c r="AF20" i="18"/>
  <c r="AD20" i="18"/>
  <c r="Z20" i="18"/>
  <c r="X20" i="18"/>
  <c r="T20" i="18"/>
  <c r="R20" i="18"/>
  <c r="N20" i="18"/>
  <c r="L20" i="18"/>
  <c r="AL12" i="18"/>
  <c r="AJ12" i="18"/>
  <c r="AF12" i="18"/>
  <c r="AD12" i="18"/>
  <c r="Z12" i="18"/>
  <c r="X12" i="18"/>
  <c r="T12" i="18"/>
  <c r="R12" i="18"/>
  <c r="N12" i="18"/>
  <c r="L12" i="18"/>
  <c r="P38" i="1"/>
  <c r="Q38" i="1" s="1"/>
  <c r="AF38" i="1" s="1"/>
  <c r="P33" i="1"/>
  <c r="Q33" i="1" s="1"/>
  <c r="AF33" i="1" s="1"/>
  <c r="P29" i="1"/>
  <c r="Q29" i="1" s="1"/>
  <c r="AF29" i="1" s="1"/>
  <c r="P27" i="1"/>
  <c r="Q27" i="1" s="1"/>
  <c r="AF27" i="1" s="1"/>
  <c r="P25" i="1"/>
  <c r="Q25" i="1" s="1"/>
  <c r="AF25" i="1" s="1"/>
  <c r="P22" i="1"/>
  <c r="Q22" i="1" s="1"/>
  <c r="AF22" i="1" s="1"/>
  <c r="P20" i="1"/>
  <c r="Q20" i="1" s="1"/>
  <c r="AF20" i="1" s="1"/>
  <c r="P17" i="1"/>
  <c r="Q17" i="1" s="1"/>
  <c r="AF17" i="1" s="1"/>
  <c r="P15" i="1"/>
  <c r="Q15" i="1" s="1"/>
  <c r="AF15" i="1" s="1"/>
  <c r="H210" i="13"/>
  <c r="B221" i="13" a="1"/>
  <c r="AG38" i="1" l="1"/>
  <c r="AH38" i="1"/>
  <c r="AF39" i="1" s="1"/>
  <c r="AG33" i="1"/>
  <c r="AH33" i="1"/>
  <c r="AF34" i="1" s="1"/>
  <c r="AG22" i="1"/>
  <c r="AH22" i="1"/>
  <c r="AF23" i="1" s="1"/>
  <c r="AG29" i="1"/>
  <c r="AH29" i="1"/>
  <c r="AF30" i="1" s="1"/>
  <c r="AG27" i="1"/>
  <c r="AH27" i="1"/>
  <c r="AF28" i="1" s="1"/>
  <c r="AG15" i="1"/>
  <c r="AH15" i="1"/>
  <c r="AF16" i="1" s="1"/>
  <c r="AG25" i="1"/>
  <c r="AH25" i="1"/>
  <c r="AF26" i="1" s="1"/>
  <c r="AG17" i="1"/>
  <c r="AH17" i="1"/>
  <c r="AF18" i="1" s="1"/>
  <c r="AH20" i="1"/>
  <c r="AF21" i="1" s="1"/>
  <c r="AG20" i="1"/>
  <c r="B221" i="13"/>
  <c r="B223" i="13"/>
  <c r="B222" i="13"/>
  <c r="S80" i="1" l="1"/>
  <c r="T80" i="1" s="1"/>
  <c r="V80" i="1" s="1"/>
  <c r="S131" i="1"/>
  <c r="T131" i="1" s="1"/>
  <c r="U131" i="1" s="1"/>
  <c r="AJ131" i="1" s="1"/>
  <c r="S246" i="1"/>
  <c r="T246" i="1" s="1"/>
  <c r="V246" i="1" s="1"/>
  <c r="S242" i="1"/>
  <c r="T242" i="1" s="1"/>
  <c r="U242" i="1" s="1"/>
  <c r="AJ242" i="1" s="1"/>
  <c r="AI242" i="1" s="1"/>
  <c r="AK242" i="1" s="1"/>
  <c r="S243" i="1"/>
  <c r="T243" i="1" s="1"/>
  <c r="S197" i="1"/>
  <c r="T197" i="1" s="1"/>
  <c r="U197" i="1" s="1"/>
  <c r="AJ197" i="1" s="1"/>
  <c r="S200" i="1"/>
  <c r="T200" i="1" s="1"/>
  <c r="S127" i="1"/>
  <c r="T127" i="1" s="1"/>
  <c r="U127" i="1" s="1"/>
  <c r="AJ127" i="1" s="1"/>
  <c r="S128" i="1"/>
  <c r="T128" i="1" s="1"/>
  <c r="S253" i="1"/>
  <c r="T253" i="1" s="1"/>
  <c r="S252" i="1"/>
  <c r="T252" i="1" s="1"/>
  <c r="U252" i="1" s="1"/>
  <c r="AJ252" i="1" s="1"/>
  <c r="S13" i="1"/>
  <c r="T13" i="1" s="1"/>
  <c r="U13" i="1" s="1"/>
  <c r="AJ13" i="1" s="1"/>
  <c r="S15" i="1"/>
  <c r="T15" i="1" s="1"/>
  <c r="S60" i="1"/>
  <c r="T60" i="1" s="1"/>
  <c r="S91" i="1"/>
  <c r="T91" i="1" s="1"/>
  <c r="S137" i="1"/>
  <c r="T137" i="1" s="1"/>
  <c r="S163" i="1"/>
  <c r="T163" i="1" s="1"/>
  <c r="S229" i="1"/>
  <c r="T229" i="1" s="1"/>
  <c r="S203" i="1"/>
  <c r="T203" i="1" s="1"/>
  <c r="S40" i="1"/>
  <c r="T40" i="1" s="1"/>
  <c r="S83" i="1"/>
  <c r="T83" i="1" s="1"/>
  <c r="S110" i="1"/>
  <c r="T110" i="1" s="1"/>
  <c r="S153" i="1"/>
  <c r="T153" i="1" s="1"/>
  <c r="S238" i="1"/>
  <c r="T238" i="1" s="1"/>
  <c r="S20" i="1"/>
  <c r="T20" i="1" s="1"/>
  <c r="S67" i="1"/>
  <c r="T67" i="1" s="1"/>
  <c r="S95" i="1"/>
  <c r="T95" i="1" s="1"/>
  <c r="S140" i="1"/>
  <c r="T140" i="1" s="1"/>
  <c r="S172" i="1"/>
  <c r="T172" i="1" s="1"/>
  <c r="S234" i="1"/>
  <c r="T234" i="1" s="1"/>
  <c r="S158" i="1"/>
  <c r="T158" i="1" s="1"/>
  <c r="S178" i="1"/>
  <c r="T178" i="1" s="1"/>
  <c r="S249" i="1"/>
  <c r="T249" i="1" s="1"/>
  <c r="S43" i="1"/>
  <c r="T43" i="1" s="1"/>
  <c r="S86" i="1"/>
  <c r="T86" i="1" s="1"/>
  <c r="S112" i="1"/>
  <c r="T112" i="1" s="1"/>
  <c r="S210" i="1"/>
  <c r="T210" i="1" s="1"/>
  <c r="S25" i="1"/>
  <c r="T25" i="1" s="1"/>
  <c r="S71" i="1"/>
  <c r="T71" i="1" s="1"/>
  <c r="S97" i="1"/>
  <c r="T97" i="1" s="1"/>
  <c r="S144" i="1"/>
  <c r="T144" i="1" s="1"/>
  <c r="S45" i="1"/>
  <c r="T45" i="1" s="1"/>
  <c r="S88" i="1"/>
  <c r="T88" i="1" s="1"/>
  <c r="S116" i="1"/>
  <c r="T116" i="1" s="1"/>
  <c r="S219" i="1"/>
  <c r="T219" i="1" s="1"/>
  <c r="S29" i="1"/>
  <c r="T29" i="1" s="1"/>
  <c r="S75" i="1"/>
  <c r="T75" i="1" s="1"/>
  <c r="S102" i="1"/>
  <c r="T102" i="1" s="1"/>
  <c r="S147" i="1"/>
  <c r="T147" i="1" s="1"/>
  <c r="S187" i="1"/>
  <c r="T187" i="1" s="1"/>
  <c r="S57" i="1"/>
  <c r="T57" i="1" s="1"/>
  <c r="S90" i="1"/>
  <c r="T90" i="1" s="1"/>
  <c r="S124" i="1"/>
  <c r="T124" i="1" s="1"/>
  <c r="S162" i="1"/>
  <c r="T162" i="1" s="1"/>
  <c r="S224" i="1"/>
  <c r="T224" i="1" s="1"/>
  <c r="S233" i="1"/>
  <c r="T233" i="1" s="1"/>
  <c r="S191" i="1"/>
  <c r="T191" i="1" s="1"/>
  <c r="S38" i="1"/>
  <c r="T38" i="1" s="1"/>
  <c r="S81" i="1"/>
  <c r="T81" i="1" s="1"/>
  <c r="S106" i="1"/>
  <c r="T106" i="1" s="1"/>
  <c r="S151" i="1"/>
  <c r="T151" i="1" s="1"/>
  <c r="S195" i="1"/>
  <c r="T195" i="1" s="1"/>
  <c r="S250" i="1"/>
  <c r="T250" i="1" s="1"/>
  <c r="S17" i="1"/>
  <c r="T17" i="1" s="1"/>
  <c r="S62" i="1"/>
  <c r="T62" i="1" s="1"/>
  <c r="S93" i="1"/>
  <c r="T93" i="1" s="1"/>
  <c r="S139" i="1"/>
  <c r="T139" i="1" s="1"/>
  <c r="S168" i="1"/>
  <c r="T168" i="1" s="1"/>
  <c r="S42" i="1"/>
  <c r="T42" i="1" s="1"/>
  <c r="S85" i="1"/>
  <c r="T85" i="1" s="1"/>
  <c r="S111" i="1"/>
  <c r="T111" i="1" s="1"/>
  <c r="S156" i="1"/>
  <c r="T156" i="1" s="1"/>
  <c r="S206" i="1"/>
  <c r="T206" i="1" s="1"/>
  <c r="S104" i="1"/>
  <c r="T104" i="1" s="1"/>
  <c r="S22" i="1"/>
  <c r="T22" i="1" s="1"/>
  <c r="S69" i="1"/>
  <c r="T69" i="1" s="1"/>
  <c r="S96" i="1"/>
  <c r="T96" i="1" s="1"/>
  <c r="S142" i="1"/>
  <c r="T142" i="1" s="1"/>
  <c r="S174" i="1"/>
  <c r="T174" i="1" s="1"/>
  <c r="S236" i="1"/>
  <c r="T236" i="1" s="1"/>
  <c r="S149" i="1"/>
  <c r="T149" i="1" s="1"/>
  <c r="S44" i="1"/>
  <c r="T44" i="1" s="1"/>
  <c r="S87" i="1"/>
  <c r="T87" i="1" s="1"/>
  <c r="S113" i="1"/>
  <c r="T113" i="1" s="1"/>
  <c r="S160" i="1"/>
  <c r="T160" i="1" s="1"/>
  <c r="S214" i="1"/>
  <c r="T214" i="1" s="1"/>
  <c r="S27" i="1"/>
  <c r="T27" i="1" s="1"/>
  <c r="S74" i="1"/>
  <c r="T74" i="1" s="1"/>
  <c r="S99" i="1"/>
  <c r="T99" i="1" s="1"/>
  <c r="S145" i="1"/>
  <c r="T145" i="1" s="1"/>
  <c r="S184" i="1"/>
  <c r="T184" i="1" s="1"/>
  <c r="S240" i="1"/>
  <c r="T240" i="1" s="1"/>
  <c r="S221" i="1"/>
  <c r="T221" i="1" s="1"/>
  <c r="S33" i="1"/>
  <c r="T33" i="1" s="1"/>
  <c r="S54" i="1"/>
  <c r="T54" i="1" s="1"/>
  <c r="S89" i="1"/>
  <c r="T89" i="1" s="1"/>
  <c r="S120" i="1"/>
  <c r="T120" i="1" s="1"/>
  <c r="S77" i="1"/>
  <c r="T77" i="1" s="1"/>
  <c r="AG18" i="1"/>
  <c r="AH18" i="1"/>
  <c r="AF19" i="1" s="1"/>
  <c r="AG34" i="1"/>
  <c r="AH34" i="1"/>
  <c r="AF35" i="1" s="1"/>
  <c r="AG26" i="1"/>
  <c r="AH26" i="1"/>
  <c r="AH21" i="1"/>
  <c r="AG21" i="1"/>
  <c r="AG30" i="1"/>
  <c r="AH30" i="1"/>
  <c r="AF31" i="1" s="1"/>
  <c r="AH39" i="1"/>
  <c r="AG39" i="1"/>
  <c r="AG28" i="1"/>
  <c r="AH28" i="1"/>
  <c r="AG16" i="1"/>
  <c r="AH16" i="1"/>
  <c r="AG23" i="1"/>
  <c r="AH23" i="1"/>
  <c r="AF24" i="1" s="1"/>
  <c r="U80" i="1" l="1"/>
  <c r="V131" i="1"/>
  <c r="AI131" i="1"/>
  <c r="AK131" i="1" s="1"/>
  <c r="AJ132" i="1"/>
  <c r="AI132" i="1" s="1"/>
  <c r="AK132" i="1" s="1"/>
  <c r="U246" i="1"/>
  <c r="AJ246" i="1" s="1"/>
  <c r="AI246" i="1" s="1"/>
  <c r="AK246" i="1" s="1"/>
  <c r="V242" i="1"/>
  <c r="V243" i="1"/>
  <c r="U243" i="1"/>
  <c r="AJ243" i="1" s="1"/>
  <c r="AI197" i="1"/>
  <c r="AK197" i="1" s="1"/>
  <c r="AJ198" i="1"/>
  <c r="AI252" i="1"/>
  <c r="AK252" i="1" s="1"/>
  <c r="AI127" i="1"/>
  <c r="AK127" i="1" s="1"/>
  <c r="V197" i="1"/>
  <c r="U200" i="1"/>
  <c r="AJ200" i="1" s="1"/>
  <c r="V200" i="1"/>
  <c r="V127" i="1"/>
  <c r="U128" i="1"/>
  <c r="AJ128" i="1" s="1"/>
  <c r="V128" i="1"/>
  <c r="U253" i="1"/>
  <c r="AJ253" i="1" s="1"/>
  <c r="V253" i="1"/>
  <c r="V252" i="1"/>
  <c r="V13" i="1"/>
  <c r="AI13" i="1"/>
  <c r="AK13" i="1" s="1"/>
  <c r="AJ14" i="1"/>
  <c r="U22" i="1"/>
  <c r="AJ22" i="1" s="1"/>
  <c r="V22" i="1"/>
  <c r="U140" i="1"/>
  <c r="AJ140" i="1" s="1"/>
  <c r="V140" i="1"/>
  <c r="V99" i="1"/>
  <c r="U99" i="1"/>
  <c r="AJ99" i="1" s="1"/>
  <c r="U206" i="1"/>
  <c r="AJ206" i="1" s="1"/>
  <c r="V206" i="1"/>
  <c r="U191" i="1"/>
  <c r="AJ191" i="1" s="1"/>
  <c r="V191" i="1"/>
  <c r="U88" i="1"/>
  <c r="AJ88" i="1" s="1"/>
  <c r="V88" i="1"/>
  <c r="U95" i="1"/>
  <c r="AJ95" i="1" s="1"/>
  <c r="V95" i="1"/>
  <c r="V74" i="1"/>
  <c r="U74" i="1"/>
  <c r="AJ74" i="1" s="1"/>
  <c r="U156" i="1"/>
  <c r="AJ156" i="1" s="1"/>
  <c r="V156" i="1"/>
  <c r="U233" i="1"/>
  <c r="AJ233" i="1" s="1"/>
  <c r="V233" i="1"/>
  <c r="U45" i="1"/>
  <c r="AJ45" i="1" s="1"/>
  <c r="V45" i="1"/>
  <c r="U67" i="1"/>
  <c r="AJ67" i="1" s="1"/>
  <c r="V67" i="1"/>
  <c r="V145" i="1"/>
  <c r="U145" i="1"/>
  <c r="AJ145" i="1" s="1"/>
  <c r="U111" i="1"/>
  <c r="AJ111" i="1" s="1"/>
  <c r="V111" i="1"/>
  <c r="U224" i="1"/>
  <c r="AJ224" i="1" s="1"/>
  <c r="V224" i="1"/>
  <c r="U144" i="1"/>
  <c r="AJ144" i="1" s="1"/>
  <c r="V144" i="1"/>
  <c r="U20" i="1"/>
  <c r="AJ20" i="1" s="1"/>
  <c r="V20" i="1"/>
  <c r="V142" i="1"/>
  <c r="U142" i="1"/>
  <c r="AJ142" i="1" s="1"/>
  <c r="U162" i="1"/>
  <c r="AJ162" i="1" s="1"/>
  <c r="V162" i="1"/>
  <c r="U97" i="1"/>
  <c r="AJ97" i="1" s="1"/>
  <c r="V97" i="1"/>
  <c r="U238" i="1"/>
  <c r="AJ238" i="1" s="1"/>
  <c r="V238" i="1"/>
  <c r="U33" i="1"/>
  <c r="AJ33" i="1" s="1"/>
  <c r="V33" i="1"/>
  <c r="U116" i="1"/>
  <c r="AJ116" i="1" s="1"/>
  <c r="V116" i="1"/>
  <c r="U42" i="1"/>
  <c r="AJ42" i="1" s="1"/>
  <c r="V42" i="1"/>
  <c r="U124" i="1"/>
  <c r="AJ124" i="1" s="1"/>
  <c r="V124" i="1"/>
  <c r="U71" i="1"/>
  <c r="AJ71" i="1" s="1"/>
  <c r="V71" i="1"/>
  <c r="V153" i="1"/>
  <c r="U153" i="1"/>
  <c r="AJ153" i="1" s="1"/>
  <c r="U38" i="1"/>
  <c r="AJ38" i="1" s="1"/>
  <c r="V38" i="1"/>
  <c r="V113" i="1"/>
  <c r="U113" i="1"/>
  <c r="AJ113" i="1" s="1"/>
  <c r="U168" i="1"/>
  <c r="AJ168" i="1" s="1"/>
  <c r="V168" i="1"/>
  <c r="U90" i="1"/>
  <c r="AJ90" i="1" s="1"/>
  <c r="V90" i="1"/>
  <c r="U25" i="1"/>
  <c r="AJ25" i="1" s="1"/>
  <c r="V25" i="1"/>
  <c r="U110" i="1"/>
  <c r="AJ110" i="1" s="1"/>
  <c r="V110" i="1"/>
  <c r="U221" i="1"/>
  <c r="AJ221" i="1" s="1"/>
  <c r="V221" i="1"/>
  <c r="U214" i="1"/>
  <c r="AJ214" i="1" s="1"/>
  <c r="V214" i="1"/>
  <c r="V87" i="1"/>
  <c r="U87" i="1"/>
  <c r="AJ87" i="1" s="1"/>
  <c r="U57" i="1"/>
  <c r="AJ57" i="1" s="1"/>
  <c r="V57" i="1"/>
  <c r="U83" i="1"/>
  <c r="AJ83" i="1" s="1"/>
  <c r="V83" i="1"/>
  <c r="V27" i="1"/>
  <c r="U27" i="1"/>
  <c r="AJ27" i="1" s="1"/>
  <c r="U77" i="1"/>
  <c r="AJ77" i="1" s="1"/>
  <c r="V77" i="1"/>
  <c r="U139" i="1"/>
  <c r="AJ139" i="1" s="1"/>
  <c r="V139" i="1"/>
  <c r="U210" i="1"/>
  <c r="AJ210" i="1" s="1"/>
  <c r="V210" i="1"/>
  <c r="V44" i="1"/>
  <c r="U44" i="1"/>
  <c r="AJ44" i="1" s="1"/>
  <c r="U93" i="1"/>
  <c r="AJ93" i="1" s="1"/>
  <c r="V93" i="1"/>
  <c r="U112" i="1"/>
  <c r="AJ112" i="1" s="1"/>
  <c r="V112" i="1"/>
  <c r="U40" i="1"/>
  <c r="AJ40" i="1" s="1"/>
  <c r="V40" i="1"/>
  <c r="V184" i="1"/>
  <c r="U184" i="1"/>
  <c r="AJ184" i="1" s="1"/>
  <c r="U85" i="1"/>
  <c r="AJ85" i="1" s="1"/>
  <c r="V85" i="1"/>
  <c r="U120" i="1"/>
  <c r="AJ120" i="1" s="1"/>
  <c r="V120" i="1"/>
  <c r="U86" i="1"/>
  <c r="AJ86" i="1" s="1"/>
  <c r="V86" i="1"/>
  <c r="U104" i="1"/>
  <c r="AJ104" i="1" s="1"/>
  <c r="V104" i="1"/>
  <c r="V160" i="1"/>
  <c r="U160" i="1"/>
  <c r="AJ160" i="1" s="1"/>
  <c r="U149" i="1"/>
  <c r="AJ149" i="1" s="1"/>
  <c r="V149" i="1"/>
  <c r="U62" i="1"/>
  <c r="AJ62" i="1" s="1"/>
  <c r="V62" i="1"/>
  <c r="U187" i="1"/>
  <c r="AJ187" i="1" s="1"/>
  <c r="V187" i="1"/>
  <c r="V203" i="1"/>
  <c r="U203" i="1"/>
  <c r="AJ203" i="1" s="1"/>
  <c r="U89" i="1"/>
  <c r="AJ89" i="1" s="1"/>
  <c r="V89" i="1"/>
  <c r="V236" i="1"/>
  <c r="U236" i="1"/>
  <c r="AJ236" i="1" s="1"/>
  <c r="U17" i="1"/>
  <c r="AJ17" i="1" s="1"/>
  <c r="V17" i="1"/>
  <c r="U147" i="1"/>
  <c r="AJ147" i="1" s="1"/>
  <c r="V147" i="1"/>
  <c r="U43" i="1"/>
  <c r="AJ43" i="1" s="1"/>
  <c r="AI43" i="1" s="1"/>
  <c r="AK43" i="1" s="1"/>
  <c r="V43" i="1"/>
  <c r="U229" i="1"/>
  <c r="AJ229" i="1" s="1"/>
  <c r="V229" i="1"/>
  <c r="U174" i="1"/>
  <c r="AJ174" i="1" s="1"/>
  <c r="V174" i="1"/>
  <c r="U250" i="1"/>
  <c r="AJ250" i="1" s="1"/>
  <c r="V250" i="1"/>
  <c r="U102" i="1"/>
  <c r="AJ102" i="1" s="1"/>
  <c r="V102" i="1"/>
  <c r="U249" i="1"/>
  <c r="AJ249" i="1" s="1"/>
  <c r="V249" i="1"/>
  <c r="U163" i="1"/>
  <c r="AJ163" i="1" s="1"/>
  <c r="V163" i="1"/>
  <c r="U195" i="1"/>
  <c r="AJ195" i="1" s="1"/>
  <c r="V195" i="1"/>
  <c r="U75" i="1"/>
  <c r="AJ75" i="1" s="1"/>
  <c r="V75" i="1"/>
  <c r="U178" i="1"/>
  <c r="AJ178" i="1" s="1"/>
  <c r="V178" i="1"/>
  <c r="U137" i="1"/>
  <c r="AJ137" i="1" s="1"/>
  <c r="V137" i="1"/>
  <c r="U54" i="1"/>
  <c r="AJ54" i="1" s="1"/>
  <c r="V54" i="1"/>
  <c r="U96" i="1"/>
  <c r="AJ96" i="1" s="1"/>
  <c r="V96" i="1"/>
  <c r="U151" i="1"/>
  <c r="AJ151" i="1" s="1"/>
  <c r="V151" i="1"/>
  <c r="U29" i="1"/>
  <c r="AJ29" i="1" s="1"/>
  <c r="V29" i="1"/>
  <c r="U158" i="1"/>
  <c r="AJ158" i="1" s="1"/>
  <c r="V158" i="1"/>
  <c r="U91" i="1"/>
  <c r="AJ91" i="1" s="1"/>
  <c r="V91" i="1"/>
  <c r="V240" i="1"/>
  <c r="U240" i="1"/>
  <c r="AJ240" i="1" s="1"/>
  <c r="U69" i="1"/>
  <c r="AJ69" i="1" s="1"/>
  <c r="V69" i="1"/>
  <c r="U106" i="1"/>
  <c r="AJ106" i="1" s="1"/>
  <c r="V106" i="1"/>
  <c r="U219" i="1"/>
  <c r="AJ219" i="1" s="1"/>
  <c r="V219" i="1"/>
  <c r="U234" i="1"/>
  <c r="AJ234" i="1" s="1"/>
  <c r="V234" i="1"/>
  <c r="U60" i="1"/>
  <c r="AJ60" i="1" s="1"/>
  <c r="V60" i="1"/>
  <c r="U81" i="1"/>
  <c r="AJ81" i="1" s="1"/>
  <c r="V81" i="1"/>
  <c r="U172" i="1"/>
  <c r="AJ172" i="1" s="1"/>
  <c r="V172" i="1"/>
  <c r="U15" i="1"/>
  <c r="AJ15" i="1" s="1"/>
  <c r="V15" i="1"/>
  <c r="AH31" i="1"/>
  <c r="AF32" i="1" s="1"/>
  <c r="AG31" i="1"/>
  <c r="AG35" i="1"/>
  <c r="AH35" i="1"/>
  <c r="AF36" i="1" s="1"/>
  <c r="AG24" i="1"/>
  <c r="AH24" i="1"/>
  <c r="AH19" i="1"/>
  <c r="AG19" i="1"/>
  <c r="AF38" i="18"/>
  <c r="Z38" i="18"/>
  <c r="Z22" i="18"/>
  <c r="AL38" i="18"/>
  <c r="N22" i="18"/>
  <c r="AF30" i="18"/>
  <c r="T22" i="18"/>
  <c r="AL22" i="18"/>
  <c r="AL6" i="18"/>
  <c r="T14" i="18"/>
  <c r="N38" i="18"/>
  <c r="AL30" i="18"/>
  <c r="T30" i="18"/>
  <c r="T6" i="18"/>
  <c r="AF14" i="18"/>
  <c r="Z14" i="18"/>
  <c r="N14" i="18"/>
  <c r="N6" i="18"/>
  <c r="N30" i="18"/>
  <c r="T38" i="18"/>
  <c r="AL14" i="18"/>
  <c r="AF22" i="18"/>
  <c r="Z30" i="18"/>
  <c r="AF6" i="18"/>
  <c r="Z6" i="18"/>
  <c r="AF18" i="18"/>
  <c r="Z26" i="18"/>
  <c r="AF42" i="18"/>
  <c r="AF34" i="18"/>
  <c r="N18" i="18"/>
  <c r="AL34" i="18"/>
  <c r="AL42" i="18"/>
  <c r="AF26" i="18"/>
  <c r="Z42" i="18"/>
  <c r="T26" i="18"/>
  <c r="AL10" i="18"/>
  <c r="T42" i="18"/>
  <c r="Z18" i="18"/>
  <c r="N10" i="18"/>
  <c r="AL26" i="18"/>
  <c r="N34" i="18"/>
  <c r="N42" i="18"/>
  <c r="Z10" i="18"/>
  <c r="T10" i="18"/>
  <c r="T18" i="18"/>
  <c r="AL18" i="18"/>
  <c r="AF10" i="18"/>
  <c r="N26" i="18"/>
  <c r="T34" i="18"/>
  <c r="Z34" i="18"/>
  <c r="P24" i="18"/>
  <c r="V24" i="18"/>
  <c r="AH8" i="18"/>
  <c r="AB24" i="18"/>
  <c r="V32" i="18"/>
  <c r="V40" i="18"/>
  <c r="P16" i="18"/>
  <c r="J24" i="18"/>
  <c r="AH24" i="18"/>
  <c r="AH16" i="18"/>
  <c r="J8" i="18"/>
  <c r="AB32" i="18"/>
  <c r="J16" i="18"/>
  <c r="J32" i="18"/>
  <c r="AH40" i="18"/>
  <c r="P32" i="18"/>
  <c r="V16" i="18"/>
  <c r="AH32" i="18"/>
  <c r="AB16" i="18"/>
  <c r="P40" i="18"/>
  <c r="AB8" i="18"/>
  <c r="P8" i="18"/>
  <c r="J40" i="18"/>
  <c r="V8" i="18"/>
  <c r="AB40" i="18"/>
  <c r="V30" i="18"/>
  <c r="P22" i="18"/>
  <c r="J22" i="18"/>
  <c r="AB22" i="18"/>
  <c r="P38" i="18"/>
  <c r="AH22" i="18"/>
  <c r="AH6" i="18"/>
  <c r="AB6" i="18"/>
  <c r="AH38" i="18"/>
  <c r="J6" i="18"/>
  <c r="J14" i="18"/>
  <c r="J38" i="18"/>
  <c r="V38" i="18"/>
  <c r="V22" i="18"/>
  <c r="AB38" i="18"/>
  <c r="V6" i="18"/>
  <c r="P14" i="18"/>
  <c r="J30" i="18"/>
  <c r="AH14" i="18"/>
  <c r="AB14" i="18"/>
  <c r="AH30" i="18"/>
  <c r="P30" i="18"/>
  <c r="P6" i="18"/>
  <c r="AB30" i="18"/>
  <c r="V14" i="18"/>
  <c r="R38" i="18"/>
  <c r="R14" i="18"/>
  <c r="X38" i="18"/>
  <c r="X6" i="18"/>
  <c r="L38" i="18"/>
  <c r="AJ6" i="18"/>
  <c r="R6" i="18"/>
  <c r="AJ14" i="18"/>
  <c r="L30" i="18"/>
  <c r="AJ22" i="18"/>
  <c r="R30" i="18"/>
  <c r="AJ38" i="18"/>
  <c r="AJ30" i="18"/>
  <c r="X14" i="18"/>
  <c r="X22" i="18"/>
  <c r="L22" i="18"/>
  <c r="AD14" i="18"/>
  <c r="L6" i="18"/>
  <c r="AD30" i="18"/>
  <c r="AD22" i="18"/>
  <c r="AD6" i="18"/>
  <c r="AD38" i="18"/>
  <c r="R22" i="18"/>
  <c r="X30" i="18"/>
  <c r="L14" i="18"/>
  <c r="AD34" i="18"/>
  <c r="L10" i="18"/>
  <c r="R42" i="18"/>
  <c r="AD26" i="18"/>
  <c r="AJ34" i="18"/>
  <c r="X26" i="18"/>
  <c r="AD10" i="18"/>
  <c r="X34" i="18"/>
  <c r="L34" i="18"/>
  <c r="X42" i="18"/>
  <c r="AD18" i="18"/>
  <c r="AD42" i="18"/>
  <c r="L18" i="18"/>
  <c r="L42" i="18"/>
  <c r="X10" i="18"/>
  <c r="AJ10" i="18"/>
  <c r="R10" i="18"/>
  <c r="AJ18" i="18"/>
  <c r="L26" i="18"/>
  <c r="R34" i="18"/>
  <c r="R26" i="18"/>
  <c r="X18" i="18"/>
  <c r="R18" i="18"/>
  <c r="AJ42" i="18"/>
  <c r="AJ26" i="18"/>
  <c r="T16" i="18"/>
  <c r="Z24" i="18"/>
  <c r="AL8" i="18"/>
  <c r="T32" i="18"/>
  <c r="AF24" i="18"/>
  <c r="N32" i="18"/>
  <c r="AF16" i="18"/>
  <c r="AF8" i="18"/>
  <c r="AL24" i="18"/>
  <c r="AF32" i="18"/>
  <c r="Z40" i="18"/>
  <c r="AL40" i="18"/>
  <c r="N40" i="18"/>
  <c r="T24" i="18"/>
  <c r="Z8" i="18"/>
  <c r="T8" i="18"/>
  <c r="N16" i="18"/>
  <c r="Z32" i="18"/>
  <c r="N8" i="18"/>
  <c r="AF40" i="18"/>
  <c r="AL16" i="18"/>
  <c r="AL32" i="18"/>
  <c r="Z16" i="18"/>
  <c r="N24" i="18"/>
  <c r="T40" i="18"/>
  <c r="V44" i="18"/>
  <c r="AB44" i="18"/>
  <c r="V28" i="18"/>
  <c r="AB12" i="18"/>
  <c r="AB36" i="18"/>
  <c r="AH36" i="18"/>
  <c r="AB20" i="18"/>
  <c r="P20" i="18"/>
  <c r="P44" i="18"/>
  <c r="AB28" i="18"/>
  <c r="AH12" i="18"/>
  <c r="P36" i="18"/>
  <c r="J12" i="18"/>
  <c r="P12" i="18"/>
  <c r="V12" i="18"/>
  <c r="J36" i="18"/>
  <c r="J28" i="18"/>
  <c r="J20" i="18"/>
  <c r="P28" i="18"/>
  <c r="V20" i="18"/>
  <c r="AH28" i="18"/>
  <c r="V36" i="18"/>
  <c r="AH20" i="18"/>
  <c r="J44" i="18"/>
  <c r="AH44" i="18"/>
  <c r="P26" i="18"/>
  <c r="J26" i="18"/>
  <c r="AB10" i="18"/>
  <c r="V10" i="18"/>
  <c r="V42" i="18"/>
  <c r="AH18" i="18"/>
  <c r="AB18" i="18"/>
  <c r="P42" i="18"/>
  <c r="AH34" i="18"/>
  <c r="J10" i="18"/>
  <c r="AB34" i="18"/>
  <c r="P10" i="18"/>
  <c r="AB42" i="18"/>
  <c r="J42" i="18"/>
  <c r="P34" i="18"/>
  <c r="AB26" i="18"/>
  <c r="V34" i="18"/>
  <c r="AH26" i="18"/>
  <c r="AH10" i="18"/>
  <c r="J18" i="18"/>
  <c r="V26" i="18"/>
  <c r="J34" i="18"/>
  <c r="P18" i="18"/>
  <c r="V18" i="18"/>
  <c r="AH42" i="18"/>
  <c r="R32" i="18"/>
  <c r="AJ40" i="18"/>
  <c r="AJ8" i="18"/>
  <c r="AJ24" i="18"/>
  <c r="X24" i="18"/>
  <c r="AJ32" i="18"/>
  <c r="X16" i="18"/>
  <c r="AD24" i="18"/>
  <c r="AD16" i="18"/>
  <c r="L32" i="18"/>
  <c r="X32" i="18"/>
  <c r="R8" i="18"/>
  <c r="L24" i="18"/>
  <c r="AD40" i="18"/>
  <c r="AJ16" i="18"/>
  <c r="R40" i="18"/>
  <c r="AD8" i="18"/>
  <c r="L40" i="18"/>
  <c r="X40" i="18"/>
  <c r="R24" i="18"/>
  <c r="X8" i="18"/>
  <c r="L8" i="18"/>
  <c r="AD32" i="18"/>
  <c r="R16" i="18"/>
  <c r="L16" i="18"/>
  <c r="AJ248" i="1" l="1"/>
  <c r="AI248" i="1" s="1"/>
  <c r="AK248" i="1" s="1"/>
  <c r="AJ247" i="1"/>
  <c r="AI247" i="1" s="1"/>
  <c r="AK247" i="1" s="1"/>
  <c r="AI243" i="1"/>
  <c r="AK243" i="1" s="1"/>
  <c r="AJ244" i="1"/>
  <c r="AI200" i="1"/>
  <c r="AK200" i="1" s="1"/>
  <c r="AJ201" i="1"/>
  <c r="AI198" i="1"/>
  <c r="AK198" i="1" s="1"/>
  <c r="AJ199" i="1"/>
  <c r="AI199" i="1" s="1"/>
  <c r="AK199" i="1" s="1"/>
  <c r="AI14" i="1"/>
  <c r="AK14" i="1" s="1"/>
  <c r="AI128" i="1"/>
  <c r="AK128" i="1" s="1"/>
  <c r="AJ129" i="1"/>
  <c r="AI253" i="1"/>
  <c r="AK253" i="1" s="1"/>
  <c r="AJ254" i="1"/>
  <c r="AI42" i="1"/>
  <c r="AK42" i="1" s="1"/>
  <c r="AG36" i="1"/>
  <c r="AH36" i="1"/>
  <c r="AF37" i="1" s="1"/>
  <c r="AG32" i="1"/>
  <c r="AH32" i="1"/>
  <c r="AI116" i="1"/>
  <c r="AK116" i="1" s="1"/>
  <c r="AJ117" i="1"/>
  <c r="AJ138" i="1"/>
  <c r="AI137" i="1"/>
  <c r="AK137" i="1" s="1"/>
  <c r="AI178" i="1"/>
  <c r="AK178" i="1" s="1"/>
  <c r="AJ179" i="1"/>
  <c r="AI234" i="1"/>
  <c r="AK234" i="1" s="1"/>
  <c r="AJ235" i="1"/>
  <c r="AI229" i="1"/>
  <c r="AK229" i="1" s="1"/>
  <c r="AJ230" i="1"/>
  <c r="AI139" i="1"/>
  <c r="AK139" i="1" s="1"/>
  <c r="AI147" i="1"/>
  <c r="AK147" i="1" s="1"/>
  <c r="AJ148" i="1"/>
  <c r="AI238" i="1"/>
  <c r="AK238" i="1" s="1"/>
  <c r="AJ239" i="1"/>
  <c r="AI162" i="1"/>
  <c r="AK162" i="1" s="1"/>
  <c r="AI149" i="1"/>
  <c r="AK149" i="1" s="1"/>
  <c r="AJ150" i="1"/>
  <c r="AI221" i="1"/>
  <c r="AK221" i="1" s="1"/>
  <c r="AJ222" i="1"/>
  <c r="AJ154" i="1"/>
  <c r="AI153" i="1"/>
  <c r="AK153" i="1" s="1"/>
  <c r="AI206" i="1"/>
  <c r="AK206" i="1" s="1"/>
  <c r="AJ207" i="1"/>
  <c r="AI214" i="1"/>
  <c r="AK214" i="1" s="1"/>
  <c r="AJ215" i="1"/>
  <c r="AI174" i="1"/>
  <c r="AK174" i="1" s="1"/>
  <c r="AJ175" i="1"/>
  <c r="AJ185" i="1"/>
  <c r="AI184" i="1"/>
  <c r="AK184" i="1" s="1"/>
  <c r="AJ157" i="1"/>
  <c r="AI156" i="1"/>
  <c r="AK156" i="1" s="1"/>
  <c r="AI163" i="1"/>
  <c r="AK163" i="1" s="1"/>
  <c r="AJ164" i="1"/>
  <c r="AJ241" i="1"/>
  <c r="AI240" i="1"/>
  <c r="AK240" i="1" s="1"/>
  <c r="AI158" i="1"/>
  <c r="AK158" i="1" s="1"/>
  <c r="AJ159" i="1"/>
  <c r="AI168" i="1"/>
  <c r="AK168" i="1" s="1"/>
  <c r="AJ169" i="1"/>
  <c r="AI124" i="1"/>
  <c r="AK124" i="1" s="1"/>
  <c r="AJ125" i="1"/>
  <c r="AI224" i="1"/>
  <c r="AK224" i="1" s="1"/>
  <c r="AJ225" i="1"/>
  <c r="AI249" i="1"/>
  <c r="AK249" i="1" s="1"/>
  <c r="AJ192" i="1"/>
  <c r="AI191" i="1"/>
  <c r="AK191" i="1" s="1"/>
  <c r="AI219" i="1"/>
  <c r="AK219" i="1" s="1"/>
  <c r="AJ220" i="1"/>
  <c r="AI195" i="1"/>
  <c r="AK195" i="1" s="1"/>
  <c r="AJ196" i="1"/>
  <c r="AI236" i="1"/>
  <c r="AK236" i="1" s="1"/>
  <c r="AJ237" i="1"/>
  <c r="AI160" i="1"/>
  <c r="AK160" i="1" s="1"/>
  <c r="AJ161" i="1"/>
  <c r="AI140" i="1"/>
  <c r="AK140" i="1" s="1"/>
  <c r="AJ141" i="1"/>
  <c r="AI151" i="1"/>
  <c r="AK151" i="1" s="1"/>
  <c r="AJ152" i="1"/>
  <c r="AI120" i="1"/>
  <c r="AK120" i="1" s="1"/>
  <c r="AJ121" i="1"/>
  <c r="AI142" i="1"/>
  <c r="AK142" i="1" s="1"/>
  <c r="AJ143" i="1"/>
  <c r="AI187" i="1"/>
  <c r="AK187" i="1" s="1"/>
  <c r="AJ188" i="1"/>
  <c r="AI233" i="1"/>
  <c r="AK233" i="1" s="1"/>
  <c r="AI210" i="1"/>
  <c r="AK210" i="1" s="1"/>
  <c r="AJ211" i="1"/>
  <c r="AI172" i="1"/>
  <c r="AK172" i="1" s="1"/>
  <c r="AJ173" i="1"/>
  <c r="AI250" i="1"/>
  <c r="AK250" i="1" s="1"/>
  <c r="AJ251" i="1"/>
  <c r="AI144" i="1"/>
  <c r="AK144" i="1" s="1"/>
  <c r="AI203" i="1"/>
  <c r="AK203" i="1" s="1"/>
  <c r="AJ204" i="1"/>
  <c r="AI145" i="1"/>
  <c r="AK145" i="1" s="1"/>
  <c r="AJ146" i="1"/>
  <c r="AI99" i="1"/>
  <c r="AK99" i="1" s="1"/>
  <c r="AJ100" i="1"/>
  <c r="AJ101" i="1" s="1"/>
  <c r="AI101" i="1" s="1"/>
  <c r="AK101" i="1" s="1"/>
  <c r="AI106" i="1"/>
  <c r="AK106" i="1" s="1"/>
  <c r="AJ107" i="1"/>
  <c r="AI112" i="1"/>
  <c r="AK112" i="1" s="1"/>
  <c r="AI104" i="1"/>
  <c r="AK104" i="1" s="1"/>
  <c r="AJ105" i="1"/>
  <c r="AI111" i="1"/>
  <c r="AK111" i="1" s="1"/>
  <c r="AJ114" i="1"/>
  <c r="AI113" i="1"/>
  <c r="AK113" i="1" s="1"/>
  <c r="AJ103" i="1"/>
  <c r="AI102" i="1"/>
  <c r="AK102" i="1" s="1"/>
  <c r="AI110" i="1"/>
  <c r="AK110" i="1" s="1"/>
  <c r="AI89" i="1"/>
  <c r="AK89" i="1" s="1"/>
  <c r="AI93" i="1"/>
  <c r="AK93" i="1" s="1"/>
  <c r="AJ94" i="1"/>
  <c r="AI97" i="1"/>
  <c r="AK97" i="1" s="1"/>
  <c r="AJ98" i="1"/>
  <c r="AI88" i="1"/>
  <c r="AK88" i="1" s="1"/>
  <c r="AI91" i="1"/>
  <c r="AK91" i="1" s="1"/>
  <c r="AJ92" i="1"/>
  <c r="AI96" i="1"/>
  <c r="AK96" i="1" s="1"/>
  <c r="AI95" i="1"/>
  <c r="AK95" i="1" s="1"/>
  <c r="AI90" i="1"/>
  <c r="AK90" i="1" s="1"/>
  <c r="AI87" i="1"/>
  <c r="AK87" i="1" s="1"/>
  <c r="AJ80" i="1"/>
  <c r="AI86" i="1"/>
  <c r="AK86" i="1" s="1"/>
  <c r="AI77" i="1"/>
  <c r="AK77" i="1" s="1"/>
  <c r="AJ78" i="1"/>
  <c r="AI85" i="1"/>
  <c r="AK85" i="1" s="1"/>
  <c r="AI83" i="1"/>
  <c r="AK83" i="1" s="1"/>
  <c r="AJ84" i="1"/>
  <c r="AJ82" i="1"/>
  <c r="AI81" i="1"/>
  <c r="AK81" i="1" s="1"/>
  <c r="AI60" i="1"/>
  <c r="AK60" i="1" s="1"/>
  <c r="AJ61" i="1"/>
  <c r="AJ70" i="1"/>
  <c r="AI69" i="1"/>
  <c r="AK69" i="1" s="1"/>
  <c r="AJ68" i="1"/>
  <c r="AI67" i="1"/>
  <c r="AK67" i="1" s="1"/>
  <c r="AI74" i="1"/>
  <c r="AK74" i="1" s="1"/>
  <c r="AI62" i="1"/>
  <c r="AK62" i="1" s="1"/>
  <c r="AJ63" i="1"/>
  <c r="AI71" i="1"/>
  <c r="AK71" i="1" s="1"/>
  <c r="AJ72" i="1"/>
  <c r="AI75" i="1"/>
  <c r="AK75" i="1" s="1"/>
  <c r="AJ76" i="1"/>
  <c r="AI44" i="1"/>
  <c r="AK44" i="1" s="1"/>
  <c r="AI57" i="1"/>
  <c r="AK57" i="1" s="1"/>
  <c r="AJ58" i="1"/>
  <c r="AI54" i="1"/>
  <c r="AK54" i="1" s="1"/>
  <c r="AJ55" i="1"/>
  <c r="AI45" i="1"/>
  <c r="AK45" i="1" s="1"/>
  <c r="AJ46" i="1"/>
  <c r="AI33" i="1"/>
  <c r="AK33" i="1" s="1"/>
  <c r="AJ34" i="1"/>
  <c r="AI29" i="1"/>
  <c r="AK29" i="1" s="1"/>
  <c r="AJ30" i="1"/>
  <c r="AI22" i="1"/>
  <c r="AK22" i="1" s="1"/>
  <c r="AJ23" i="1"/>
  <c r="AI25" i="1"/>
  <c r="AK25" i="1" s="1"/>
  <c r="AJ26" i="1"/>
  <c r="AI20" i="1"/>
  <c r="AK20" i="1" s="1"/>
  <c r="AJ21" i="1"/>
  <c r="AI40" i="1"/>
  <c r="AK40" i="1" s="1"/>
  <c r="AJ41" i="1"/>
  <c r="AI38" i="1"/>
  <c r="AK38" i="1" s="1"/>
  <c r="AJ39" i="1"/>
  <c r="AI27" i="1"/>
  <c r="AK27" i="1" s="1"/>
  <c r="AJ28" i="1"/>
  <c r="AI17" i="1"/>
  <c r="AK17" i="1" s="1"/>
  <c r="AJ18" i="1"/>
  <c r="AI15" i="1"/>
  <c r="AK15" i="1" s="1"/>
  <c r="AJ16" i="1"/>
  <c r="AJ245" i="1" l="1"/>
  <c r="AI245" i="1" s="1"/>
  <c r="AK245" i="1" s="1"/>
  <c r="AI244" i="1"/>
  <c r="AK244" i="1" s="1"/>
  <c r="AI201" i="1"/>
  <c r="AK201" i="1" s="1"/>
  <c r="AJ202" i="1"/>
  <c r="AI254" i="1"/>
  <c r="AK254" i="1" s="1"/>
  <c r="AI129" i="1"/>
  <c r="AK129" i="1" s="1"/>
  <c r="AJ130" i="1"/>
  <c r="AG37" i="1"/>
  <c r="AH37" i="1"/>
  <c r="AI196" i="1"/>
  <c r="AK196" i="1" s="1"/>
  <c r="AI154" i="1"/>
  <c r="AK154" i="1" s="1"/>
  <c r="AJ155" i="1"/>
  <c r="AI148" i="1"/>
  <c r="AK148" i="1" s="1"/>
  <c r="AI146" i="1"/>
  <c r="AK146" i="1" s="1"/>
  <c r="AI188" i="1"/>
  <c r="AK188" i="1" s="1"/>
  <c r="AJ189" i="1"/>
  <c r="AI220" i="1"/>
  <c r="AK220" i="1" s="1"/>
  <c r="AI222" i="1"/>
  <c r="AK222" i="1" s="1"/>
  <c r="AJ223" i="1"/>
  <c r="AJ231" i="1"/>
  <c r="AI230" i="1"/>
  <c r="AK230" i="1" s="1"/>
  <c r="AI241" i="1"/>
  <c r="AK241" i="1" s="1"/>
  <c r="AI204" i="1"/>
  <c r="AK204" i="1" s="1"/>
  <c r="AJ205" i="1"/>
  <c r="AI143" i="1"/>
  <c r="AK143" i="1" s="1"/>
  <c r="AI164" i="1"/>
  <c r="AK164" i="1" s="1"/>
  <c r="AJ165" i="1"/>
  <c r="AI235" i="1"/>
  <c r="AK235" i="1" s="1"/>
  <c r="AI192" i="1"/>
  <c r="AK192" i="1" s="1"/>
  <c r="AJ193" i="1"/>
  <c r="AJ122" i="1"/>
  <c r="AI121" i="1"/>
  <c r="AK121" i="1" s="1"/>
  <c r="AI179" i="1"/>
  <c r="AK179" i="1" s="1"/>
  <c r="AJ180" i="1"/>
  <c r="AI211" i="1"/>
  <c r="AK211" i="1" s="1"/>
  <c r="AJ212" i="1"/>
  <c r="AI157" i="1"/>
  <c r="AK157" i="1" s="1"/>
  <c r="AI251" i="1"/>
  <c r="AK251" i="1" s="1"/>
  <c r="AI152" i="1"/>
  <c r="AK152" i="1" s="1"/>
  <c r="AI225" i="1"/>
  <c r="AK225" i="1" s="1"/>
  <c r="AJ226" i="1"/>
  <c r="AI150" i="1"/>
  <c r="AK150" i="1" s="1"/>
  <c r="AI237" i="1"/>
  <c r="AK237" i="1" s="1"/>
  <c r="AI207" i="1"/>
  <c r="AK207" i="1" s="1"/>
  <c r="AJ208" i="1"/>
  <c r="AI185" i="1"/>
  <c r="AK185" i="1" s="1"/>
  <c r="AJ186" i="1"/>
  <c r="AI159" i="1"/>
  <c r="AK159" i="1" s="1"/>
  <c r="AI141" i="1"/>
  <c r="AK141" i="1" s="1"/>
  <c r="AJ126" i="1"/>
  <c r="AI125" i="1"/>
  <c r="AK125" i="1" s="1"/>
  <c r="AI175" i="1"/>
  <c r="AK175" i="1" s="1"/>
  <c r="AJ176" i="1"/>
  <c r="AI138" i="1"/>
  <c r="AK138" i="1" s="1"/>
  <c r="AI173" i="1"/>
  <c r="AK173" i="1" s="1"/>
  <c r="AI161" i="1"/>
  <c r="AK161" i="1" s="1"/>
  <c r="AI169" i="1"/>
  <c r="AK169" i="1" s="1"/>
  <c r="AJ170" i="1"/>
  <c r="AI215" i="1"/>
  <c r="AK215" i="1" s="1"/>
  <c r="AJ216" i="1"/>
  <c r="AI239" i="1"/>
  <c r="AK239" i="1" s="1"/>
  <c r="AI117" i="1"/>
  <c r="AK117" i="1" s="1"/>
  <c r="AJ118" i="1"/>
  <c r="AI103" i="1"/>
  <c r="AK103" i="1" s="1"/>
  <c r="AI114" i="1"/>
  <c r="AK114" i="1" s="1"/>
  <c r="AJ115" i="1"/>
  <c r="AI105" i="1"/>
  <c r="AK105" i="1" s="1"/>
  <c r="AI107" i="1"/>
  <c r="AK107" i="1" s="1"/>
  <c r="AJ108" i="1"/>
  <c r="AI100" i="1"/>
  <c r="AK100" i="1" s="1"/>
  <c r="AI92" i="1"/>
  <c r="AK92" i="1" s="1"/>
  <c r="AI98" i="1"/>
  <c r="AK98" i="1" s="1"/>
  <c r="AI94" i="1"/>
  <c r="AK94" i="1" s="1"/>
  <c r="AI80" i="1"/>
  <c r="AK80" i="1" s="1"/>
  <c r="AI82" i="1"/>
  <c r="AK82" i="1" s="1"/>
  <c r="AI84" i="1"/>
  <c r="AK84" i="1" s="1"/>
  <c r="AI78" i="1"/>
  <c r="AK78" i="1" s="1"/>
  <c r="AJ79" i="1"/>
  <c r="AI76" i="1"/>
  <c r="AK76" i="1" s="1"/>
  <c r="AI72" i="1"/>
  <c r="AK72" i="1" s="1"/>
  <c r="AJ73" i="1"/>
  <c r="AJ64" i="1"/>
  <c r="AI63" i="1"/>
  <c r="AK63" i="1" s="1"/>
  <c r="AI68" i="1"/>
  <c r="AK68" i="1" s="1"/>
  <c r="AI70" i="1"/>
  <c r="AK70" i="1" s="1"/>
  <c r="AI61" i="1"/>
  <c r="AK61" i="1" s="1"/>
  <c r="AI46" i="1"/>
  <c r="AK46" i="1" s="1"/>
  <c r="AJ47" i="1"/>
  <c r="P41" i="19"/>
  <c r="AJ56" i="1"/>
  <c r="AI55" i="1"/>
  <c r="AK55" i="1" s="1"/>
  <c r="V51" i="19"/>
  <c r="AI58" i="1"/>
  <c r="AK58" i="1" s="1"/>
  <c r="AJ59" i="1"/>
  <c r="J21" i="19"/>
  <c r="AB11" i="19"/>
  <c r="J43" i="19"/>
  <c r="AB53" i="19"/>
  <c r="J31" i="19"/>
  <c r="AH11" i="19"/>
  <c r="P39" i="19"/>
  <c r="J41" i="19"/>
  <c r="AH53" i="19"/>
  <c r="P19" i="19"/>
  <c r="V19" i="19"/>
  <c r="J9" i="19"/>
  <c r="AB29" i="19"/>
  <c r="P9" i="19"/>
  <c r="J29" i="19"/>
  <c r="AH29" i="19"/>
  <c r="AH39" i="19"/>
  <c r="AB9" i="19"/>
  <c r="AB39" i="19"/>
  <c r="P49" i="19"/>
  <c r="V49" i="19"/>
  <c r="V39" i="19"/>
  <c r="AB14" i="19"/>
  <c r="AH24" i="19"/>
  <c r="J49" i="19"/>
  <c r="J54" i="19"/>
  <c r="AH19" i="19"/>
  <c r="J19" i="19"/>
  <c r="AB49" i="19"/>
  <c r="AB41" i="19"/>
  <c r="AH21" i="19"/>
  <c r="V31" i="19"/>
  <c r="P11" i="19"/>
  <c r="J51" i="19"/>
  <c r="P10" i="19"/>
  <c r="V30" i="19"/>
  <c r="J23" i="19"/>
  <c r="AH20" i="19"/>
  <c r="AH13" i="19"/>
  <c r="P50" i="19"/>
  <c r="P23" i="19"/>
  <c r="J39" i="19"/>
  <c r="V50" i="19"/>
  <c r="P33" i="19"/>
  <c r="AB19" i="19"/>
  <c r="P29" i="19"/>
  <c r="AH28" i="19"/>
  <c r="AB40" i="19"/>
  <c r="AH54" i="19"/>
  <c r="AB35" i="19"/>
  <c r="J38" i="19"/>
  <c r="AB20" i="19"/>
  <c r="V23" i="19"/>
  <c r="P30" i="19"/>
  <c r="AH30" i="19"/>
  <c r="J30" i="19"/>
  <c r="AH25" i="19"/>
  <c r="P38" i="19"/>
  <c r="V9" i="19"/>
  <c r="V29" i="19"/>
  <c r="AH9" i="19"/>
  <c r="AH49" i="19"/>
  <c r="AB43" i="19"/>
  <c r="AH48" i="19"/>
  <c r="AB13" i="19"/>
  <c r="P51" i="19"/>
  <c r="P21" i="19"/>
  <c r="AB50" i="19"/>
  <c r="P8" i="19"/>
  <c r="J53" i="19"/>
  <c r="V53" i="19"/>
  <c r="V48" i="19"/>
  <c r="J11" i="19"/>
  <c r="AH41" i="19"/>
  <c r="J50" i="19"/>
  <c r="V28" i="19"/>
  <c r="P13" i="19"/>
  <c r="AH51" i="19"/>
  <c r="AB31" i="19"/>
  <c r="AH50" i="19"/>
  <c r="AB38" i="19"/>
  <c r="AH23" i="19"/>
  <c r="P31" i="19"/>
  <c r="AB10" i="19"/>
  <c r="J20" i="19"/>
  <c r="V38" i="19"/>
  <c r="AB23" i="19"/>
  <c r="AH31" i="19"/>
  <c r="P40" i="19"/>
  <c r="V10" i="19"/>
  <c r="AB48" i="19"/>
  <c r="P53" i="19"/>
  <c r="P48" i="19"/>
  <c r="V13" i="19"/>
  <c r="V21" i="19"/>
  <c r="P20" i="19"/>
  <c r="V40" i="19"/>
  <c r="AB18" i="19"/>
  <c r="V43" i="19"/>
  <c r="V11" i="19"/>
  <c r="J10" i="19"/>
  <c r="AB30" i="19"/>
  <c r="J28" i="19"/>
  <c r="AH43" i="19"/>
  <c r="V41" i="19"/>
  <c r="V20" i="19"/>
  <c r="AH40" i="19"/>
  <c r="P18" i="19"/>
  <c r="J13" i="19"/>
  <c r="AB51" i="19"/>
  <c r="AB21" i="19"/>
  <c r="AH10" i="19"/>
  <c r="J40" i="19"/>
  <c r="J33" i="19"/>
  <c r="P43" i="19"/>
  <c r="J48" i="19"/>
  <c r="V8" i="19"/>
  <c r="V18" i="19"/>
  <c r="AH38" i="19"/>
  <c r="AH18" i="19"/>
  <c r="AB8" i="19"/>
  <c r="V33" i="19"/>
  <c r="J18" i="19"/>
  <c r="AB28" i="19"/>
  <c r="AH8" i="19"/>
  <c r="AB33" i="19"/>
  <c r="J35" i="19"/>
  <c r="AB15" i="19"/>
  <c r="AB45" i="19"/>
  <c r="J22" i="19"/>
  <c r="AH33" i="19"/>
  <c r="V55" i="19"/>
  <c r="P35" i="19"/>
  <c r="V34" i="19"/>
  <c r="AB44" i="19"/>
  <c r="AH52" i="19"/>
  <c r="V14" i="19"/>
  <c r="AB54" i="19"/>
  <c r="V35" i="19"/>
  <c r="P42" i="19"/>
  <c r="P24" i="19"/>
  <c r="AH34" i="19"/>
  <c r="V44" i="19"/>
  <c r="P55" i="19"/>
  <c r="AB34" i="19"/>
  <c r="AH44" i="19"/>
  <c r="V32" i="19"/>
  <c r="AH15" i="19"/>
  <c r="AH14" i="19"/>
  <c r="J34" i="19"/>
  <c r="P14" i="19"/>
  <c r="J15" i="19"/>
  <c r="J55" i="19"/>
  <c r="P25" i="19"/>
  <c r="V54" i="19"/>
  <c r="P45" i="19"/>
  <c r="AH55" i="19"/>
  <c r="P44" i="19"/>
  <c r="AH45" i="19"/>
  <c r="J45" i="19"/>
  <c r="AB24" i="19"/>
  <c r="V25" i="19"/>
  <c r="V24" i="19"/>
  <c r="AB55" i="19"/>
  <c r="V45" i="19"/>
  <c r="P34" i="19"/>
  <c r="P15" i="19"/>
  <c r="J25" i="19"/>
  <c r="P54" i="19"/>
  <c r="J44" i="19"/>
  <c r="AH35" i="19"/>
  <c r="AB25" i="19"/>
  <c r="V15" i="19"/>
  <c r="J24" i="19"/>
  <c r="J14" i="19"/>
  <c r="J42" i="19"/>
  <c r="V42" i="19"/>
  <c r="AB52" i="19"/>
  <c r="AH32" i="19"/>
  <c r="AB12" i="19"/>
  <c r="P22" i="19"/>
  <c r="P12" i="19"/>
  <c r="AB22" i="19"/>
  <c r="J52" i="19"/>
  <c r="J12" i="19"/>
  <c r="AH12" i="19"/>
  <c r="J32" i="19"/>
  <c r="V22" i="19"/>
  <c r="AH42" i="19"/>
  <c r="P32" i="19"/>
  <c r="AB42" i="19"/>
  <c r="V12" i="19"/>
  <c r="V52" i="19"/>
  <c r="AB32" i="19"/>
  <c r="P52" i="19"/>
  <c r="AH22" i="19"/>
  <c r="AI39" i="1"/>
  <c r="AI28" i="1"/>
  <c r="AI41" i="1"/>
  <c r="AK41" i="1" s="1"/>
  <c r="AI21" i="1"/>
  <c r="AI26" i="1"/>
  <c r="AJ24" i="1"/>
  <c r="AI23" i="1"/>
  <c r="P28" i="19"/>
  <c r="AJ31" i="1"/>
  <c r="AI30" i="1"/>
  <c r="J8" i="19"/>
  <c r="AJ35" i="1"/>
  <c r="AI34" i="1"/>
  <c r="AI16" i="1"/>
  <c r="AK16" i="1" s="1"/>
  <c r="AI18" i="1"/>
  <c r="AJ19" i="1"/>
  <c r="P17" i="19"/>
  <c r="AB27" i="19"/>
  <c r="J47" i="19"/>
  <c r="V27" i="19"/>
  <c r="AH47" i="19"/>
  <c r="AB47" i="19"/>
  <c r="P47" i="19"/>
  <c r="P7" i="19"/>
  <c r="AH7" i="19"/>
  <c r="V37" i="19"/>
  <c r="AB17" i="19"/>
  <c r="V7" i="19"/>
  <c r="AH37" i="19"/>
  <c r="AH17" i="19"/>
  <c r="J7" i="19"/>
  <c r="AH27" i="19"/>
  <c r="J37" i="19"/>
  <c r="J17" i="19"/>
  <c r="AB7" i="19"/>
  <c r="AB37" i="19"/>
  <c r="V17" i="19"/>
  <c r="J27" i="19"/>
  <c r="P27" i="19"/>
  <c r="V47" i="19"/>
  <c r="P37" i="19"/>
  <c r="P16" i="19"/>
  <c r="AI202" i="1" l="1"/>
  <c r="AK202" i="1" s="1"/>
  <c r="AI130" i="1"/>
  <c r="AK130" i="1" s="1"/>
  <c r="AI180" i="1"/>
  <c r="AK180" i="1" s="1"/>
  <c r="AJ181" i="1"/>
  <c r="AI165" i="1"/>
  <c r="AK165" i="1" s="1"/>
  <c r="AJ166" i="1"/>
  <c r="AJ213" i="1"/>
  <c r="AI212" i="1"/>
  <c r="AK212" i="1" s="1"/>
  <c r="AI118" i="1"/>
  <c r="AK118" i="1" s="1"/>
  <c r="AJ119" i="1"/>
  <c r="AI176" i="1"/>
  <c r="AK176" i="1" s="1"/>
  <c r="AJ177" i="1"/>
  <c r="AI189" i="1"/>
  <c r="AK189" i="1" s="1"/>
  <c r="AJ190" i="1"/>
  <c r="AI205" i="1"/>
  <c r="AK205" i="1" s="1"/>
  <c r="AI155" i="1"/>
  <c r="AK155" i="1" s="1"/>
  <c r="AI126" i="1"/>
  <c r="AK126" i="1" s="1"/>
  <c r="AI216" i="1"/>
  <c r="AK216" i="1" s="1"/>
  <c r="AJ217" i="1"/>
  <c r="AJ227" i="1"/>
  <c r="AI226" i="1"/>
  <c r="AK226" i="1" s="1"/>
  <c r="AJ209" i="1"/>
  <c r="AI208" i="1"/>
  <c r="AK208" i="1" s="1"/>
  <c r="AI122" i="1"/>
  <c r="AK122" i="1" s="1"/>
  <c r="AJ123" i="1"/>
  <c r="AI170" i="1"/>
  <c r="AK170" i="1" s="1"/>
  <c r="AJ171" i="1"/>
  <c r="AI231" i="1"/>
  <c r="AK231" i="1" s="1"/>
  <c r="AJ232" i="1"/>
  <c r="AI193" i="1"/>
  <c r="AK193" i="1" s="1"/>
  <c r="AJ194" i="1"/>
  <c r="AI223" i="1"/>
  <c r="AK223" i="1" s="1"/>
  <c r="AI186" i="1"/>
  <c r="AK186" i="1" s="1"/>
  <c r="AI108" i="1"/>
  <c r="AK108" i="1" s="1"/>
  <c r="AJ109" i="1"/>
  <c r="AI115" i="1"/>
  <c r="AK115" i="1" s="1"/>
  <c r="AI79" i="1"/>
  <c r="AK79" i="1" s="1"/>
  <c r="AI64" i="1"/>
  <c r="AK64" i="1" s="1"/>
  <c r="AJ65" i="1"/>
  <c r="AI73" i="1"/>
  <c r="AK73" i="1" s="1"/>
  <c r="AI59" i="1"/>
  <c r="AK59" i="1" s="1"/>
  <c r="AI56" i="1"/>
  <c r="AK56" i="1" s="1"/>
  <c r="AI47" i="1"/>
  <c r="AK47" i="1" s="1"/>
  <c r="AJ48" i="1"/>
  <c r="AI47" i="19"/>
  <c r="AI17" i="19"/>
  <c r="W47" i="19"/>
  <c r="K17" i="19"/>
  <c r="AI37" i="19"/>
  <c r="AI7" i="19"/>
  <c r="AI27" i="19"/>
  <c r="AC37" i="19"/>
  <c r="K47" i="19"/>
  <c r="AC17" i="19"/>
  <c r="W7" i="19"/>
  <c r="Q47" i="19"/>
  <c r="W17" i="19"/>
  <c r="AC47" i="19"/>
  <c r="AK30" i="1"/>
  <c r="AI23" i="19"/>
  <c r="Q33" i="19"/>
  <c r="AC43" i="19"/>
  <c r="W43" i="19"/>
  <c r="W23" i="19"/>
  <c r="K23" i="19"/>
  <c r="AI33" i="19"/>
  <c r="AC23" i="19"/>
  <c r="Q53" i="19"/>
  <c r="Q13" i="19"/>
  <c r="AC13" i="19"/>
  <c r="K13" i="19"/>
  <c r="Q43" i="19"/>
  <c r="AI43" i="19"/>
  <c r="K33" i="19"/>
  <c r="AC33" i="19"/>
  <c r="W33" i="19"/>
  <c r="W13" i="19"/>
  <c r="AI53" i="19"/>
  <c r="AI13" i="19"/>
  <c r="W53" i="19"/>
  <c r="AC53" i="19"/>
  <c r="Q23" i="19"/>
  <c r="K53" i="19"/>
  <c r="K43" i="19"/>
  <c r="AI31" i="1"/>
  <c r="AJ32" i="1"/>
  <c r="AK23" i="1"/>
  <c r="AC10" i="19"/>
  <c r="W10" i="19"/>
  <c r="W40" i="19"/>
  <c r="AI30" i="19"/>
  <c r="W30" i="19"/>
  <c r="Q20" i="19"/>
  <c r="Q40" i="19"/>
  <c r="AC50" i="19"/>
  <c r="AI50" i="19"/>
  <c r="K10" i="19"/>
  <c r="AC20" i="19"/>
  <c r="Q50" i="19"/>
  <c r="W50" i="19"/>
  <c r="AI20" i="19"/>
  <c r="AC30" i="19"/>
  <c r="Q30" i="19"/>
  <c r="K30" i="19"/>
  <c r="K20" i="19"/>
  <c r="W20" i="19"/>
  <c r="Q10" i="19"/>
  <c r="AI40" i="19"/>
  <c r="AC40" i="19"/>
  <c r="K50" i="19"/>
  <c r="AI10" i="19"/>
  <c r="K40" i="19"/>
  <c r="AI24" i="1"/>
  <c r="AK26" i="1"/>
  <c r="Q31" i="19"/>
  <c r="K41" i="19"/>
  <c r="AI31" i="19"/>
  <c r="AI51" i="19"/>
  <c r="K11" i="19"/>
  <c r="Q21" i="19"/>
  <c r="K21" i="19"/>
  <c r="W51" i="19"/>
  <c r="AI41" i="19"/>
  <c r="AI11" i="19"/>
  <c r="W31" i="19"/>
  <c r="Q41" i="19"/>
  <c r="AI21" i="19"/>
  <c r="W11" i="19"/>
  <c r="Q11" i="19"/>
  <c r="AC31" i="19"/>
  <c r="AC41" i="19"/>
  <c r="AC11" i="19"/>
  <c r="K31" i="19"/>
  <c r="Q51" i="19"/>
  <c r="W41" i="19"/>
  <c r="K51" i="19"/>
  <c r="AC21" i="19"/>
  <c r="W21" i="19"/>
  <c r="AC51" i="19"/>
  <c r="AK21" i="1"/>
  <c r="AI49" i="19"/>
  <c r="AC39" i="19"/>
  <c r="AC29" i="19"/>
  <c r="K9" i="19"/>
  <c r="K29" i="19"/>
  <c r="W49" i="19"/>
  <c r="W39" i="19"/>
  <c r="Q9" i="19"/>
  <c r="K19" i="19"/>
  <c r="K49" i="19"/>
  <c r="AC9" i="19"/>
  <c r="AI19" i="19"/>
  <c r="AI39" i="19"/>
  <c r="Q19" i="19"/>
  <c r="Q39" i="19"/>
  <c r="AC19" i="19"/>
  <c r="Q49" i="19"/>
  <c r="W9" i="19"/>
  <c r="AI9" i="19"/>
  <c r="W29" i="19"/>
  <c r="AI29" i="19"/>
  <c r="K39" i="19"/>
  <c r="AC49" i="19"/>
  <c r="Q29" i="19"/>
  <c r="W19" i="19"/>
  <c r="Q17" i="19"/>
  <c r="K37" i="19"/>
  <c r="Q7" i="19"/>
  <c r="K27" i="19"/>
  <c r="W27" i="19"/>
  <c r="K7" i="19"/>
  <c r="Q37" i="19"/>
  <c r="AK34" i="1"/>
  <c r="AC34" i="19"/>
  <c r="W54" i="19"/>
  <c r="K24" i="19"/>
  <c r="W24" i="19"/>
  <c r="AC54" i="19"/>
  <c r="AC44" i="19"/>
  <c r="Q54" i="19"/>
  <c r="AI24" i="19"/>
  <c r="AI34" i="19"/>
  <c r="Q14" i="19"/>
  <c r="Q24" i="19"/>
  <c r="K44" i="19"/>
  <c r="W14" i="19"/>
  <c r="Q34" i="19"/>
  <c r="K34" i="19"/>
  <c r="K14" i="19"/>
  <c r="AI44" i="19"/>
  <c r="AI14" i="19"/>
  <c r="AC24" i="19"/>
  <c r="AI54" i="19"/>
  <c r="W34" i="19"/>
  <c r="K54" i="19"/>
  <c r="W44" i="19"/>
  <c r="AC14" i="19"/>
  <c r="Q44" i="19"/>
  <c r="AK28" i="1"/>
  <c r="K32" i="19"/>
  <c r="AC32" i="19"/>
  <c r="K12" i="19"/>
  <c r="AC12" i="19"/>
  <c r="Q22" i="19"/>
  <c r="AI52" i="19"/>
  <c r="Q12" i="19"/>
  <c r="W42" i="19"/>
  <c r="K42" i="19"/>
  <c r="Q32" i="19"/>
  <c r="W32" i="19"/>
  <c r="AI32" i="19"/>
  <c r="W52" i="19"/>
  <c r="K22" i="19"/>
  <c r="W12" i="19"/>
  <c r="AI22" i="19"/>
  <c r="AC22" i="19"/>
  <c r="AC52" i="19"/>
  <c r="AI12" i="19"/>
  <c r="K52" i="19"/>
  <c r="W22" i="19"/>
  <c r="Q52" i="19"/>
  <c r="AC42" i="19"/>
  <c r="Q42" i="19"/>
  <c r="AI42" i="19"/>
  <c r="Q27" i="19"/>
  <c r="W37" i="19"/>
  <c r="AI35" i="1"/>
  <c r="AJ36" i="1"/>
  <c r="AC7" i="19"/>
  <c r="AC27" i="19"/>
  <c r="AK39" i="1"/>
  <c r="Q35" i="19"/>
  <c r="AC35" i="19"/>
  <c r="W15" i="19"/>
  <c r="AI45" i="19"/>
  <c r="K15" i="19"/>
  <c r="W35" i="19"/>
  <c r="K25" i="19"/>
  <c r="Q15" i="19"/>
  <c r="AI25" i="19"/>
  <c r="Q55" i="19"/>
  <c r="AI55" i="19"/>
  <c r="AC25" i="19"/>
  <c r="K55" i="19"/>
  <c r="AI15" i="19"/>
  <c r="AC15" i="19"/>
  <c r="K35" i="19"/>
  <c r="W45" i="19"/>
  <c r="AC55" i="19"/>
  <c r="Q25" i="19"/>
  <c r="AC45" i="19"/>
  <c r="K45" i="19"/>
  <c r="W25" i="19"/>
  <c r="AI35" i="19"/>
  <c r="Q45" i="19"/>
  <c r="W55" i="19"/>
  <c r="AI19" i="1"/>
  <c r="AK18" i="1"/>
  <c r="AC28" i="19"/>
  <c r="AI28" i="19"/>
  <c r="Q28" i="19"/>
  <c r="AI8" i="19"/>
  <c r="K28" i="19"/>
  <c r="AI18" i="19"/>
  <c r="AC48" i="19"/>
  <c r="Q48" i="19"/>
  <c r="AI38" i="19"/>
  <c r="K18" i="19"/>
  <c r="W8" i="19"/>
  <c r="AC8" i="19"/>
  <c r="AC18" i="19"/>
  <c r="Q18" i="19"/>
  <c r="W38" i="19"/>
  <c r="AC38" i="19"/>
  <c r="W48" i="19"/>
  <c r="W18" i="19"/>
  <c r="AI48" i="19"/>
  <c r="Q8" i="19"/>
  <c r="Q38" i="19"/>
  <c r="K38" i="19"/>
  <c r="W28" i="19"/>
  <c r="K8" i="19"/>
  <c r="K48" i="19"/>
  <c r="V46" i="19"/>
  <c r="AB46" i="19"/>
  <c r="J46" i="19"/>
  <c r="V36" i="19"/>
  <c r="P46" i="19"/>
  <c r="J16" i="19"/>
  <c r="AH16" i="19"/>
  <c r="AB26" i="19"/>
  <c r="J6" i="19"/>
  <c r="J26" i="19"/>
  <c r="V16" i="19"/>
  <c r="J36" i="19"/>
  <c r="P26" i="19"/>
  <c r="V6" i="19"/>
  <c r="AB6" i="19"/>
  <c r="P6" i="19"/>
  <c r="AB36" i="19"/>
  <c r="AH36" i="19"/>
  <c r="AB16" i="19"/>
  <c r="AH6" i="19"/>
  <c r="AH26" i="19"/>
  <c r="V26" i="19"/>
  <c r="AH46" i="19"/>
  <c r="P36" i="19"/>
  <c r="S16" i="19"/>
  <c r="AC6" i="19"/>
  <c r="AI227" i="1" l="1"/>
  <c r="AK227" i="1" s="1"/>
  <c r="AJ228" i="1"/>
  <c r="AI213" i="1"/>
  <c r="AK213" i="1" s="1"/>
  <c r="AI190" i="1"/>
  <c r="AK190" i="1" s="1"/>
  <c r="AI194" i="1"/>
  <c r="AK194" i="1" s="1"/>
  <c r="AI217" i="1"/>
  <c r="AK217" i="1" s="1"/>
  <c r="AJ218" i="1"/>
  <c r="AI171" i="1"/>
  <c r="AK171" i="1" s="1"/>
  <c r="AI166" i="1"/>
  <c r="AK166" i="1" s="1"/>
  <c r="AJ167" i="1"/>
  <c r="AJ182" i="1"/>
  <c r="AI181" i="1"/>
  <c r="AK181" i="1" s="1"/>
  <c r="AI123" i="1"/>
  <c r="AK123" i="1" s="1"/>
  <c r="AI232" i="1"/>
  <c r="AK232" i="1" s="1"/>
  <c r="AI177" i="1"/>
  <c r="AK177" i="1" s="1"/>
  <c r="AI209" i="1"/>
  <c r="AK209" i="1" s="1"/>
  <c r="AI119" i="1"/>
  <c r="AK119" i="1" s="1"/>
  <c r="AI109" i="1"/>
  <c r="AK109" i="1" s="1"/>
  <c r="AJ66" i="1"/>
  <c r="AI65" i="1"/>
  <c r="AK65" i="1" s="1"/>
  <c r="AI48" i="1"/>
  <c r="AK48" i="1" s="1"/>
  <c r="AJ49" i="1"/>
  <c r="AI32" i="1"/>
  <c r="AK31" i="1"/>
  <c r="AJ33" i="19"/>
  <c r="AD13" i="19"/>
  <c r="L13" i="19"/>
  <c r="AJ23" i="19"/>
  <c r="R23" i="19"/>
  <c r="AJ43" i="19"/>
  <c r="AJ53" i="19"/>
  <c r="R53" i="19"/>
  <c r="R33" i="19"/>
  <c r="L43" i="19"/>
  <c r="L33" i="19"/>
  <c r="X53" i="19"/>
  <c r="AD33" i="19"/>
  <c r="X33" i="19"/>
  <c r="R43" i="19"/>
  <c r="AD43" i="19"/>
  <c r="AD23" i="19"/>
  <c r="AD53" i="19"/>
  <c r="X43" i="19"/>
  <c r="X13" i="19"/>
  <c r="L53" i="19"/>
  <c r="R13" i="19"/>
  <c r="L23" i="19"/>
  <c r="X23" i="19"/>
  <c r="AJ13" i="19"/>
  <c r="X49" i="19"/>
  <c r="AD39" i="19"/>
  <c r="L39" i="19"/>
  <c r="R29" i="19"/>
  <c r="AD49" i="19"/>
  <c r="AJ39" i="19"/>
  <c r="L19" i="19"/>
  <c r="AD29" i="19"/>
  <c r="AD9" i="19"/>
  <c r="R49" i="19"/>
  <c r="X39" i="19"/>
  <c r="X29" i="19"/>
  <c r="L49" i="19"/>
  <c r="AD19" i="19"/>
  <c r="L9" i="19"/>
  <c r="AJ9" i="19"/>
  <c r="AJ29" i="19"/>
  <c r="AJ49" i="19"/>
  <c r="R9" i="19"/>
  <c r="L29" i="19"/>
  <c r="X19" i="19"/>
  <c r="R39" i="19"/>
  <c r="X9" i="19"/>
  <c r="AJ19" i="19"/>
  <c r="R19" i="19"/>
  <c r="AK24" i="1"/>
  <c r="AD20" i="19"/>
  <c r="R50" i="19"/>
  <c r="X30" i="19"/>
  <c r="R20" i="19"/>
  <c r="R30" i="19"/>
  <c r="AD10" i="19"/>
  <c r="R40" i="19"/>
  <c r="L50" i="19"/>
  <c r="X50" i="19"/>
  <c r="AD40" i="19"/>
  <c r="L10" i="19"/>
  <c r="L20" i="19"/>
  <c r="AJ50" i="19"/>
  <c r="R10" i="19"/>
  <c r="AJ30" i="19"/>
  <c r="L30" i="19"/>
  <c r="L40" i="19"/>
  <c r="X40" i="19"/>
  <c r="AJ20" i="19"/>
  <c r="AD30" i="19"/>
  <c r="AD50" i="19"/>
  <c r="X20" i="19"/>
  <c r="AJ10" i="19"/>
  <c r="X10" i="19"/>
  <c r="AJ40" i="19"/>
  <c r="AK35" i="1"/>
  <c r="L34" i="19"/>
  <c r="AD44" i="19"/>
  <c r="AJ24" i="19"/>
  <c r="R54" i="19"/>
  <c r="AD54" i="19"/>
  <c r="AD14" i="19"/>
  <c r="R14" i="19"/>
  <c r="L44" i="19"/>
  <c r="L24" i="19"/>
  <c r="X24" i="19"/>
  <c r="R24" i="19"/>
  <c r="X44" i="19"/>
  <c r="X34" i="19"/>
  <c r="AD34" i="19"/>
  <c r="X54" i="19"/>
  <c r="L54" i="19"/>
  <c r="R34" i="19"/>
  <c r="AJ14" i="19"/>
  <c r="AJ34" i="19"/>
  <c r="L14" i="19"/>
  <c r="AJ54" i="19"/>
  <c r="AD24" i="19"/>
  <c r="AJ44" i="19"/>
  <c r="X14" i="19"/>
  <c r="R44" i="19"/>
  <c r="AJ51" i="19"/>
  <c r="AJ21" i="19"/>
  <c r="L21" i="19"/>
  <c r="X51" i="19"/>
  <c r="L11" i="19"/>
  <c r="AD21" i="19"/>
  <c r="R11" i="19"/>
  <c r="X31" i="19"/>
  <c r="AJ31" i="19"/>
  <c r="X11" i="19"/>
  <c r="AD41" i="19"/>
  <c r="AJ41" i="19"/>
  <c r="AJ11" i="19"/>
  <c r="X41" i="19"/>
  <c r="AD51" i="19"/>
  <c r="AD31" i="19"/>
  <c r="AD11" i="19"/>
  <c r="R51" i="19"/>
  <c r="R21" i="19"/>
  <c r="L41" i="19"/>
  <c r="L31" i="19"/>
  <c r="X21" i="19"/>
  <c r="R31" i="19"/>
  <c r="R41" i="19"/>
  <c r="L51" i="19"/>
  <c r="AD25" i="19"/>
  <c r="L15" i="19"/>
  <c r="L55" i="19"/>
  <c r="AD35" i="19"/>
  <c r="X55" i="19"/>
  <c r="AJ25" i="19"/>
  <c r="AD15" i="19"/>
  <c r="AJ55" i="19"/>
  <c r="R35" i="19"/>
  <c r="AD55" i="19"/>
  <c r="X35" i="19"/>
  <c r="R25" i="19"/>
  <c r="R15" i="19"/>
  <c r="AJ35" i="19"/>
  <c r="R45" i="19"/>
  <c r="L35" i="19"/>
  <c r="AJ15" i="19"/>
  <c r="L45" i="19"/>
  <c r="AJ45" i="19"/>
  <c r="X15" i="19"/>
  <c r="R55" i="19"/>
  <c r="X25" i="19"/>
  <c r="AD45" i="19"/>
  <c r="X45" i="19"/>
  <c r="L25" i="19"/>
  <c r="R42" i="19"/>
  <c r="AD22" i="19"/>
  <c r="AJ52" i="19"/>
  <c r="AD42" i="19"/>
  <c r="AJ12" i="19"/>
  <c r="AJ32" i="19"/>
  <c r="R12" i="19"/>
  <c r="R32" i="19"/>
  <c r="L42" i="19"/>
  <c r="X32" i="19"/>
  <c r="AJ22" i="19"/>
  <c r="L52" i="19"/>
  <c r="X12" i="19"/>
  <c r="R52" i="19"/>
  <c r="AD52" i="19"/>
  <c r="X52" i="19"/>
  <c r="L22" i="19"/>
  <c r="AD12" i="19"/>
  <c r="AJ42" i="19"/>
  <c r="X22" i="19"/>
  <c r="L32" i="19"/>
  <c r="R22" i="19"/>
  <c r="X42" i="19"/>
  <c r="AD32" i="19"/>
  <c r="L12" i="19"/>
  <c r="AJ37" i="1"/>
  <c r="AI36" i="1"/>
  <c r="X7" i="19"/>
  <c r="L7" i="19"/>
  <c r="AD47" i="19"/>
  <c r="AJ17" i="19"/>
  <c r="R27" i="19"/>
  <c r="R17" i="19"/>
  <c r="AJ7" i="19"/>
  <c r="R37" i="19"/>
  <c r="AJ27" i="19"/>
  <c r="AJ47" i="19"/>
  <c r="X47" i="19"/>
  <c r="L47" i="19"/>
  <c r="X27" i="19"/>
  <c r="AJ37" i="19"/>
  <c r="L37" i="19"/>
  <c r="X17" i="19"/>
  <c r="R7" i="19"/>
  <c r="R47" i="19"/>
  <c r="AD7" i="19"/>
  <c r="AD27" i="19"/>
  <c r="L17" i="19"/>
  <c r="AD37" i="19"/>
  <c r="L27" i="19"/>
  <c r="X37" i="19"/>
  <c r="AD17" i="19"/>
  <c r="AK19" i="1"/>
  <c r="X18" i="19"/>
  <c r="AJ48" i="19"/>
  <c r="AJ8" i="19"/>
  <c r="X48" i="19"/>
  <c r="AJ38" i="19"/>
  <c r="R48" i="19"/>
  <c r="AD18" i="19"/>
  <c r="L18" i="19"/>
  <c r="AD38" i="19"/>
  <c r="AJ18" i="19"/>
  <c r="X8" i="19"/>
  <c r="X28" i="19"/>
  <c r="R28" i="19"/>
  <c r="L38" i="19"/>
  <c r="AJ28" i="19"/>
  <c r="L48" i="19"/>
  <c r="R18" i="19"/>
  <c r="R38" i="19"/>
  <c r="AD28" i="19"/>
  <c r="AD48" i="19"/>
  <c r="AD8" i="19"/>
  <c r="X38" i="19"/>
  <c r="R8" i="19"/>
  <c r="L28" i="19"/>
  <c r="L8" i="19"/>
  <c r="AK16" i="19"/>
  <c r="AK26" i="19"/>
  <c r="M36" i="19"/>
  <c r="Y36" i="19"/>
  <c r="S46" i="19"/>
  <c r="M6" i="19"/>
  <c r="M46" i="19"/>
  <c r="AK6" i="19"/>
  <c r="AE26" i="19"/>
  <c r="AE46" i="19"/>
  <c r="Y46" i="19"/>
  <c r="Y6" i="19"/>
  <c r="M26" i="19"/>
  <c r="S36" i="19"/>
  <c r="AK46" i="19"/>
  <c r="AE16" i="19"/>
  <c r="S6" i="19"/>
  <c r="AE36" i="19"/>
  <c r="M16" i="19"/>
  <c r="AE6" i="19"/>
  <c r="AK36" i="19"/>
  <c r="Y26" i="19"/>
  <c r="S26" i="19"/>
  <c r="T16" i="19"/>
  <c r="Y16" i="19"/>
  <c r="W26" i="19"/>
  <c r="AI36" i="19"/>
  <c r="AC46" i="19"/>
  <c r="W46" i="19"/>
  <c r="Q16" i="19"/>
  <c r="W36" i="19"/>
  <c r="Q26" i="19"/>
  <c r="AI26" i="19"/>
  <c r="K36" i="19"/>
  <c r="AI46" i="19"/>
  <c r="Q36" i="19"/>
  <c r="W6" i="19"/>
  <c r="K26" i="19"/>
  <c r="K46" i="19"/>
  <c r="AC26" i="19"/>
  <c r="AI6" i="19"/>
  <c r="W16" i="19"/>
  <c r="AC16" i="19"/>
  <c r="K16" i="19"/>
  <c r="AI16" i="19"/>
  <c r="AC36" i="19"/>
  <c r="K6" i="19"/>
  <c r="Q6" i="19"/>
  <c r="Q46" i="19"/>
  <c r="AD46" i="19"/>
  <c r="X16" i="19"/>
  <c r="R6" i="19"/>
  <c r="L6" i="19"/>
  <c r="L16" i="19"/>
  <c r="AD36" i="19"/>
  <c r="AJ46" i="19"/>
  <c r="X26" i="19"/>
  <c r="X36" i="19"/>
  <c r="AD6" i="19"/>
  <c r="L26" i="19"/>
  <c r="AJ36" i="19"/>
  <c r="L46" i="19"/>
  <c r="X6" i="19"/>
  <c r="R16" i="19"/>
  <c r="AD16" i="19"/>
  <c r="R26" i="19"/>
  <c r="R36" i="19"/>
  <c r="X46" i="19"/>
  <c r="AJ6" i="19"/>
  <c r="AJ26" i="19"/>
  <c r="R46" i="19"/>
  <c r="L36" i="19"/>
  <c r="AJ16" i="19"/>
  <c r="AD26" i="19"/>
  <c r="AI218" i="1" l="1"/>
  <c r="AK218" i="1" s="1"/>
  <c r="AI167" i="1"/>
  <c r="AK167" i="1" s="1"/>
  <c r="AI182" i="1"/>
  <c r="AK182" i="1" s="1"/>
  <c r="AJ183" i="1"/>
  <c r="AI183" i="1" s="1"/>
  <c r="AK183" i="1" s="1"/>
  <c r="AI228" i="1"/>
  <c r="AK228" i="1" s="1"/>
  <c r="AI66" i="1"/>
  <c r="AK66" i="1" s="1"/>
  <c r="AJ50" i="1"/>
  <c r="AI50" i="1" s="1"/>
  <c r="AK50" i="1" s="1"/>
  <c r="AI49" i="1"/>
  <c r="AK49" i="1" s="1"/>
  <c r="Y29" i="19"/>
  <c r="S19" i="19"/>
  <c r="M49" i="19"/>
  <c r="S9" i="19"/>
  <c r="Y49" i="19"/>
  <c r="Y19" i="19"/>
  <c r="AK49" i="19"/>
  <c r="M19" i="19"/>
  <c r="AK39" i="19"/>
  <c r="M9" i="19"/>
  <c r="M29" i="19"/>
  <c r="Y39" i="19"/>
  <c r="AK9" i="19"/>
  <c r="AE9" i="19"/>
  <c r="AK29" i="19"/>
  <c r="M39" i="19"/>
  <c r="S49" i="19"/>
  <c r="AK19" i="19"/>
  <c r="AE49" i="19"/>
  <c r="AE29" i="19"/>
  <c r="AE39" i="19"/>
  <c r="S39" i="19"/>
  <c r="S29" i="19"/>
  <c r="AE19" i="19"/>
  <c r="Y9" i="19"/>
  <c r="S30" i="19"/>
  <c r="M30" i="19"/>
  <c r="AK30" i="19"/>
  <c r="Y50" i="19"/>
  <c r="AE10" i="19"/>
  <c r="AE30" i="19"/>
  <c r="AK10" i="19"/>
  <c r="M40" i="19"/>
  <c r="Y30" i="19"/>
  <c r="S10" i="19"/>
  <c r="Y10" i="19"/>
  <c r="AE40" i="19"/>
  <c r="M10" i="19"/>
  <c r="M50" i="19"/>
  <c r="Y40" i="19"/>
  <c r="S50" i="19"/>
  <c r="AK50" i="19"/>
  <c r="S20" i="19"/>
  <c r="S40" i="19"/>
  <c r="AE50" i="19"/>
  <c r="Y20" i="19"/>
  <c r="AK20" i="19"/>
  <c r="M20" i="19"/>
  <c r="AE20" i="19"/>
  <c r="AK40" i="19"/>
  <c r="AK36" i="1"/>
  <c r="AE54" i="19"/>
  <c r="Y44" i="19"/>
  <c r="S54" i="19"/>
  <c r="AE24" i="19"/>
  <c r="S14" i="19"/>
  <c r="AE34" i="19"/>
  <c r="Y24" i="19"/>
  <c r="AE44" i="19"/>
  <c r="Y14" i="19"/>
  <c r="AK54" i="19"/>
  <c r="AK14" i="19"/>
  <c r="S24" i="19"/>
  <c r="Y54" i="19"/>
  <c r="AK24" i="19"/>
  <c r="AK34" i="19"/>
  <c r="S34" i="19"/>
  <c r="S44" i="19"/>
  <c r="M24" i="19"/>
  <c r="AK44" i="19"/>
  <c r="AE14" i="19"/>
  <c r="M44" i="19"/>
  <c r="Y34" i="19"/>
  <c r="M54" i="19"/>
  <c r="M34" i="19"/>
  <c r="M14" i="19"/>
  <c r="AK12" i="19"/>
  <c r="AK22" i="19"/>
  <c r="M52" i="19"/>
  <c r="S12" i="19"/>
  <c r="AE52" i="19"/>
  <c r="S22" i="19"/>
  <c r="M42" i="19"/>
  <c r="S32" i="19"/>
  <c r="AE22" i="19"/>
  <c r="Y22" i="19"/>
  <c r="Y32" i="19"/>
  <c r="AE12" i="19"/>
  <c r="AK52" i="19"/>
  <c r="Y42" i="19"/>
  <c r="AK42" i="19"/>
  <c r="AE42" i="19"/>
  <c r="S42" i="19"/>
  <c r="M12" i="19"/>
  <c r="Y12" i="19"/>
  <c r="M22" i="19"/>
  <c r="AE32" i="19"/>
  <c r="Y52" i="19"/>
  <c r="S52" i="19"/>
  <c r="M32" i="19"/>
  <c r="AK32" i="19"/>
  <c r="AI37" i="1"/>
  <c r="AK15" i="19"/>
  <c r="S55" i="19"/>
  <c r="S15" i="19"/>
  <c r="M35" i="19"/>
  <c r="M15" i="19"/>
  <c r="Y35" i="19"/>
  <c r="AK25" i="19"/>
  <c r="M55" i="19"/>
  <c r="AE15" i="19"/>
  <c r="Y45" i="19"/>
  <c r="Y55" i="19"/>
  <c r="AK45" i="19"/>
  <c r="S45" i="19"/>
  <c r="AE45" i="19"/>
  <c r="M25" i="19"/>
  <c r="AE25" i="19"/>
  <c r="S35" i="19"/>
  <c r="AE55" i="19"/>
  <c r="AK55" i="19"/>
  <c r="Y15" i="19"/>
  <c r="AE35" i="19"/>
  <c r="Y25" i="19"/>
  <c r="AK35" i="19"/>
  <c r="M45" i="19"/>
  <c r="S25" i="19"/>
  <c r="M31" i="19"/>
  <c r="M41" i="19"/>
  <c r="Y31" i="19"/>
  <c r="Y11" i="19"/>
  <c r="Y41" i="19"/>
  <c r="AE51" i="19"/>
  <c r="AE11" i="19"/>
  <c r="AK51" i="19"/>
  <c r="AE41" i="19"/>
  <c r="AK41" i="19"/>
  <c r="S51" i="19"/>
  <c r="Y51" i="19"/>
  <c r="AK31" i="19"/>
  <c r="AE31" i="19"/>
  <c r="Y21" i="19"/>
  <c r="S11" i="19"/>
  <c r="S31" i="19"/>
  <c r="AE21" i="19"/>
  <c r="S41" i="19"/>
  <c r="M51" i="19"/>
  <c r="M21" i="19"/>
  <c r="M11" i="19"/>
  <c r="AK21" i="19"/>
  <c r="AK11" i="19"/>
  <c r="S21" i="19"/>
  <c r="AK32" i="1"/>
  <c r="AE13" i="19"/>
  <c r="S23" i="19"/>
  <c r="AK33" i="19"/>
  <c r="Y33" i="19"/>
  <c r="M33" i="19"/>
  <c r="AK43" i="19"/>
  <c r="AE43" i="19"/>
  <c r="S53" i="19"/>
  <c r="M43" i="19"/>
  <c r="M13" i="19"/>
  <c r="S13" i="19"/>
  <c r="AE33" i="19"/>
  <c r="Y53" i="19"/>
  <c r="S33" i="19"/>
  <c r="M53" i="19"/>
  <c r="AK13" i="19"/>
  <c r="Y23" i="19"/>
  <c r="S43" i="19"/>
  <c r="Y43" i="19"/>
  <c r="M23" i="19"/>
  <c r="AE23" i="19"/>
  <c r="AK53" i="19"/>
  <c r="AE53" i="19"/>
  <c r="Y13" i="19"/>
  <c r="AK23" i="19"/>
  <c r="M38" i="19"/>
  <c r="AK48" i="19"/>
  <c r="Y48" i="19"/>
  <c r="M28" i="19"/>
  <c r="Y8" i="19"/>
  <c r="Y38" i="19"/>
  <c r="M18" i="19"/>
  <c r="AK18" i="19"/>
  <c r="AE18" i="19"/>
  <c r="AK28" i="19"/>
  <c r="M8" i="19"/>
  <c r="M48" i="19"/>
  <c r="S8" i="19"/>
  <c r="AK38" i="19"/>
  <c r="AE38" i="19"/>
  <c r="Y18" i="19"/>
  <c r="AE28" i="19"/>
  <c r="AK8" i="19"/>
  <c r="S48" i="19"/>
  <c r="AE48" i="19"/>
  <c r="AE8" i="19"/>
  <c r="S28" i="19"/>
  <c r="Y28" i="19"/>
  <c r="S18" i="19"/>
  <c r="S38" i="19"/>
  <c r="M27" i="19"/>
  <c r="AE47" i="19"/>
  <c r="S47" i="19"/>
  <c r="Y17" i="19"/>
  <c r="Y37" i="19"/>
  <c r="AK47" i="19"/>
  <c r="S7" i="19"/>
  <c r="Y27" i="19"/>
  <c r="S17" i="19"/>
  <c r="M17" i="19"/>
  <c r="M37" i="19"/>
  <c r="S27" i="19"/>
  <c r="AE17" i="19"/>
  <c r="AK37" i="19"/>
  <c r="AK7" i="19"/>
  <c r="AK27" i="19"/>
  <c r="AE27" i="19"/>
  <c r="M7" i="19"/>
  <c r="Y7" i="19"/>
  <c r="AE37" i="19"/>
  <c r="Y47" i="19"/>
  <c r="S37" i="19"/>
  <c r="AK17" i="19"/>
  <c r="M47" i="19"/>
  <c r="AE7" i="19"/>
  <c r="N6" i="19"/>
  <c r="AF36" i="19"/>
  <c r="Z26" i="19"/>
  <c r="N36" i="19"/>
  <c r="AL16" i="19"/>
  <c r="N16" i="19"/>
  <c r="Z36" i="19"/>
  <c r="Z6" i="19"/>
  <c r="AF26" i="19"/>
  <c r="AF6" i="19"/>
  <c r="T46" i="19"/>
  <c r="T26" i="19"/>
  <c r="N46" i="19"/>
  <c r="T6" i="19"/>
  <c r="Z46" i="19"/>
  <c r="AF46" i="19"/>
  <c r="AL46" i="19"/>
  <c r="N26" i="19"/>
  <c r="T36" i="19"/>
  <c r="Z16" i="19"/>
  <c r="AF16" i="19"/>
  <c r="AL6" i="19"/>
  <c r="AL26" i="19"/>
  <c r="AL36" i="19"/>
  <c r="AM16" i="19"/>
  <c r="AA26" i="19"/>
  <c r="O46" i="19"/>
  <c r="AG46" i="19"/>
  <c r="AG26" i="19"/>
  <c r="O16" i="19"/>
  <c r="AM26" i="19"/>
  <c r="AM46" i="19"/>
  <c r="AG6" i="19"/>
  <c r="U16" i="19"/>
  <c r="O26" i="19"/>
  <c r="AM6" i="19"/>
  <c r="AA16" i="19"/>
  <c r="AA6" i="19"/>
  <c r="AA46" i="19"/>
  <c r="U26" i="19"/>
  <c r="O36" i="19"/>
  <c r="AM36" i="19"/>
  <c r="O6" i="19"/>
  <c r="U6" i="19"/>
  <c r="U36" i="19"/>
  <c r="U46" i="19"/>
  <c r="AG16" i="19"/>
  <c r="AG36" i="19"/>
  <c r="AA36" i="19"/>
  <c r="AM24" i="19" l="1"/>
  <c r="AA24" i="19"/>
  <c r="U54" i="19"/>
  <c r="AA44" i="19"/>
  <c r="AM54" i="19"/>
  <c r="O14" i="19"/>
  <c r="AA14" i="19"/>
  <c r="O54" i="19"/>
  <c r="AM44" i="19"/>
  <c r="U14" i="19"/>
  <c r="O34" i="19"/>
  <c r="AG24" i="19"/>
  <c r="AG14" i="19"/>
  <c r="AM14" i="19"/>
  <c r="AG54" i="19"/>
  <c r="O24" i="19"/>
  <c r="U34" i="19"/>
  <c r="AG34" i="19"/>
  <c r="AG44" i="19"/>
  <c r="AA34" i="19"/>
  <c r="U24" i="19"/>
  <c r="AM34" i="19"/>
  <c r="U44" i="19"/>
  <c r="O44" i="19"/>
  <c r="AA54" i="19"/>
  <c r="O35" i="19"/>
  <c r="AM35" i="19"/>
  <c r="AA25" i="19"/>
  <c r="O45" i="19"/>
  <c r="AM25" i="19"/>
  <c r="AM45" i="19"/>
  <c r="AA35" i="19"/>
  <c r="AG55" i="19"/>
  <c r="AG25" i="19"/>
  <c r="AM55" i="19"/>
  <c r="AA15" i="19"/>
  <c r="AM15" i="19"/>
  <c r="U35" i="19"/>
  <c r="O15" i="19"/>
  <c r="O55" i="19"/>
  <c r="AA55" i="19"/>
  <c r="U45" i="19"/>
  <c r="O25" i="19"/>
  <c r="AG15" i="19"/>
  <c r="U15" i="19"/>
  <c r="AG35" i="19"/>
  <c r="U55" i="19"/>
  <c r="U25" i="19"/>
  <c r="AG45" i="19"/>
  <c r="AA45" i="19"/>
  <c r="N45" i="19"/>
  <c r="Z45" i="19"/>
  <c r="N35" i="19"/>
  <c r="N55" i="19"/>
  <c r="AL25" i="19"/>
  <c r="AF25" i="19"/>
  <c r="N15" i="19"/>
  <c r="AL45" i="19"/>
  <c r="AF55" i="19"/>
  <c r="T15" i="19"/>
  <c r="AF35" i="19"/>
  <c r="Z35" i="19"/>
  <c r="T25" i="19"/>
  <c r="AF45" i="19"/>
  <c r="T55" i="19"/>
  <c r="T45" i="19"/>
  <c r="T35" i="19"/>
  <c r="AL55" i="19"/>
  <c r="AL15" i="19"/>
  <c r="N25" i="19"/>
  <c r="Z25" i="19"/>
  <c r="Z15" i="19"/>
  <c r="AL35" i="19"/>
  <c r="AF15" i="19"/>
  <c r="Z55" i="19"/>
  <c r="O40" i="19"/>
  <c r="AM40" i="19"/>
  <c r="AM20" i="19"/>
  <c r="AG10" i="19"/>
  <c r="U40" i="19"/>
  <c r="AA50" i="19"/>
  <c r="O50" i="19"/>
  <c r="AG40" i="19"/>
  <c r="U20" i="19"/>
  <c r="O20" i="19"/>
  <c r="AA30" i="19"/>
  <c r="AM10" i="19"/>
  <c r="AG20" i="19"/>
  <c r="AA40" i="19"/>
  <c r="AG50" i="19"/>
  <c r="AA10" i="19"/>
  <c r="AM30" i="19"/>
  <c r="O30" i="19"/>
  <c r="O10" i="19"/>
  <c r="U30" i="19"/>
  <c r="U50" i="19"/>
  <c r="AM50" i="19"/>
  <c r="AG30" i="19"/>
  <c r="AA20" i="19"/>
  <c r="U10" i="19"/>
  <c r="T50" i="19"/>
  <c r="N20" i="19"/>
  <c r="N50" i="19"/>
  <c r="N40" i="19"/>
  <c r="AL40" i="19"/>
  <c r="AF40" i="19"/>
  <c r="T20" i="19"/>
  <c r="Z20" i="19"/>
  <c r="AL50" i="19"/>
  <c r="N10" i="19"/>
  <c r="T10" i="19"/>
  <c r="AL10" i="19"/>
  <c r="AL30" i="19"/>
  <c r="Z40" i="19"/>
  <c r="N30" i="19"/>
  <c r="AF30" i="19"/>
  <c r="T40" i="19"/>
  <c r="T30" i="19"/>
  <c r="Z10" i="19"/>
  <c r="AF10" i="19"/>
  <c r="Z30" i="19"/>
  <c r="AF20" i="19"/>
  <c r="AF50" i="19"/>
  <c r="Z50" i="19"/>
  <c r="AL20" i="19"/>
  <c r="AA23" i="19"/>
  <c r="AM23" i="19"/>
  <c r="O33" i="19"/>
  <c r="AG13" i="19"/>
  <c r="AM53" i="19"/>
  <c r="AA53" i="19"/>
  <c r="O53" i="19"/>
  <c r="AM43" i="19"/>
  <c r="AG33" i="19"/>
  <c r="U33" i="19"/>
  <c r="U13" i="19"/>
  <c r="O23" i="19"/>
  <c r="O43" i="19"/>
  <c r="AM13" i="19"/>
  <c r="AA13" i="19"/>
  <c r="AG23" i="19"/>
  <c r="AM33" i="19"/>
  <c r="AG43" i="19"/>
  <c r="AA43" i="19"/>
  <c r="AA33" i="19"/>
  <c r="U53" i="19"/>
  <c r="U23" i="19"/>
  <c r="O13" i="19"/>
  <c r="AG53" i="19"/>
  <c r="U43" i="19"/>
  <c r="AA39" i="19"/>
  <c r="O39" i="19"/>
  <c r="AG9" i="19"/>
  <c r="AG29" i="19"/>
  <c r="AM49" i="19"/>
  <c r="O29" i="19"/>
  <c r="U9" i="19"/>
  <c r="AA9" i="19"/>
  <c r="O9" i="19"/>
  <c r="AM39" i="19"/>
  <c r="U39" i="19"/>
  <c r="U19" i="19"/>
  <c r="AG19" i="19"/>
  <c r="AG49" i="19"/>
  <c r="AM19" i="19"/>
  <c r="AG39" i="19"/>
  <c r="AA29" i="19"/>
  <c r="AM9" i="19"/>
  <c r="O49" i="19"/>
  <c r="AM29" i="19"/>
  <c r="U49" i="19"/>
  <c r="O19" i="19"/>
  <c r="AA19" i="19"/>
  <c r="U29" i="19"/>
  <c r="AA49" i="19"/>
  <c r="AK37" i="1"/>
  <c r="T44" i="19"/>
  <c r="T54" i="19"/>
  <c r="AF34" i="19"/>
  <c r="Z34" i="19"/>
  <c r="AL24" i="19"/>
  <c r="AF44" i="19"/>
  <c r="Z44" i="19"/>
  <c r="AL34" i="19"/>
  <c r="N34" i="19"/>
  <c r="N44" i="19"/>
  <c r="AL14" i="19"/>
  <c r="Z14" i="19"/>
  <c r="AF54" i="19"/>
  <c r="T14" i="19"/>
  <c r="N14" i="19"/>
  <c r="Z54" i="19"/>
  <c r="AL54" i="19"/>
  <c r="N54" i="19"/>
  <c r="AF14" i="19"/>
  <c r="T24" i="19"/>
  <c r="Z24" i="19"/>
  <c r="AF24" i="19"/>
  <c r="AL44" i="19"/>
  <c r="N24" i="19"/>
  <c r="T34" i="19"/>
  <c r="AL13" i="19"/>
  <c r="AF33" i="19"/>
  <c r="AF23" i="19"/>
  <c r="Z13" i="19"/>
  <c r="N23" i="19"/>
  <c r="AF53" i="19"/>
  <c r="T53" i="19"/>
  <c r="Z33" i="19"/>
  <c r="Z43" i="19"/>
  <c r="Z53" i="19"/>
  <c r="T33" i="19"/>
  <c r="Z23" i="19"/>
  <c r="AL23" i="19"/>
  <c r="N53" i="19"/>
  <c r="N33" i="19"/>
  <c r="AL43" i="19"/>
  <c r="T43" i="19"/>
  <c r="T23" i="19"/>
  <c r="AF43" i="19"/>
  <c r="AL33" i="19"/>
  <c r="N13" i="19"/>
  <c r="T13" i="19"/>
  <c r="AL53" i="19"/>
  <c r="N43" i="19"/>
  <c r="AF13" i="19"/>
  <c r="N49" i="19"/>
  <c r="T9" i="19"/>
  <c r="N9" i="19"/>
  <c r="AF39" i="19"/>
  <c r="T49" i="19"/>
  <c r="AL49" i="19"/>
  <c r="T19" i="19"/>
  <c r="AL19" i="19"/>
  <c r="AL9" i="19"/>
  <c r="Z49" i="19"/>
  <c r="Z39" i="19"/>
  <c r="AF29" i="19"/>
  <c r="T29" i="19"/>
  <c r="AF49" i="19"/>
  <c r="Z19" i="19"/>
  <c r="AL29" i="19"/>
  <c r="AL39" i="19"/>
  <c r="N39" i="19"/>
  <c r="AF19" i="19"/>
  <c r="Z9" i="19"/>
  <c r="T39" i="19"/>
  <c r="Z29" i="19"/>
  <c r="N29" i="19"/>
  <c r="AF9" i="19"/>
  <c r="N19" i="19"/>
  <c r="AM21" i="19"/>
  <c r="U51" i="19"/>
  <c r="AM11" i="19"/>
  <c r="O11" i="19"/>
  <c r="AA31" i="19"/>
  <c r="U11" i="19"/>
  <c r="U41" i="19"/>
  <c r="AG41" i="19"/>
  <c r="AA41" i="19"/>
  <c r="AA11" i="19"/>
  <c r="O21" i="19"/>
  <c r="AA21" i="19"/>
  <c r="AG11" i="19"/>
  <c r="AM31" i="19"/>
  <c r="AA51" i="19"/>
  <c r="U21" i="19"/>
  <c r="AG51" i="19"/>
  <c r="AG31" i="19"/>
  <c r="O51" i="19"/>
  <c r="O41" i="19"/>
  <c r="AM51" i="19"/>
  <c r="AM41" i="19"/>
  <c r="AG21" i="19"/>
  <c r="U31" i="19"/>
  <c r="O31" i="19"/>
  <c r="T51" i="19"/>
  <c r="Z51" i="19"/>
  <c r="AL41" i="19"/>
  <c r="T41" i="19"/>
  <c r="Z11" i="19"/>
  <c r="T21" i="19"/>
  <c r="AL51" i="19"/>
  <c r="Z31" i="19"/>
  <c r="AF11" i="19"/>
  <c r="AL11" i="19"/>
  <c r="AL31" i="19"/>
  <c r="N11" i="19"/>
  <c r="AF51" i="19"/>
  <c r="N51" i="19"/>
  <c r="Z21" i="19"/>
  <c r="T31" i="19"/>
  <c r="AF21" i="19"/>
  <c r="N31" i="19"/>
  <c r="T11" i="19"/>
  <c r="N21" i="19"/>
  <c r="AF41" i="19"/>
  <c r="AL21" i="19"/>
  <c r="AF31" i="19"/>
  <c r="N41" i="19"/>
  <c r="Z41" i="19"/>
  <c r="U32" i="19"/>
  <c r="O52" i="19"/>
  <c r="AM12" i="19"/>
  <c r="AM42" i="19"/>
  <c r="U42" i="19"/>
  <c r="AG22" i="19"/>
  <c r="AM32" i="19"/>
  <c r="AG52" i="19"/>
  <c r="O32" i="19"/>
  <c r="AA22" i="19"/>
  <c r="AG12" i="19"/>
  <c r="AG32" i="19"/>
  <c r="U52" i="19"/>
  <c r="AA42" i="19"/>
  <c r="AA12" i="19"/>
  <c r="O42" i="19"/>
  <c r="U12" i="19"/>
  <c r="O12" i="19"/>
  <c r="AA32" i="19"/>
  <c r="U22" i="19"/>
  <c r="AM52" i="19"/>
  <c r="AM22" i="19"/>
  <c r="AG42" i="19"/>
  <c r="AA52" i="19"/>
  <c r="O22" i="19"/>
  <c r="T52" i="19"/>
  <c r="N42" i="19"/>
  <c r="N32" i="19"/>
  <c r="Z32" i="19"/>
  <c r="Z22" i="19"/>
  <c r="AL32" i="19"/>
  <c r="T12" i="19"/>
  <c r="Z42" i="19"/>
  <c r="AF52" i="19"/>
  <c r="Z52" i="19"/>
  <c r="N52" i="19"/>
  <c r="T32" i="19"/>
  <c r="AF42" i="19"/>
  <c r="AL52" i="19"/>
  <c r="T42" i="19"/>
  <c r="AF22" i="19"/>
  <c r="N22" i="19"/>
  <c r="AL12" i="19"/>
  <c r="Z12" i="19"/>
  <c r="AF32" i="19"/>
  <c r="N12" i="19"/>
  <c r="T22" i="19"/>
  <c r="AF12" i="19"/>
  <c r="AL42" i="19"/>
  <c r="AL22" i="19"/>
  <c r="AG28" i="19"/>
  <c r="AA8" i="19"/>
  <c r="AG38" i="19"/>
  <c r="AA28" i="19"/>
  <c r="AG8" i="19"/>
  <c r="AA18" i="19"/>
  <c r="U38" i="19"/>
  <c r="AG18" i="19"/>
  <c r="AM28" i="19"/>
  <c r="U8" i="19"/>
  <c r="U48" i="19"/>
  <c r="AA38" i="19"/>
  <c r="AM8" i="19"/>
  <c r="O8" i="19"/>
  <c r="AM48" i="19"/>
  <c r="AA48" i="19"/>
  <c r="O48" i="19"/>
  <c r="U28" i="19"/>
  <c r="U18" i="19"/>
  <c r="AM38" i="19"/>
  <c r="O18" i="19"/>
  <c r="AM18" i="19"/>
  <c r="O38" i="19"/>
  <c r="AG48" i="19"/>
  <c r="O28" i="19"/>
  <c r="T18" i="19"/>
  <c r="AF18" i="19"/>
  <c r="AF48" i="19"/>
  <c r="Z38" i="19"/>
  <c r="N8" i="19"/>
  <c r="T8" i="19"/>
  <c r="T48" i="19"/>
  <c r="N28" i="19"/>
  <c r="T38" i="19"/>
  <c r="Z28" i="19"/>
  <c r="AF38" i="19"/>
  <c r="AL28" i="19"/>
  <c r="N18" i="19"/>
  <c r="AL38" i="19"/>
  <c r="Z48" i="19"/>
  <c r="AF8" i="19"/>
  <c r="AF28" i="19"/>
  <c r="N48" i="19"/>
  <c r="Z18" i="19"/>
  <c r="Z8" i="19"/>
  <c r="N38" i="19"/>
  <c r="AL18" i="19"/>
  <c r="AL48" i="19"/>
  <c r="AL8" i="19"/>
  <c r="T28" i="19"/>
  <c r="AG47" i="19"/>
  <c r="O17" i="19"/>
  <c r="AA47" i="19"/>
  <c r="AG27" i="19"/>
  <c r="O7" i="19"/>
  <c r="U37" i="19"/>
  <c r="AG17" i="19"/>
  <c r="AM7" i="19"/>
  <c r="U27" i="19"/>
  <c r="AA7" i="19"/>
  <c r="U17" i="19"/>
  <c r="O27" i="19"/>
  <c r="AA17" i="19"/>
  <c r="AM37" i="19"/>
  <c r="AM17" i="19"/>
  <c r="U47" i="19"/>
  <c r="O37" i="19"/>
  <c r="U7" i="19"/>
  <c r="AA37" i="19"/>
  <c r="O47" i="19"/>
  <c r="AM27" i="19"/>
  <c r="AA27" i="19"/>
  <c r="AG7" i="19"/>
  <c r="AG37" i="19"/>
  <c r="AM47" i="19"/>
  <c r="N7" i="19"/>
  <c r="AL27" i="19"/>
  <c r="AL7" i="19"/>
  <c r="T47" i="19"/>
  <c r="Z27" i="19"/>
  <c r="AL17" i="19"/>
  <c r="T27" i="19"/>
  <c r="Z37" i="19"/>
  <c r="AF37" i="19"/>
  <c r="AF47" i="19"/>
  <c r="Z17" i="19"/>
  <c r="AF17" i="19"/>
  <c r="AL47" i="19"/>
  <c r="N47" i="19"/>
  <c r="Z47" i="19"/>
  <c r="AF7" i="19"/>
  <c r="T37" i="19"/>
  <c r="N17" i="19"/>
  <c r="AF27" i="19"/>
  <c r="N37" i="19"/>
  <c r="Z7" i="19"/>
  <c r="T7" i="19"/>
  <c r="T17" i="19"/>
  <c r="AL37" i="19"/>
  <c r="N27" i="19"/>
</calcChain>
</file>

<file path=xl/comments1.xml><?xml version="1.0" encoding="utf-8"?>
<comments xmlns="http://schemas.openxmlformats.org/spreadsheetml/2006/main">
  <authors>
    <author>Nicolas Corredor</author>
  </authors>
  <commentList>
    <comment ref="E11" authorId="0" shapeId="0">
      <text>
        <r>
          <rPr>
            <b/>
            <sz val="16"/>
            <color indexed="81"/>
            <rFont val="Tahoma"/>
            <family val="2"/>
          </rPr>
          <t>¿QUÉ?</t>
        </r>
      </text>
    </comment>
    <comment ref="F11" authorId="0" shapeId="0">
      <text>
        <r>
          <rPr>
            <b/>
            <sz val="16"/>
            <color indexed="81"/>
            <rFont val="Tahoma"/>
            <family val="2"/>
          </rPr>
          <t>¿CÓMO?</t>
        </r>
      </text>
    </comment>
    <comment ref="G11" authorId="0" shapeId="0">
      <text>
        <r>
          <rPr>
            <b/>
            <sz val="16"/>
            <color indexed="81"/>
            <rFont val="Tahoma"/>
            <family val="2"/>
          </rPr>
          <t>¿POR QUÉ?</t>
        </r>
      </text>
    </comment>
    <comment ref="H11" authorId="0" shapeId="0">
      <text>
        <r>
          <rPr>
            <b/>
            <sz val="16"/>
            <color indexed="81"/>
            <rFont val="Tahoma"/>
            <family val="2"/>
          </rPr>
          <t>=Impacto+Causa Inmediata + Causa Raíz</t>
        </r>
      </text>
    </comment>
  </commentList>
</comments>
</file>

<file path=xl/comments2.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3.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4.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5.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6.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sharedStrings.xml><?xml version="1.0" encoding="utf-8"?>
<sst xmlns="http://schemas.openxmlformats.org/spreadsheetml/2006/main" count="3766" uniqueCount="1221">
  <si>
    <t>Matriz Mapa de Riesgos</t>
  </si>
  <si>
    <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indexed="53"/>
        <rFont val="Arial Narrow"/>
        <family val="2"/>
      </rPr>
      <t>Guía para la Administración del Riesgo y el diseño de controles V5</t>
    </r>
    <r>
      <rPr>
        <sz val="10"/>
        <rFont val="Arial Narrow"/>
        <family val="2"/>
      </rPr>
      <t>. El formato cuenta con celdas parametrizadas y permite contar con los respectivos mapas de calor para riesgo inherente y riesgo residual.</t>
    </r>
  </si>
  <si>
    <t>Orientaciones Generales</t>
  </si>
  <si>
    <r>
      <t xml:space="preserve">Antes de iniciar con el diligenciamiento de la información en la matriz, se requiere haber avanzado en el análisis del </t>
    </r>
    <r>
      <rPr>
        <b/>
        <sz val="11"/>
        <rFont val="Arial Narrow"/>
        <family val="2"/>
      </rPr>
      <t>proceso, su objetivo, alcance, actividades clave</t>
    </r>
    <r>
      <rPr>
        <sz val="11"/>
        <rFont val="Arial Narrow"/>
        <family val="2"/>
      </rPr>
      <t xml:space="preserve">, considere los lineamientos establecidos en el </t>
    </r>
    <r>
      <rPr>
        <b/>
        <sz val="11"/>
        <color indexed="53"/>
        <rFont val="Arial Narrow"/>
        <family val="2"/>
      </rPr>
      <t>Paso 2: identificación del riesgo</t>
    </r>
    <r>
      <rPr>
        <sz val="11"/>
        <rFont val="Arial Narrow"/>
        <family val="2"/>
      </rPr>
      <t xml:space="preserve">, donde se explica ampliamente las bases para adelanter este análisis.
Así mismo, considere en el </t>
    </r>
    <r>
      <rPr>
        <b/>
        <sz val="11"/>
        <color indexed="5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indexed="53"/>
        <rFont val="Arial Narrow"/>
        <family val="2"/>
      </rPr>
      <t>NOTA:</t>
    </r>
    <r>
      <rPr>
        <sz val="11"/>
        <rFont val="Arial Narrow"/>
        <family val="2"/>
      </rPr>
      <t xml:space="preserve"> Si lo considera pertinente, es posible agregar hojas de trabajo adicionales al presente formato que permitan incluir la traza de estos análisis.</t>
    </r>
  </si>
  <si>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Mapa Final: </t>
    </r>
    <r>
      <rPr>
        <sz val="10"/>
        <rFont val="Arial Narrow"/>
        <family val="2"/>
      </rPr>
      <t>Encontrará la totalidad de la estructura para la identificación y valoración de los riesgos por proceso, programa o proyecto, acorde con el nivel de desagregación que la entidad considere necesaria.</t>
    </r>
  </si>
  <si>
    <t>Columna</t>
  </si>
  <si>
    <t>Descripción - Lineamientos para el diligenciamiento</t>
  </si>
  <si>
    <t>Proceso</t>
  </si>
  <si>
    <t>Diligencie el nombre del proceso al cual se le identificarán y valorarán los riesgos.</t>
  </si>
  <si>
    <t>Objetivo</t>
  </si>
  <si>
    <t>Diligencie el objetivo del proceso.</t>
  </si>
  <si>
    <t>Alcance</t>
  </si>
  <si>
    <t>Diligencie el alcance del proceso.</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</si>
  <si>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</si>
  <si>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</si>
  <si>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t>Impacto</t>
  </si>
  <si>
    <t>Analice las consecuencias que puede ocasionar a la organización la materialización del riesgo, redacte de la forma más concreta posible.</t>
  </si>
  <si>
    <t>Causa Inmediata</t>
  </si>
  <si>
    <t>Circunstancias bajo las cuales se presenta el riesgo, es la situación más evidente frente al riesgo, redacte de la forma más concreta posible.</t>
  </si>
  <si>
    <t>Causa Raíz</t>
  </si>
  <si>
    <t>Causa  principal  o básica, corresponde a las razones por la cuales se puede presentar  el riesgo, redacte de la forma más concreta posible.</t>
  </si>
  <si>
    <t>Descripción del Riesgo</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</si>
  <si>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indexed="53"/>
        <rFont val="Arial Narrow"/>
        <family val="2"/>
      </rPr>
      <t>POSIBILIDAD DE + Impacto para la entidad (Qué) + Causa Inmediata (Cómo) + Causa Raíz (Por qué)</t>
    </r>
  </si>
  <si>
    <t>Clasificación del Riesgo</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</si>
  <si>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</si>
  <si>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Frecuencia con la cual se lleva a cabo la actividad</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</si>
  <si>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</si>
  <si>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</si>
  <si>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</si>
  <si>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Zona de Riesgo Inherente</t>
  </si>
  <si>
    <t>Teniendo en cuenta que ingresó la información de PROBABILIDAD e IMPACTO, la matriz automáticamente hará el cálculo para la zona de riesgo inherente (Columna N)</t>
  </si>
  <si>
    <t>Descripción del Control</t>
  </si>
  <si>
    <r>
      <t xml:space="preserve">Recuerde que el control se define como la medida que permite reducir o mitigar un riesgo. Defina el control (es) que atacan la causa raíz del riesgo, considere la estructura explicada en la guía: </t>
    </r>
    <r>
      <rPr>
        <b/>
        <sz val="9"/>
        <color indexed="53"/>
        <rFont val="Arial Narrow"/>
        <family val="2"/>
      </rPr>
      <t>Responsable de ejecutar el control + Acción + Complemento</t>
    </r>
  </si>
  <si>
    <t>Afectación</t>
  </si>
  <si>
    <t>Esta casilla no se diligencia, depende de la selección en la columna R.</t>
  </si>
  <si>
    <r>
      <t xml:space="preserve">ATRIBUTOS EFICIENCIA
</t>
    </r>
    <r>
      <rPr>
        <sz val="9"/>
        <rFont val="Arial Narrow"/>
        <family val="2"/>
      </rPr>
      <t>Tipo</t>
    </r>
  </si>
  <si>
    <t>Utilice la lista de despligue que se encuentra parametrizada, le aparecerán las opciones: i)Preventivo, ii)Detectivo, iii)Correctivo.</t>
  </si>
  <si>
    <r>
      <t xml:space="preserve">ATRIBUTOS EFICIENCIA
</t>
    </r>
    <r>
      <rPr>
        <sz val="9"/>
        <rFont val="Arial Narrow"/>
        <family val="2"/>
      </rPr>
      <t>Implementación</t>
    </r>
  </si>
  <si>
    <t>Utilice la lista de despligue que se encuentra parametrizada, le aparecerán las opciones: i)Automático, ii)Manual.</t>
  </si>
  <si>
    <r>
      <t xml:space="preserve">ATRIBUTOS EFICIENCIA
</t>
    </r>
    <r>
      <rPr>
        <sz val="9"/>
        <rFont val="Arial Narrow"/>
        <family val="2"/>
      </rPr>
      <t>Calificación</t>
    </r>
  </si>
  <si>
    <t xml:space="preserve">La matriz automáticamente hará el cálculo para el control analizado (Columna T) </t>
  </si>
  <si>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</si>
  <si>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</si>
  <si>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</si>
  <si>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</si>
  <si>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</si>
  <si>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</si>
  <si>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</si>
  <si>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indexed="53"/>
        <rFont val="Arial Narrow"/>
        <family val="2"/>
      </rPr>
      <t xml:space="preserve"> nivel de riesgo inherente</t>
    </r>
    <r>
      <rPr>
        <sz val="9"/>
        <rFont val="Arial Narrow"/>
        <family val="2"/>
      </rPr>
      <t xml:space="preserve"> (Columnas Y- Z- AA -AB- AC).</t>
    </r>
  </si>
  <si>
    <t>Tratamiento</t>
  </si>
  <si>
    <t>Utilice la lista de despligue que se encuentra parametrizada, le aparecerán las opciones: i)Aceptar, ii)Evitar, iii)Reducir (compartir), iv)Reducir (mitigar).</t>
  </si>
  <si>
    <r>
      <t xml:space="preserve">Plan de Acción
</t>
    </r>
    <r>
      <rPr>
        <sz val="9"/>
        <rFont val="Arial Narrow"/>
        <family val="2"/>
      </rPr>
      <t xml:space="preserve">Responsable, fecha implementación, fecha seguimiento, seguimiento. </t>
    </r>
  </si>
  <si>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</si>
  <si>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t>Estado</t>
  </si>
  <si>
    <t>Utilice la lista de despligue que se encuentra parametrizada, le aparecerán las opciones: i)Finalizado, ii)En curso, la selección en este caso dependerá de las acciones del plan que se hayan establecido en cada caso.</t>
  </si>
  <si>
    <r>
      <t xml:space="preserve"> -</t>
    </r>
    <r>
      <rPr>
        <sz val="11"/>
        <rFont val="Arial Narrow"/>
        <family val="2"/>
      </rPr>
      <t xml:space="preserve"> </t>
    </r>
    <r>
      <rPr>
        <b/>
        <sz val="11"/>
        <rFont val="Arial Narrow"/>
        <family val="2"/>
      </rPr>
      <t xml:space="preserve"> Hoja 3 Matriz de Calor Inherente: </t>
    </r>
    <r>
      <rPr>
        <sz val="11"/>
        <rFont val="Arial Narrow"/>
        <family val="2"/>
      </rPr>
      <t xml:space="preserve"> 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</si>
  <si>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4 Matriz de Calor Residual: </t>
    </r>
    <r>
      <rPr>
        <sz val="11"/>
        <rFont val="Arial Narrow"/>
        <family val="2"/>
      </rPr>
      <t>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</si>
  <si>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5 Tabla de probabilidad: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</si>
  <si>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6 Tabla de Impacto: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</si>
  <si>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7 Tabla de Valoración de Controles: </t>
    </r>
    <r>
      <rPr>
        <sz val="11"/>
        <rFont val="Arial Narrow"/>
        <family val="2"/>
      </rPr>
      <t>Tabla referente para todos los cálculos (no se diligencia)</t>
    </r>
  </si>
  <si>
    <t>HOSPITAL MILITAR CENTRAL</t>
  </si>
  <si>
    <t>FORMATO: MAPA DE RIESGOS POR PROCESO</t>
  </si>
  <si>
    <t>CÓDIGO: PL-OAPL-PR-05-FT-02</t>
  </si>
  <si>
    <t>OFICINA: ASESORA DE PLANEACION</t>
  </si>
  <si>
    <t>FECHA DE EMISIÓN: 12-08-2022</t>
  </si>
  <si>
    <t>PROCESO: PLANEACION</t>
  </si>
  <si>
    <t>VERSIÓN: 08</t>
  </si>
  <si>
    <t>SISTEMA DE GESTION INTEGRADO SGI</t>
  </si>
  <si>
    <t>Página 1 de 1</t>
  </si>
  <si>
    <t>Proceso:</t>
  </si>
  <si>
    <t>Objetivo:</t>
  </si>
  <si>
    <t>Alcance:</t>
  </si>
  <si>
    <t>Identificación del riesgo</t>
  </si>
  <si>
    <t>Análisis del riesgo inherente</t>
  </si>
  <si>
    <t>Evaluación del riesgo - Valoración de los controles</t>
  </si>
  <si>
    <t>Evaluación del riesgo - Nivel del riesgo residual</t>
  </si>
  <si>
    <t>Plan de Acción</t>
  </si>
  <si>
    <t xml:space="preserve">Referencia </t>
  </si>
  <si>
    <t>Código Único
(iD)</t>
  </si>
  <si>
    <t>Definición Riesgos de Corrupción
Marcar con una ( X )</t>
  </si>
  <si>
    <t>Activo de la Información (Seguridad Digital)</t>
  </si>
  <si>
    <t>Frecuencia con la cual se realiza la actividad</t>
  </si>
  <si>
    <t>Probabilidad Inherente</t>
  </si>
  <si>
    <t>%</t>
  </si>
  <si>
    <t>Criterios de impacto</t>
  </si>
  <si>
    <t>Observación de criterio</t>
  </si>
  <si>
    <t>Impacto 
Inherente</t>
  </si>
  <si>
    <t>No. Control</t>
  </si>
  <si>
    <t>Atributos</t>
  </si>
  <si>
    <t>Probabilidad Residual</t>
  </si>
  <si>
    <t>Probabilidad Residual Final</t>
  </si>
  <si>
    <t>Impacto Residual Final</t>
  </si>
  <si>
    <t>Zona de Riesgo Final</t>
  </si>
  <si>
    <t>Responsable</t>
  </si>
  <si>
    <t>Fecha Implementación</t>
  </si>
  <si>
    <t>Fecha Seguimiento</t>
  </si>
  <si>
    <t>Acción u Omisión</t>
  </si>
  <si>
    <t>Uso del Poder</t>
  </si>
  <si>
    <t>Desviar la Gestión 
de lo Público</t>
  </si>
  <si>
    <t xml:space="preserve">Beneficio Privado </t>
  </si>
  <si>
    <t>Tipo</t>
  </si>
  <si>
    <t>Implementación</t>
  </si>
  <si>
    <t>Calificación</t>
  </si>
  <si>
    <t>Documentación</t>
  </si>
  <si>
    <t>Frecuencia</t>
  </si>
  <si>
    <t>Evidencia</t>
  </si>
  <si>
    <t>FORMATO: SEGUIMIENTOS Y MONITOREO MAPA DE RIESGOS</t>
  </si>
  <si>
    <t>CÓDIGO: PL-OAPL-PR-05-FT-01</t>
  </si>
  <si>
    <t>VERSIÓN: 06</t>
  </si>
  <si>
    <t>FECHA DEL REPORTE DEL MONITOREO</t>
  </si>
  <si>
    <t>INFORMACIÓN DEL RIESGO</t>
  </si>
  <si>
    <r>
      <t xml:space="preserve">SEGUIMIENTO DE CONTROLES - LÍDERES DE PROCESO
ACCIONES DE AUTOCONTROL
</t>
    </r>
    <r>
      <rPr>
        <b/>
        <i/>
        <sz val="26"/>
        <color theme="1"/>
        <rFont val="Arial Narrow"/>
        <family val="2"/>
      </rPr>
      <t>(Describa las acciones de autocontrol realizadas para mitigar el riesgo)</t>
    </r>
  </si>
  <si>
    <t>¿SE MATERIALIZÓ EL RIESGO?</t>
  </si>
  <si>
    <t>PLAN DE MANEJO Y/O MITIGACIÓN DEL RIESGO 
(Diligencie en caso de haberse materializado el riesgo)</t>
  </si>
  <si>
    <t>No</t>
  </si>
  <si>
    <t xml:space="preserve"> Describa brevemente el hecho y especifique el área y/o servicio en donde tuvo lugar</t>
  </si>
  <si>
    <r>
      <t xml:space="preserve">¿Cuántos hechos se presentaron?
</t>
    </r>
    <r>
      <rPr>
        <b/>
        <i/>
        <sz val="26"/>
        <color theme="1"/>
        <rFont val="Arial Narrow"/>
        <family val="2"/>
      </rPr>
      <t>(Descripción numérica)</t>
    </r>
  </si>
  <si>
    <t>Realizó Análisis 
Causa -Raiz</t>
  </si>
  <si>
    <t>Describa el Análisis Causa - Raíz.</t>
  </si>
  <si>
    <t>Acciones desarrolladas para 
mitigar el riesgo</t>
  </si>
  <si>
    <t xml:space="preserve">Plazo de ejecución </t>
  </si>
  <si>
    <t>Registros / Evidencias</t>
  </si>
  <si>
    <r>
      <t xml:space="preserve">SEGUIMIENTO DE CONTROLES - LÍDERES DE PROCESO
ACCIONES DE AUTOCONTROL
</t>
    </r>
    <r>
      <rPr>
        <b/>
        <i/>
        <sz val="26"/>
        <color theme="1"/>
        <rFont val="Arial Narrow"/>
        <family val="2"/>
      </rPr>
      <t>(Describa las acciones de control realizadas para mitigar el riesgo)</t>
    </r>
  </si>
  <si>
    <r>
      <t>¿Cuántos hechos se presentaron?
(</t>
    </r>
    <r>
      <rPr>
        <b/>
        <i/>
        <sz val="26"/>
        <color theme="1"/>
        <rFont val="Arial Narrow"/>
        <family val="2"/>
      </rPr>
      <t>Descripción numérica)</t>
    </r>
  </si>
  <si>
    <t>Acciones desarrolladas para mitigar el riesgo</t>
  </si>
  <si>
    <t>MATRIZ DE MONITOREO DE RIESGOS 2 CORTE 
(ABRIL - JUNIO)</t>
  </si>
  <si>
    <t>Realizó Análisis Causa -Raiz</t>
  </si>
  <si>
    <t>Matriz de Calor Inherente</t>
  </si>
  <si>
    <t>Probabilidad</t>
  </si>
  <si>
    <t>Muy Alta
100%</t>
  </si>
  <si>
    <t>Extremo</t>
  </si>
  <si>
    <t>Alta
80%</t>
  </si>
  <si>
    <t>Alto</t>
  </si>
  <si>
    <t>Media
60%</t>
  </si>
  <si>
    <t>Moderado</t>
  </si>
  <si>
    <t>Baja
40%</t>
  </si>
  <si>
    <t>Bajo</t>
  </si>
  <si>
    <t>Muy Baja
20%</t>
  </si>
  <si>
    <t>Leve
20%</t>
  </si>
  <si>
    <t>Menor
40%</t>
  </si>
  <si>
    <t>Moderado
60%</t>
  </si>
  <si>
    <t>Mayor
80%</t>
  </si>
  <si>
    <t>Catastrófico
100%</t>
  </si>
  <si>
    <t xml:space="preserve"> Matriz de Calor Residual</t>
  </si>
  <si>
    <t>Tabla Criterios para definir el nivel de probabilidad</t>
  </si>
  <si>
    <t>Frecuencia de la Actividad</t>
  </si>
  <si>
    <t>Muy Baja</t>
  </si>
  <si>
    <t>La actividad que conlleva el riesgo se ejecuta como máximos 2 veces por año</t>
  </si>
  <si>
    <t>Baja</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</si>
  <si>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</si>
  <si>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</si>
  <si>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</si>
  <si>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</si>
  <si>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</si>
  <si>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</si>
  <si>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</si>
  <si>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Describa el Análisis Causa - Raíz</t>
  </si>
  <si>
    <t>MATRIZ DE MONITOREO DE RIESGOS DE CORRUPCIÓN
 (ENERO - DICIEMBRE)</t>
  </si>
  <si>
    <t>MES DE REPORTE 
DEL MONITOREO</t>
  </si>
  <si>
    <r>
      <t xml:space="preserve">SEGUIMIENTO DE CONTROLES - LÍDERES DE PROCESO
ACCIONES DE AUTOCONTROL
</t>
    </r>
    <r>
      <rPr>
        <b/>
        <i/>
        <sz val="26"/>
        <color theme="1"/>
        <rFont val="Arial Narrow"/>
        <family val="2"/>
      </rPr>
      <t>(Describa las acciones de autocontrol realizadas para mitigar el riesgo)</t>
    </r>
  </si>
  <si>
    <t>Describa brevemente el hecho y especifique el área y/o servicio en donde tuvo lugar</t>
  </si>
  <si>
    <t>¿Realizó Análisis Causa -Raiz?</t>
  </si>
  <si>
    <t xml:space="preserve">Describa el Análisis Causa - Raíz. </t>
  </si>
  <si>
    <t>ENERO</t>
  </si>
  <si>
    <t>FEBRERO</t>
  </si>
  <si>
    <t>MARZO</t>
  </si>
  <si>
    <t>ABRIL</t>
  </si>
  <si>
    <t>MAYO</t>
  </si>
  <si>
    <t>JUNIO</t>
  </si>
  <si>
    <t>JULIO</t>
  </si>
  <si>
    <t>AGOSTO</t>
  </si>
  <si>
    <t>SEPTIEMBRE</t>
  </si>
  <si>
    <t>OCTUBRE</t>
  </si>
  <si>
    <t>NOVIEMBRE</t>
  </si>
  <si>
    <t>DICIEMBRE</t>
  </si>
  <si>
    <t>Tabla Criterios para definir el nivel de impacto</t>
  </si>
  <si>
    <t>Insignificante</t>
  </si>
  <si>
    <t>Menor</t>
  </si>
  <si>
    <t>Mayor</t>
  </si>
  <si>
    <t>Catastrófico</t>
  </si>
  <si>
    <t>Afectación Económica (o presupuestal)</t>
  </si>
  <si>
    <t>Pérdida Reputacional</t>
  </si>
  <si>
    <t>Leve 20%</t>
  </si>
  <si>
    <t xml:space="preserve">Afectación menor a 10 SMLMV </t>
  </si>
  <si>
    <t>El riesgo afecta la imagen de alguna área de la organización</t>
  </si>
  <si>
    <t xml:space="preserve">Menor-40% </t>
  </si>
  <si>
    <t xml:space="preserve">Entre 10 y 50 SMLMV </t>
  </si>
  <si>
    <t>El riesgo afecta la imagen de la entidad internamente, de conocimiento general, nivel interno, de junta dircetiva y accionistas y/o de provedores</t>
  </si>
  <si>
    <t>Moderado 60%</t>
  </si>
  <si>
    <t xml:space="preserve">Entre 50 y 100 SMLMV </t>
  </si>
  <si>
    <t>El riesgo afecta la imagen de la entidad con algunos usuarios de relevancia frente al logro de los objetivos</t>
  </si>
  <si>
    <t>Mayor 80%</t>
  </si>
  <si>
    <t xml:space="preserve">Entre 100 y 500 SMLMV </t>
  </si>
  <si>
    <t>El riesgo afecta la imagen de de la entidad con efecto publicitario sostenido a nivel de sector administrativo, nivel departamental o municipal</t>
  </si>
  <si>
    <t>Catastrófico 100%</t>
  </si>
  <si>
    <t xml:space="preserve">Mayor a 500 SMLMV </t>
  </si>
  <si>
    <t>El riesgo afecta la imagen de la entidad a nivel nacional, con efecto publicitarios sostenible a nivel país</t>
  </si>
  <si>
    <t>Criterios</t>
  </si>
  <si>
    <t>Subcriterios</t>
  </si>
  <si>
    <t>Afectación Económica o presupuestal</t>
  </si>
  <si>
    <t>Afectación menor a 10 SMLMV .</t>
  </si>
  <si>
    <t>❌</t>
  </si>
  <si>
    <t>✔</t>
  </si>
  <si>
    <t>Tabla Atributos de para el diseño del control</t>
  </si>
  <si>
    <t>Características</t>
  </si>
  <si>
    <t>Descripción</t>
  </si>
  <si>
    <t>Peso</t>
  </si>
  <si>
    <t>Atributos de Eficiencia</t>
  </si>
  <si>
    <t>Preventivo</t>
  </si>
  <si>
    <t>Va hacia las causas del riesgo, aseguran el resultado final esperado.</t>
  </si>
  <si>
    <t>Detectivo</t>
  </si>
  <si>
    <t>Detecta que algo ocurre y devuelve el proceso a los controles preventivos.
Se pueden generar reprocesos.</t>
  </si>
  <si>
    <t>Correctivo</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</si>
  <si>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</si>
  <si>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</si>
  <si>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</si>
  <si>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Manual</t>
  </si>
  <si>
    <t>Controles que son ejecutados por una persona., tiene implícito el error humano.</t>
  </si>
  <si>
    <r>
      <rPr>
        <b/>
        <sz val="12"/>
        <color indexed="53"/>
        <rFont val="Arial Narrow"/>
        <family val="2"/>
      </rPr>
      <t>*</t>
    </r>
    <r>
      <rPr>
        <b/>
        <sz val="12"/>
        <rFont val="Arial Narrow"/>
        <family val="2"/>
      </rPr>
      <t>Atributos de</t>
    </r>
    <r>
      <rPr>
        <b/>
        <sz val="12"/>
        <color indexed="53"/>
        <rFont val="Arial Narrow"/>
        <family val="2"/>
      </rPr>
      <t xml:space="preserve"> </t>
    </r>
    <r>
      <rPr>
        <b/>
        <sz val="12"/>
        <color indexed="8"/>
        <rFont val="Arial Narrow"/>
        <family val="2"/>
      </rPr>
      <t>Formalización</t>
    </r>
  </si>
  <si>
    <t>Documentado</t>
  </si>
  <si>
    <t>Controles que están documentados en el proceso, ya sea en manuales, procedimientos, flujogramas o cualquier otro documento propio del proceso.</t>
  </si>
  <si>
    <t>-</t>
  </si>
  <si>
    <t>Sin Documentar</t>
  </si>
  <si>
    <t>Identifica a los controles que pese a que se ejecutan en el proceso no se encuentran documentados en ningún documento propio del proceso</t>
  </si>
  <si>
    <t>Continua</t>
  </si>
  <si>
    <t>Este atributo identifica a los controles que se ejecutan siempre que se realiza la actividad originadora del riesgo.</t>
  </si>
  <si>
    <t>Aleatoria</t>
  </si>
  <si>
    <t>Este atributo identifica a los controles que no siempre se ejecutan cuando se realiza la actividad originadora del riesgo</t>
  </si>
  <si>
    <t>Con Registro</t>
  </si>
  <si>
    <t>El control deja un registro que permite evidenciar la ejecución del control</t>
  </si>
  <si>
    <t>Sin Registro</t>
  </si>
  <si>
    <t>El control no deja registro de la ejecución del control</t>
  </si>
  <si>
    <r>
      <rPr>
        <b/>
        <sz val="12"/>
        <color indexed="53"/>
        <rFont val="Arial Narrow"/>
        <family val="2"/>
      </rPr>
      <t>*Nota 1:</t>
    </r>
    <r>
      <rPr>
        <sz val="12"/>
        <color indexed="8"/>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</si>
  <si>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IMPACTO</t>
  </si>
  <si>
    <t>CALIFICACIÓN DEL RIESGO</t>
  </si>
  <si>
    <t>CRITERIOS DE IMPACTO</t>
  </si>
  <si>
    <t>Económico</t>
  </si>
  <si>
    <t>Daños Activos Físicos</t>
  </si>
  <si>
    <t>Reputacional</t>
  </si>
  <si>
    <t>Ejecución y Administración de procesos</t>
  </si>
  <si>
    <t>Económico y Reputacional</t>
  </si>
  <si>
    <t>Talento Humano (Posibles comportamientos no éticos de los funcionarios)</t>
  </si>
  <si>
    <t>Fallas Tecnológicas</t>
  </si>
  <si>
    <t>Fraude Externo</t>
  </si>
  <si>
    <t>Fraude Interno</t>
  </si>
  <si>
    <t>Relaciones Laborales</t>
  </si>
  <si>
    <t>Usuarios, productos y practicas , organizacionales</t>
  </si>
  <si>
    <t>Pérdida Reputacional.</t>
  </si>
  <si>
    <t>Seguridad Digital</t>
  </si>
  <si>
    <t>Pérdida de Disponibilidad</t>
  </si>
  <si>
    <t>Pérdida de Confidencialidad</t>
  </si>
  <si>
    <t>Pérdida de la Integridad</t>
  </si>
  <si>
    <t>OPCIONES DE TRATAMIENTO</t>
  </si>
  <si>
    <t>PLAN DE ACCIÓN (SOLO PARA LA OPCIÓN DE REDUCIR)</t>
  </si>
  <si>
    <t>EL RIESGO SE MATERIALIZÓ</t>
  </si>
  <si>
    <t>Aceptar</t>
  </si>
  <si>
    <t>Finalizado</t>
  </si>
  <si>
    <t>SI</t>
  </si>
  <si>
    <t>Evitar</t>
  </si>
  <si>
    <t>En curso</t>
  </si>
  <si>
    <t>NO</t>
  </si>
  <si>
    <t>Reducir (compartir)</t>
  </si>
  <si>
    <t>Reducir (mitigar)</t>
  </si>
  <si>
    <t>REALIZÓ ANÁLISIS CAUSA - RAÍZ</t>
  </si>
  <si>
    <t>PROCESOS</t>
  </si>
  <si>
    <t>Gerencia y Buen Gobierno</t>
  </si>
  <si>
    <t>Planeación</t>
  </si>
  <si>
    <t>Tecnologías de la Información</t>
  </si>
  <si>
    <t>Comunicaciones y Atención al Usuario</t>
  </si>
  <si>
    <t>Gestión Apoyo Asistencial y Farmacéutico</t>
  </si>
  <si>
    <t>Plan de acción (solo para la opción reducir)</t>
  </si>
  <si>
    <t>Atención Ambulatoria</t>
  </si>
  <si>
    <t>Atención Hospitalaria</t>
  </si>
  <si>
    <t>Gestión del Conocimiento</t>
  </si>
  <si>
    <t>Gestión Humana</t>
  </si>
  <si>
    <t>Gestión Jurídica</t>
  </si>
  <si>
    <t>Gestión Logística</t>
  </si>
  <si>
    <t>Gestión de Adquisiciones</t>
  </si>
  <si>
    <t>Gestión Financiera</t>
  </si>
  <si>
    <t>Gestión Documental</t>
  </si>
  <si>
    <t>Evaluación, mejoramiento y seguimiento</t>
  </si>
  <si>
    <t>Registro Sustancial</t>
  </si>
  <si>
    <t>Registro Material</t>
  </si>
  <si>
    <t>Sin registro</t>
  </si>
  <si>
    <t>Reducir</t>
  </si>
  <si>
    <t>Informe de compatibilidad para Mapa de Riesgos HOMIL V3.xls</t>
  </si>
  <si>
    <t>Ejecutar el 11/08/2021 9:44</t>
  </si>
  <si>
    <t>Si el libro se guarda o se abre en un formato de archivo de una versión anterior de Microsoft Excel, las características indicadas no estarán disponibles.</t>
  </si>
  <si>
    <t>Pérdida significativa de funcionalidad</t>
  </si>
  <si>
    <t>Nº de apariciones</t>
  </si>
  <si>
    <t>Versión</t>
  </si>
  <si>
    <t>Una o varias funciones del libro no están disponibles en versiones anteriores a Excel 2007. Al volver a calcularlas en versiones anteriores, estas funciones devolverán un error #NAME? en lugar de los resultados actuales.</t>
  </si>
  <si>
    <t>Mapa final'!Z10:AA10</t>
  </si>
  <si>
    <t>Excel 97-2003</t>
  </si>
  <si>
    <t>Mapa final'!AC10:AE10</t>
  </si>
  <si>
    <t>Mapa final'!Z11:AA11</t>
  </si>
  <si>
    <t>Mapa final'!AC11:AE11</t>
  </si>
  <si>
    <t>Mapa final'!Z12:AA12</t>
  </si>
  <si>
    <t>Mapa final'!AC12:AE12</t>
  </si>
  <si>
    <t>Mapa final'!Z13:AA13</t>
  </si>
  <si>
    <t>Mapa final'!AC13:AE13</t>
  </si>
  <si>
    <t>Mapa final'!Z14:AA14</t>
  </si>
  <si>
    <t>Mapa final'!AC14:AE14</t>
  </si>
  <si>
    <t>Mapa final'!Z15:AA15</t>
  </si>
  <si>
    <t>Mapa final'!AC15:AE15</t>
  </si>
  <si>
    <t>Mapa final'!Z16:AA16</t>
  </si>
  <si>
    <t>Mapa final'!AC16:AE16</t>
  </si>
  <si>
    <t>Mapa final'!Z17:AA17</t>
  </si>
  <si>
    <t>Mapa final'!AC17:AE17</t>
  </si>
  <si>
    <t>Mapa final'!Z18:AA18</t>
  </si>
  <si>
    <t>Mapa final'!AC18:AE18</t>
  </si>
  <si>
    <t>Mapa final'!Z19:AA19</t>
  </si>
  <si>
    <t>Mapa final'!AC19:AE19</t>
  </si>
  <si>
    <t>Mapa final'!Z20:AA20</t>
  </si>
  <si>
    <t>Mapa final'!AC20:AE20</t>
  </si>
  <si>
    <t>Mapa final'!Z21:AA21</t>
  </si>
  <si>
    <t>Mapa final'!AC21:AE21</t>
  </si>
  <si>
    <t>Mapa final'!Z22:AA22</t>
  </si>
  <si>
    <t>Mapa final'!AC22:AE22</t>
  </si>
  <si>
    <t>Mapa final'!Z23:AA23</t>
  </si>
  <si>
    <t>Mapa final'!AC23:AE23</t>
  </si>
  <si>
    <t>Mapa final'!Z24:AA24</t>
  </si>
  <si>
    <t>Mapa final'!AC24:AE24</t>
  </si>
  <si>
    <t>Mapa final'!Z25:AA25</t>
  </si>
  <si>
    <t>Mapa final'!AC25:AE25</t>
  </si>
  <si>
    <t>Mapa final'!Z26:AA26</t>
  </si>
  <si>
    <t>Mapa final'!AC26:AE26</t>
  </si>
  <si>
    <t>Mapa final'!Z27:AA27</t>
  </si>
  <si>
    <t>Mapa final'!AC27:AE27</t>
  </si>
  <si>
    <t>Mapa final'!Z28:AA28</t>
  </si>
  <si>
    <t>Mapa final'!AC28:AE28</t>
  </si>
  <si>
    <t>Mapa final'!Z29:AA29</t>
  </si>
  <si>
    <t>Mapa final'!AC29:AE29</t>
  </si>
  <si>
    <t>Mapa final'!Z30:AA30</t>
  </si>
  <si>
    <t>Mapa final'!AC30:AE30</t>
  </si>
  <si>
    <t>Mapa final'!Z31:AA31</t>
  </si>
  <si>
    <t>Mapa final'!AC31:AE31</t>
  </si>
  <si>
    <t>Mapa final'!Z32:AA32</t>
  </si>
  <si>
    <t>Mapa final'!AC32:AE32</t>
  </si>
  <si>
    <t>Mapa final'!Z33:AA33</t>
  </si>
  <si>
    <t>Mapa final'!AC33:AE33</t>
  </si>
  <si>
    <t>Mapa final'!Z34:AA34</t>
  </si>
  <si>
    <t>Mapa final'!AC34:AE34</t>
  </si>
  <si>
    <t>Mapa final'!Z35:AA35</t>
  </si>
  <si>
    <t>Mapa final'!AC35:AE35</t>
  </si>
  <si>
    <t>Mapa final'!Z36:AA36</t>
  </si>
  <si>
    <t>Mapa final'!AC36:AE36</t>
  </si>
  <si>
    <t>Mapa final'!Z37:AA37</t>
  </si>
  <si>
    <t>Mapa final'!AC37:AE37</t>
  </si>
  <si>
    <t>Mapa final'!Z38:AA38</t>
  </si>
  <si>
    <t>Mapa final'!AC38:AE38</t>
  </si>
  <si>
    <t>Mapa final'!Z39:AA39</t>
  </si>
  <si>
    <t>Mapa final'!AC39:AE39</t>
  </si>
  <si>
    <t>Mapa final'!Z40:AA40</t>
  </si>
  <si>
    <t>Mapa final'!AC40:AE40</t>
  </si>
  <si>
    <t>Mapa final'!Z41:AA41</t>
  </si>
  <si>
    <t>Mapa final'!AC41:AE41</t>
  </si>
  <si>
    <t>Mapa final'!Z42:AA42</t>
  </si>
  <si>
    <t>Mapa final'!AC42:AE42</t>
  </si>
  <si>
    <t>Mapa final'!Z43:AA43</t>
  </si>
  <si>
    <t>Mapa final'!AC43:AE43</t>
  </si>
  <si>
    <t>Mapa final'!Z44:AA44</t>
  </si>
  <si>
    <t>Mapa final'!AC44:AE44</t>
  </si>
  <si>
    <t>Mapa final'!Z45:AA45</t>
  </si>
  <si>
    <t>Mapa final'!AC45:AE45</t>
  </si>
  <si>
    <t>Mapa final'!Z46:AA46</t>
  </si>
  <si>
    <t>Mapa final'!AC46:AE46</t>
  </si>
  <si>
    <t>Mapa final'!Z47:AA47</t>
  </si>
  <si>
    <t>Mapa final'!AC47:AE47</t>
  </si>
  <si>
    <t>Mapa final'!Z48:AA48</t>
  </si>
  <si>
    <t>Mapa final'!AC48:AE48</t>
  </si>
  <si>
    <t>Mapa final'!Z49:AA49</t>
  </si>
  <si>
    <t>Mapa final'!AC49:AE49</t>
  </si>
  <si>
    <t>Mapa final'!Z50:AA50</t>
  </si>
  <si>
    <t>Mapa final'!AC50:AE50</t>
  </si>
  <si>
    <t>Mapa final'!Z51:AA51</t>
  </si>
  <si>
    <t>Mapa final'!AC51:AE51</t>
  </si>
  <si>
    <t>Mapa final'!Z52:AA52</t>
  </si>
  <si>
    <t>Mapa final'!AC52:AE52</t>
  </si>
  <si>
    <t>Mapa final'!Z53:AA53</t>
  </si>
  <si>
    <t>Mapa final'!AC53:AE53</t>
  </si>
  <si>
    <t>Mapa final'!Z54:AA54</t>
  </si>
  <si>
    <t>Mapa final'!AC54:AE54</t>
  </si>
  <si>
    <t>Mapa final'!Z55:AA55</t>
  </si>
  <si>
    <t>Mapa final'!AC55:AE55</t>
  </si>
  <si>
    <t>Mapa final'!Z56:AA56</t>
  </si>
  <si>
    <t>Mapa final'!AC56:AE56</t>
  </si>
  <si>
    <t>Mapa final'!Z57:AA57</t>
  </si>
  <si>
    <t>Mapa final'!AC57:AE57</t>
  </si>
  <si>
    <t>Mapa final'!Z58:AA58</t>
  </si>
  <si>
    <t>Mapa final'!AC58:AE58</t>
  </si>
  <si>
    <t>Mapa final'!Z59:AA59</t>
  </si>
  <si>
    <t>Mapa final'!AC59:AE59</t>
  </si>
  <si>
    <t>Mapa final'!Z60:AA60</t>
  </si>
  <si>
    <t>Mapa final'!AC60:AE60</t>
  </si>
  <si>
    <t>Mapa final'!Z61:AA61</t>
  </si>
  <si>
    <t>Mapa final'!AC61:AE61</t>
  </si>
  <si>
    <t>Mapa final'!Z62:AA62</t>
  </si>
  <si>
    <t>Mapa final'!AC62:AE62</t>
  </si>
  <si>
    <t>Mapa final'!Z63:AA63</t>
  </si>
  <si>
    <t>Mapa final'!AC63:AE63</t>
  </si>
  <si>
    <t>Mapa final'!Z64:AA64</t>
  </si>
  <si>
    <t>Mapa final'!AC64:AE64</t>
  </si>
  <si>
    <t>Mapa final'!Z65:AA65</t>
  </si>
  <si>
    <t>Mapa final'!AC65:AE65</t>
  </si>
  <si>
    <t>Mapa final'!Z66:AA66</t>
  </si>
  <si>
    <t>Mapa final'!AC66:AE66</t>
  </si>
  <si>
    <t>Mapa final'!Z67:AA67</t>
  </si>
  <si>
    <t>Mapa final'!AC67:AE67</t>
  </si>
  <si>
    <t>Mapa final'!Z68:AA68</t>
  </si>
  <si>
    <t>Mapa final'!AC68:AE68</t>
  </si>
  <si>
    <t>Mapa final'!Z69:AA69</t>
  </si>
  <si>
    <t>Mapa final'!AC69:AE69</t>
  </si>
  <si>
    <t>Algunas celdas contienen más formatos condicionales de los admitidos en el formato de archivo seleccionado. En las versiones anteriores de Microsoft Excel solamente se mostrarán las tres primeras condiciones.</t>
  </si>
  <si>
    <t>Mapa final'!J10</t>
  </si>
  <si>
    <t>Mapa final'!J16</t>
  </si>
  <si>
    <t>Mapa final'!N10</t>
  </si>
  <si>
    <t>Mapa final'!N22</t>
  </si>
  <si>
    <t>Mapa final'!N28</t>
  </si>
  <si>
    <t>Mapa final'!N34</t>
  </si>
  <si>
    <t>Mapa final'!N40</t>
  </si>
  <si>
    <t>Mapa final'!N46</t>
  </si>
  <si>
    <t>Mapa final'!N52</t>
  </si>
  <si>
    <t>Mapa final'!N58</t>
  </si>
  <si>
    <t>Mapa final'!N64</t>
  </si>
  <si>
    <t>Mapa final'!N16</t>
  </si>
  <si>
    <t>Mapa final'!P10</t>
  </si>
  <si>
    <t>Mapa final'!P22</t>
  </si>
  <si>
    <t>Mapa final'!P28</t>
  </si>
  <si>
    <t>Mapa final'!P34</t>
  </si>
  <si>
    <t>Mapa final'!P40</t>
  </si>
  <si>
    <t>Mapa final'!P46</t>
  </si>
  <si>
    <t>Mapa final'!P52</t>
  </si>
  <si>
    <t>Mapa final'!P58</t>
  </si>
  <si>
    <t>Mapa final'!P64</t>
  </si>
  <si>
    <t>Mapa final'!P16</t>
  </si>
  <si>
    <t>Mapa final'!AA10:AA69</t>
  </si>
  <si>
    <t>Mapa final'!AC10:AC69</t>
  </si>
  <si>
    <t>Mapa final'!AE10:AE69</t>
  </si>
  <si>
    <t>Mapa final'!J58</t>
  </si>
  <si>
    <t>Mapa final'!J22</t>
  </si>
  <si>
    <t>Mapa final'!J28</t>
  </si>
  <si>
    <t>Mapa final'!J34</t>
  </si>
  <si>
    <t>Mapa final'!J40</t>
  </si>
  <si>
    <t>Mapa final'!J46</t>
  </si>
  <si>
    <t>Mapa final'!J52</t>
  </si>
  <si>
    <t>Mapa final'!J64</t>
  </si>
  <si>
    <t>Algunas celdas contienen formato condicional con la opción 'Detener si es verdad' desactivada. Las versiones anteriores de Excel no reconocen esta opción y se detendrán después de la primera condición verdadera.</t>
  </si>
  <si>
    <t>Mapa final'!J10:J16</t>
  </si>
  <si>
    <t>Mapa final'!N10:N64</t>
  </si>
  <si>
    <t>Mapa final'!P10:P64</t>
  </si>
  <si>
    <t>Mapa final'!M10:M69</t>
  </si>
  <si>
    <t xml:space="preserve">Algunas celdas de este libro contienen reglas de validación de datos que hacen referencia a valores en otras hojas de cálculo. Estas reglas no se guardarán. </t>
  </si>
  <si>
    <t>Mapa final'!B10:B15</t>
  </si>
  <si>
    <t>Mapa final'!D10:D15</t>
  </si>
  <si>
    <t>Mapa final'!H10:H15</t>
  </si>
  <si>
    <t>Mapa final'!L10:L15</t>
  </si>
  <si>
    <t>Tabla Impacto'!G210</t>
  </si>
  <si>
    <t>Pérdida menor de fidelidad</t>
  </si>
  <si>
    <t>Hay un estilo de tabla aplicado a una tabla de este libro. El formato de estilo de tabla no se puede mostrar en versiones anteriores de Excel.</t>
  </si>
  <si>
    <t>Tabla Impacto'!B209:C219</t>
  </si>
  <si>
    <t>Hay un estilo de tabla dinámica aplicado a una tabla dinámica de este libro. El formato de estilo de tabla dinámica no se puede mostrar en versiones anteriores de Excel.</t>
  </si>
  <si>
    <t>Tabla Impacto'!D209:E221</t>
  </si>
  <si>
    <t>Este libro contiene una tabla dinámica que no funcionará en versiones anteriores a Excel 2007. Para que las tablas dinámicas funcionen en versiones anteriores de Excel, deben estar creadas en el modo de compatibilidad.</t>
  </si>
  <si>
    <t>Algunas celdas o estilos de este libro contienen un formato no admitido en el formato de archivo seleccionado. Estos formatos se convertirán al formato más cercano disponible.</t>
  </si>
  <si>
    <t>Salud</t>
  </si>
  <si>
    <t>Fiscal</t>
  </si>
  <si>
    <t>Actuarial</t>
  </si>
  <si>
    <t>Crédito</t>
  </si>
  <si>
    <t>Liquidez</t>
  </si>
  <si>
    <t>Sarlaft</t>
  </si>
  <si>
    <t>GBG_02</t>
  </si>
  <si>
    <t>Multas y Sanciones</t>
  </si>
  <si>
    <t>Vinculación de personas naturales y/o jurídicas, sin considerar los lineamientos contemplados relacionados con conflictos de interés. (Política de Integridad)</t>
  </si>
  <si>
    <t>N/A</t>
  </si>
  <si>
    <t>El profesional del área de Administración de personal, junto con el responsable de Selección y contratación de personal y el profesional del área de Gestión contratos, verifican la información registrada en el  formato declaración de bienes y rentas y declaración de conflicto de interés y/o aplicativos de Ley 2013 de 2019 y posteriormente es actualizada la información en el aplicativo SIGEP.</t>
  </si>
  <si>
    <t>GBG_03</t>
  </si>
  <si>
    <t>Demandas Legales y Sanciones</t>
  </si>
  <si>
    <t>Omitir la declaración de impedimento o recusación ante la posibilidad real o aparente de un conflicto de interés.</t>
  </si>
  <si>
    <t xml:space="preserve">Los responsables de los grupos de trabajo realizan cada vez que se requiera el seguimiento a la presentación de posibles situaciones de conflicto de interés o recusación, con el fin de mitigar el riesgo. Realizan reporte trimestral al Grupo de integridad. </t>
  </si>
  <si>
    <t>Los presidentes o secretarios de los comités institucionales incluyen en el orden del día cada vez que se requiera, la pregunta sobre posible declaración de conflicto de interés o recusación a los miembros de cada comité, con el fin de mitigar el riesgo. Lo registran en actas y realizan reporte trimestral al Grupo Gestor de Integridad.</t>
  </si>
  <si>
    <t>OAP_01</t>
  </si>
  <si>
    <t xml:space="preserve">Oficina Asesora de Planeación </t>
  </si>
  <si>
    <t>No prestación en la atención integral de los servicios de salud a los usuarios del Subsistema de las Fuerzas Militares.</t>
  </si>
  <si>
    <t>Inadecuada identificación de necesidades para la adquisición de bienes y/o servicios.</t>
  </si>
  <si>
    <t>El profesional de la Oficina Asesora de Planeación elabora la directiva y envía formato del Plan de Adquisiciones de manera anual a los Subdirectores, jefes de unidad, jefes de Oficina y demás responsables de áreas o servicios, con el fin de emitir los lineamientos para identificación y consolidación de necesidades de bienes y/o servicios a contratar en la siguiente vigencia.</t>
  </si>
  <si>
    <t>El profesional de la Oficina Asesora de Planeación desarrolla de manera anual mesas de trabajo con jefes de unidad, jefes de oficina y demás responsables de áreas y servicios, según cronograma establecido en la directiva del Plan anual de Adquisiciones, para realizar divulgación de los lineamientos definidos y brindar acompañamiento en la identificación y diligenciamiento de los formatos solicitados, así como para la validación y aprobación de las necesidades proyectadas por cada una de las unidades por parte de los Subdirectores.</t>
  </si>
  <si>
    <t>El profesional de la Oficina Asesora de Planeación convoca al Comité Institucional de Gestión y Desempeño de manera anual, para la presentación de la desagregación presupuestal según Decreto de Liquidación de la vigencia y aprobación del Plan de Adquisiciones consolidado.</t>
  </si>
  <si>
    <t>Realización de mesa de trabajo para la Socialización de la Directiva y diligenciamiento del formato de requerimientos del Plan Anual de Adquisiciones</t>
  </si>
  <si>
    <t>Andrea Polanía González</t>
  </si>
  <si>
    <t>04 de Octubre</t>
  </si>
  <si>
    <t>Acta de reunión, listado de asistencia, envío de correo electrónico con documentos presentados en la socialización</t>
  </si>
  <si>
    <t>Realización de mesas de trabajo adicionales, para aquellas áreas y/o servicios en los que se hace necesario validar de manera detallada la información remitida o re-valiar requerimientos planteados</t>
  </si>
  <si>
    <t>30 de noviembre</t>
  </si>
  <si>
    <t>Acta de reunión, listado de asistencia, envío de correo electrónico con solicitud de ajustes</t>
  </si>
  <si>
    <t>OAP_02</t>
  </si>
  <si>
    <t xml:space="preserve">Multas, sanciones por parte de entes de control y desconfianza por parte de la ciudadanía, grupos de valor, usuarios internos y externos. </t>
  </si>
  <si>
    <t>Fallas en la verificación de la información reportada en el aplicativo (Suite Visión Empresarial) y errores en la transcripción y procesamiento de datos.</t>
  </si>
  <si>
    <t>OAP_03</t>
  </si>
  <si>
    <t>Pérdida de credibilidad y desconfianza por parte de la ciudadanía, grupos de valor y usuarios internos y externos.</t>
  </si>
  <si>
    <t xml:space="preserve">Respuestas inexactas  o sin soportes en el Formulario Único de Avances de la Gestión - FURAG, por parte de las áreas y servicios de la entidad.  </t>
  </si>
  <si>
    <t>El profesional de la Oficina Asesora de Planeación envía anualmente vía correo electrónico el Formulario Único de Reporte de Avances de la Gestión - Furag de la vigencia evaluada a los Jefes de Unidad, líderes de proceso y demás responsables del diligenciamiento del furag, con el fin de revisar y dar repuesta según corresponda a cada una de las diferentes políticas del Modelo Integrado de Planeación y Gestión.</t>
  </si>
  <si>
    <t>Los Jefes de Unidad, Líderes de Proceso y demás responsables del reporte del Formulario Único de Reporte de Avances de la Gestión, envían anualmente al Profesional de la Oficina Asesora de Planeación el Furag diligenciado según corresponda, junto con los soportes de respuesta de cada pregunta, con el fin de garantizar el total diligenciamiento y cumplimiento a la normatividad legal vigente aplicable a la entidad.</t>
  </si>
  <si>
    <t>El profesional de la Oficina Asesora de Planeación, diligencia anualmente la herramienta el línea del Formulario Único de Avances de la Gestión - FURAG, con el fin de dar cumplimiento a la normatividad vigente aplicable a la entidad.</t>
  </si>
  <si>
    <t>Validación de preguntas FURAG Vs soportes y/o evidencias entregados por los Jefes de Unidad y/o Jefes de Oficina.</t>
  </si>
  <si>
    <t>Nicolás Corredor Ramírez</t>
  </si>
  <si>
    <t>30 de Junio</t>
  </si>
  <si>
    <t>Repositorio Documental
(GoogleDrive)</t>
  </si>
  <si>
    <t>OAP_04</t>
  </si>
  <si>
    <t>Gestión de Calidad</t>
  </si>
  <si>
    <t>Desarticulación de las partes interesadas en el desarrollo e implementación del sistema de gestión basado en procesos</t>
  </si>
  <si>
    <t xml:space="preserve">Inadecuada administración
 del sistema de gestión de calidad.
(Planificación  de los procesos).
</t>
  </si>
  <si>
    <t>El profesional del área de calidad verifica de manera mensual y trimestral el estado de vigencia de los documentos, realiza seguimiento a la implementación de los diferentes sistemas adoptados en la entidad y seguimiento a las acciones de mejora generadas en el sistema de gestión retroalimentando los resultados con el propósito de mantener articulado el sistema de gestión.
(Informe mensual de Documentos e indicador de proporción de actualización de documentos que componen SIG).</t>
  </si>
  <si>
    <t>El profesional del área de Calidad realiza mensualmente capacitaciones y socializaciones a las diferentes áreas de la entidad, con el fin de fortalecer el acompañamiento metodológico  requerido por las áreas. 
(Seguimiento a la implementación de los diferentes sistemas adoptados en la entidad y seguimiento a las acciones de mejora generadas se reporta con un informe de seguimiento de habilitación, BPE, BPM  estas últimas son de gases medicinales)</t>
  </si>
  <si>
    <t>OAP_05</t>
  </si>
  <si>
    <t>Incumplimiento normativo, multas y sanciones por parte de entes de control.</t>
  </si>
  <si>
    <t xml:space="preserve">El profesional del área de calidad, realiza semanalmente rondas de seguridad y aplicación de herramientas de evaluación de adherencia, con el fin de aplicar insumos metodológicos para fortalecer la cultura de seguridad en las diferentes áreas. </t>
  </si>
  <si>
    <t>El profesional del área de calidad, realiza trimestralmente capacitación en los paquetes instruccionales al personal asistencial y administrativo, con el fin de evaluar los resultados de la gestión segura en el Comité de seguridad del paciente.</t>
  </si>
  <si>
    <t>TIN_01</t>
  </si>
  <si>
    <t>Interrupción en la prestación de los servicios tecnológicos de la entidad.</t>
  </si>
  <si>
    <t>Sistema de Información Dinámica Gerencial</t>
  </si>
  <si>
    <t>TIN_02</t>
  </si>
  <si>
    <t xml:space="preserve">Acceso a información clínica clasificada o reservada de los usuarios del  HOMIL </t>
  </si>
  <si>
    <t>Falta de control del ciclo de vida de las credenciales de acceso a la infraestructura tecnológica de la entidad.</t>
  </si>
  <si>
    <t xml:space="preserve">La Unidad de Talento Humano, reporta vía correo electrónico las novedades de personal (retiros) a fin de que se deshabiliten los accesos a los diferentes servicios tecnológicos. </t>
  </si>
  <si>
    <t>Campañas de concientización, simulacros sobre ataques cibernéticos</t>
  </si>
  <si>
    <t>Jefe Unidad de Informática</t>
  </si>
  <si>
    <t>Mensual</t>
  </si>
  <si>
    <t>Evidencias campañas</t>
  </si>
  <si>
    <t>Implementar dentro del proceso de pago de la última cuenta, factura o liquidación el paz y salvo de la Unidad Informática</t>
  </si>
  <si>
    <t>Paz y salvo UNIF</t>
  </si>
  <si>
    <t>TIN_03</t>
  </si>
  <si>
    <t xml:space="preserve">No disponibilidad de la información clínica  de los usuarios del  HOMIL </t>
  </si>
  <si>
    <t>Falta de respaldo (copias de seguridad) de la información.</t>
  </si>
  <si>
    <t>Probar la consistencia y efectividad de las copias de datos</t>
  </si>
  <si>
    <t>Trimestral</t>
  </si>
  <si>
    <t>Efectividad copia de datos</t>
  </si>
  <si>
    <t>El equipo de trabajo de gestión de movilidad de aplicaciones, realiza pruebas a cada uno de los módulos junto con los líderes funcionales de cada módulo en las compilaciones recién liberadas por SYAC.</t>
  </si>
  <si>
    <t>Pruebas en los módulos</t>
  </si>
  <si>
    <t>TIN_04</t>
  </si>
  <si>
    <t>Fallas en el funcionamiento del sistema de información clínico Dinámica Gerencial Hospitalaria</t>
  </si>
  <si>
    <t>Indebido control de cambios en la implementación de nuevas versiones del aplicativo.</t>
  </si>
  <si>
    <t>CAU_01</t>
  </si>
  <si>
    <t>Publicaciones con datos erróneos o imprecisos en las piezas de comunicación e información dirigida a usuarios externos del HOMIL.</t>
  </si>
  <si>
    <t>CAU_02</t>
  </si>
  <si>
    <t>Publicaciones con datos erróneos o imprecisos en las piezas de comunicación e información dirigida a usuarios internos del HOMIL.</t>
  </si>
  <si>
    <t>CAU_03</t>
  </si>
  <si>
    <t>Demoras en las proyecciones de respuesta y/o respuesta superficiales por parte de los servicios, errores en el direccionamiento interno y recepción de peticiones incompletas o con falta de soportes para tramitarlas</t>
  </si>
  <si>
    <t>GAAF_01</t>
  </si>
  <si>
    <t xml:space="preserve">Farmacia Producción y Adecuación de Medicamentos
Farmacia Salas  de Cirugía.
Farmacia de Salas de Maternidad.
Farmacia Tecnologías en Salud
(Medicamentos, Insumos Médico Quirúrgicos
de diagnóstico y reactivos)
Unidad de Farmacia </t>
  </si>
  <si>
    <t>Pérdida de medicamentos, dispositivos médicos, reactivos e insumos</t>
  </si>
  <si>
    <t>Fallas en los procesos logísticos (recepción técnica, almacenamiento, distribución, control de inventarios y devoluciones), y registro inoportuno de la información en el sistema de información.</t>
  </si>
  <si>
    <t>Posibilidad de afectación económica por pérdida de medicamentos, dispositivos médicos, reactivos e insumos, debido a fallas en los procesos logísticos (recepción técnica, almacenamiento, distribución, control de inventarios y devoluciones) y registro inoportuno de la información en el sistema de información.</t>
  </si>
  <si>
    <t>GAAF_03</t>
  </si>
  <si>
    <t>Farmacia Producción y Adecuación de Medicamentos
Farmacia Salas  de Cirugía.
Farmacia de Salas de Maternidad.</t>
  </si>
  <si>
    <t>Falta de oportunidad en el inicio o continuidad de la farmacoterapia a los usuarios atendidos por el HOMIL</t>
  </si>
  <si>
    <t>No disponibilidad de los medicamentos, por incumplimiento del contratista que provee los mismos.</t>
  </si>
  <si>
    <t>GAAF_05</t>
  </si>
  <si>
    <t>Farmacia Producción y Adecuación de Medicamentos
Farmacia Salas  de Cirugía.
Farmacia de Salas de Maternidad.
Farmacia Médico Quirúrgica</t>
  </si>
  <si>
    <t>Seguridad de paciente</t>
  </si>
  <si>
    <t>Dispensación de medicamentos vencidos o diferentes a los prescritos.</t>
  </si>
  <si>
    <t>GAAF_08</t>
  </si>
  <si>
    <t>Farmacia Producción y Adecuación de Medicamentos</t>
  </si>
  <si>
    <t>Seguridad del paciente</t>
  </si>
  <si>
    <t>Liberación de un medicamento adecuado en la CAM que no corresponde con lo prescrito, producto de errores del personal en la interpretación de la prescripción médica, procesos de producción y liberación de medicamentos, sin cumplir requisitos de calidad.</t>
  </si>
  <si>
    <t>GAAF_09</t>
  </si>
  <si>
    <t>Farmacia Producción y Adecuación de
Medicamentos</t>
  </si>
  <si>
    <t>Contaminación microbiológica en el área de producción de la CAM.</t>
  </si>
  <si>
    <t>Falta de adherencia a protocolos de limpieza y desinfección o una externalidad no controlada.</t>
  </si>
  <si>
    <t>GAAF_10</t>
  </si>
  <si>
    <t>Error en el diagnóstico y tratamiento a los usuarios atendidos por el HOMIL.</t>
  </si>
  <si>
    <t>No cumplimiento de protocolos, errores de interpretación, lectura, transcripción y validación de los resultados y/o estudios.</t>
  </si>
  <si>
    <t>El líder de sección y/o área realiza socialización, evaluación y adherencia anual de los protocolos del servicio de acuerdo al cronograma establecido de cada servicio.</t>
  </si>
  <si>
    <t>GAAF_11</t>
  </si>
  <si>
    <t>Imágenes Diagnósticas
Laboratorio clínico
Patología
Banco de Sangre y Servicio de Transfusión Sanguínea</t>
  </si>
  <si>
    <t>Pérdida de muestras sanguíneas, fluidos, biopsias, especímenes, citologías.</t>
  </si>
  <si>
    <t xml:space="preserve">Incumplimiento de protocolos de toma, transporte , entrega y recepción de muestras. </t>
  </si>
  <si>
    <t>GAAF_12</t>
  </si>
  <si>
    <t>Desabastecimiento de insumos   para la realización y procesamiento de estudios y muestras.</t>
  </si>
  <si>
    <t>Falta de planeación, aumento o disminución en la demanda de los pacientes y falta de control a las existencias de insumos.</t>
  </si>
  <si>
    <t xml:space="preserve">El jefe del servicio realiza la planeación anual de los insumos, de acuerdo a las necesidades y comportamiento histórico de años anteriores mediante formato establecido por medio del Plan Anual de Adquisiciones. </t>
  </si>
  <si>
    <t xml:space="preserve">El líder de cada área y/o almacenista del servicio realiza la recepción técnica en el momento del ingreso de medicamentos, reactivos e insumos mediante del formato AA-UNFA-PR-15-FT-01, respectivamente, con el fin de verificar que las cantidades sean las solicitadas al proveedor y coincidan con lo físico o lo solicitado al mismo. </t>
  </si>
  <si>
    <t>GAAF_13</t>
  </si>
  <si>
    <t>Aumento de los niveles permitidos de radiación provocando posibles efectos nocivos para la salud de los trabajadores expuestos a radiación ionizante.</t>
  </si>
  <si>
    <t>No uso del dosímetro y no uso de los elementos de radio-protección personal.</t>
  </si>
  <si>
    <t>GAAF_14</t>
  </si>
  <si>
    <t>Farmacia Tecnologías en Salud
(Medicamentos, Insumos Médico Quirúrgicos
de diagnóstico y reactivos)</t>
  </si>
  <si>
    <t>Avería o daño en las tecnologías en salud durante los procesos logísticos de: almacenamiento, distribución, dispensación y uso</t>
  </si>
  <si>
    <t>Externalidades no controladas y de adecuación para su debido uso.</t>
  </si>
  <si>
    <t>GAAF_15</t>
  </si>
  <si>
    <t>Farmacia Producción y Adecuación de Medicamentos
Farmacia Salas  de Cirugía.
Farmacia de Salas de Maternidad.
Farmacia Tecnologías en Salud
(Medicamentos, Insumos Médico Quirúrgicos
de diagnóstico y reactivos)</t>
  </si>
  <si>
    <t>Vencimiento de tecnologías en salud asociada a no realizar gestión alguna para evitar la materialización del riesgo.</t>
  </si>
  <si>
    <t>Falta de control, descuido en los proceso de manejo de (productos próximos a vencer).</t>
  </si>
  <si>
    <t>X</t>
  </si>
  <si>
    <t>AAM_01</t>
  </si>
  <si>
    <t>Urgencias</t>
  </si>
  <si>
    <t>Atención inoportuna  en el servicio de urgencias</t>
  </si>
  <si>
    <t xml:space="preserve">Clasificación equivocada en la atención médica inmediata (triage) por falta de adherencia al procedimiento de clasificación y valoración,  fallas en la clasificación por demanda de pacientes
</t>
  </si>
  <si>
    <t>AAM_02</t>
  </si>
  <si>
    <t>No cierre del ciclo de atención de los pacientes atendidos en el servicio de urgencias (asistencial y administrativo)</t>
  </si>
  <si>
    <t>Salida de pacientes sin autorización médica (Fuga)</t>
  </si>
  <si>
    <t xml:space="preserve">El responsable del servicio de urgencias coordina con el servicio de enfermería, la educación continua del personal de enfermería, sobre el procedimiento de fugas. Adicionalmente de coordina con el personal de seguridad, el cubrimiento de guardas de seguridad, cámaras y puertas electrónicas en las diferentes salidas del servicio de urgencias, con el fin de mitigar la materialización del riesgo de salida de pacientes sin autorización médica. </t>
  </si>
  <si>
    <t>AAM_03</t>
  </si>
  <si>
    <t>Consulta Externa
Contact Center</t>
  </si>
  <si>
    <t>Insatisfacción de los usuarios atendidos por el HOMIL.</t>
  </si>
  <si>
    <t>Asignación de citas con servicios que no correspondan a la orden médica y a la autorización y falta de adherencia al procedimiento de asignación de citas médicas.</t>
  </si>
  <si>
    <t>AAM_04</t>
  </si>
  <si>
    <t>Consulta Externa</t>
  </si>
  <si>
    <t>Lesión o daño en el paciente durante la prestación del servicio</t>
  </si>
  <si>
    <t>Fallas en el manejo y adherencia a las guías, protocolos, procedimientos de gestión ambulatoria por el personal de salud en el sitio de trabajo.</t>
  </si>
  <si>
    <t>AAM_05</t>
  </si>
  <si>
    <t>Recibir o solicitar cualquier dadiva o beneficio a nombre propio o de terceros</t>
  </si>
  <si>
    <t>Manejo de influencias en la asignación de citas médicas y falla en adherencia a los protocolos institucionales por parte de los funcionarios de asignación de citas.</t>
  </si>
  <si>
    <t>AAM_06</t>
  </si>
  <si>
    <t>Pérdida de medicamentos e insumos hospitalarios en custodia del servicio de  enfermería en consulta externa.
(Sala de procedimientos menores y vacunación)</t>
  </si>
  <si>
    <t>AHO_01</t>
  </si>
  <si>
    <t>Cierre de áreas debido a brotes o enfermedades infecciosas que puedan limitar la prestación del servicio a los usuarios atendidos por el HOMIL.</t>
  </si>
  <si>
    <t>Fallas de adherencia a la guías protocolos, procedimientos, alta rotación del personal de salud en áreas de hospitalización.</t>
  </si>
  <si>
    <t>El responsable de hospitalización junto al responsable del grupo de calidad y enfermería, realizan mensualmente la verificación del cumplimiento de guías, protocolos y procedimientos por medio de capacitaciones, inducciones y evaluaciones de adherencia.</t>
  </si>
  <si>
    <t>AHO_02</t>
  </si>
  <si>
    <t>Hospitalización</t>
  </si>
  <si>
    <t>Lesión o daño en el paciente durante la prestación del servicio de salud.</t>
  </si>
  <si>
    <t>Error en el manejo y adherencia a las guías, protocolos, procedimientos de hospitalización por el personal de salud en el sitio de trabajo.</t>
  </si>
  <si>
    <t>El responsable de hospitalización junto al responsable del grupo de calidad y enfermería, realizan cada vez que se requiera la verificación del cumplimiento de guías, protocolos y procedimientos por medio de capacitaciones, inducciones y evaluaciones de adherencia.</t>
  </si>
  <si>
    <t>AHO_03</t>
  </si>
  <si>
    <t>Salas de Cirugía</t>
  </si>
  <si>
    <t>Atención inoportuna en la prestación del servicio de salud a los usuarios atendidos por el HOMIL.</t>
  </si>
  <si>
    <t>Debilidades en el proceso de programación de cirugía.</t>
  </si>
  <si>
    <t>El jefe de la oficina de programación de cirugías, verifica semanalmente el programa quirúrgico para garantizar la realización de los procedimientos programados.</t>
  </si>
  <si>
    <t>El jefe de la oficina de programación de cirugías garantiza diariamente el cumplimiento de los requisitos de los pacientes para la programación de cirugía, con el fin de optimizar el uso de las salas de cirugía.</t>
  </si>
  <si>
    <t>AHO_04</t>
  </si>
  <si>
    <t>Enfermería</t>
  </si>
  <si>
    <t>Multas, sanciones, PQRSD, glosas y eventos adversos.</t>
  </si>
  <si>
    <t xml:space="preserve">Falta de adherencia a las guías, procedimientos y protocolos del servicio de enfermería. </t>
  </si>
  <si>
    <t xml:space="preserve">El responsable del servicio de enfermería junto al equipo de educación y supervisión de enfermería de los diferentes turnos (Mañana, tarde, noche 1 y noche 2), realizan el seguimiento mensual al cumplimiento de las guías, procedimientos, protocolos y Plan de Atención de enfermería (propios y transversales), mediante le medición de adherencia a los mismos, con el propósito de evaluar la aplicación de las guías, procedimientos, protocolos y Plan de Atención de enfermería (propios y transversales) e identificar oportunidades de mejora en el servicio de enfermería. </t>
  </si>
  <si>
    <t>AHO_05</t>
  </si>
  <si>
    <t>Atención inoportuna en la prestación del servicio de salud a los usuarios atendidos por el Hospital Militar Central.</t>
  </si>
  <si>
    <t>Pérdida de medicamentos e insumos hospitalarios en custodia del servicio de enfermería.</t>
  </si>
  <si>
    <t>GCO_01</t>
  </si>
  <si>
    <t>Escuela de Auxiliares de Enfermería</t>
  </si>
  <si>
    <t>Incumplimiento en el desarrollo del programa académico de la Escuela de Auxiliares de Enfermería.</t>
  </si>
  <si>
    <t>Rotación del personal docente, mejores ofertas laborales en el mercado y modalidad  de contratación con mejores garantías para los docentes.</t>
  </si>
  <si>
    <t>El Director de la ESAE verifica y define de manera anual las obligaciones contractuales a desarrollar por parte del personal docente, por medio de los estudios previos, con fin de validar su experiencia y continuidad laboral.</t>
  </si>
  <si>
    <t>La coordinadora académica con colaboración docente, realiza semanalmente el seguimiento de retención, por medio de resultados académicos y ausentismo de los estudiantes. (listados de asistencias y reportes de calificaciones)</t>
  </si>
  <si>
    <t>GCO_02</t>
  </si>
  <si>
    <t>Disminución en los ingresos de la Escuela de Auxiliares de Enfermería.</t>
  </si>
  <si>
    <t>Baja captación de los aspirantes al programa académico de acuerdo a la capacidad instalada y posible deserción estudiantil.</t>
  </si>
  <si>
    <t>GCO_03</t>
  </si>
  <si>
    <t>Incumplimiento a la normatividad y sanciones del ente regulador llevando a la cancelación  del escenario de práctica.</t>
  </si>
  <si>
    <t>Autorización de prácticas formativas sin convenio docencia servicio.</t>
  </si>
  <si>
    <t>GCO_04</t>
  </si>
  <si>
    <t>Investigación
Laboratorio de Innovación INNLAB</t>
  </si>
  <si>
    <t>Pérdida de beneficios obtenidos a partir del reconocimiento de la titularidad de la propiedad  intelectual.</t>
  </si>
  <si>
    <t>Falta de implementación de medidas necesarias para asegurar la titularidad patrimonial de autor y de derechos de propiedad industrial a favor del HOMIL.</t>
  </si>
  <si>
    <t>La jefe de la Unidad de Investigación Científica,  verifica semestralmente que los proyectos de investigación presentados en comité interno cuenten con un documento donde las partes involucradas en el desarrollo del proyecto firman un acuerdo en relación con los derechos de propiedad intelectual de los posibles productos derivados de la investigación. (Declaración de autoría)</t>
  </si>
  <si>
    <t>La jefe de la Unidad de Investigación Científica, revisa semestralmente los contratos o convenios suscritos por los representantes legales del Hospital Militar Central y las demás partes involucradas en el desarrollo de las investigaciones, en el cual se regula la titularidad y explotación de los derechos de propiedad intelectual que resulten como consecuencia del desarrollo de la respectiva investigación.</t>
  </si>
  <si>
    <t>GCO_05</t>
  </si>
  <si>
    <t>Desarrollo de proyectos de
investigación sin aval institucional.</t>
  </si>
  <si>
    <t>Falta de adherencia a la Política de Investigación Ética e Integridad Científica y procedimiento de investigación académica.</t>
  </si>
  <si>
    <t>El jefe de la Unidad de Investigación Científica, verifica semestralmente que todos los proyectos de investigación en curso, cuenten con registro en el sistema de información de la unidad y cuenten con aval institucional. 
(Acta de comité de investigación)</t>
  </si>
  <si>
    <t>El jefe de la Unidad de Investigación Científica, verifica anualmente que los proyectos cumplan con los requisitos consignados en la resolución de convocatoria de proyectos de investigación, antes de ser sometidos a consideración para la asignación de recursos.
(Resolución de aprobación de proyectos de investigación científica y asignación de recursos para su financiación)</t>
  </si>
  <si>
    <t>GHU_01</t>
  </si>
  <si>
    <t>Administración de Personal.
Régimen Interno</t>
  </si>
  <si>
    <t>Sanciones, multas y demandas</t>
  </si>
  <si>
    <t xml:space="preserve">Incumplimiento de los requisitos legales y/o propios del empleo en los procesos de vinculación de la entidad y/o Militares en comisión. </t>
  </si>
  <si>
    <t xml:space="preserve">El responsable del Área de Administración de Personal de la Unidad de Talento Humano verifican cada vez que se requiera en la plataforma SIGEP II el correcto diligenciamiento y cargue de soportes de la Hoja de Vida y actualización oportuna de la declaración de bienes y rentas de cada servidor público. </t>
  </si>
  <si>
    <t>GHU_02</t>
  </si>
  <si>
    <t>Administración de Personal.</t>
  </si>
  <si>
    <t>Sanciones , multas y demandas</t>
  </si>
  <si>
    <t>Traslado de personal sin verificar idoneidad y/o condiciones de salud para desempeñar el empleo.</t>
  </si>
  <si>
    <t>GHU_03</t>
  </si>
  <si>
    <t>Oficina Control Disciplinario Interno</t>
  </si>
  <si>
    <t>Manipulación del proceso disciplinario en beneficio del investigado.</t>
  </si>
  <si>
    <t>GHU_04</t>
  </si>
  <si>
    <t>Pérdida de la competencia por parte de la administración, para ejercer la acción disciplinaria por el paso del tiempo.</t>
  </si>
  <si>
    <t xml:space="preserve">Falta de diligencia para gestionar el proceso disciplinario en los términos otorgados por la ley. </t>
  </si>
  <si>
    <t>El jefe de la Oficina de Control Disciplinario Interno, gestiona mensualmente la verificación y cumplimiento de los términos procesales con la actualización de la base de datos de los procesos disciplinarios, con el fin de evitar prescripción de las investigaciones.</t>
  </si>
  <si>
    <t>GHU_05</t>
  </si>
  <si>
    <t>Nómina y Prestaciones Sociales</t>
  </si>
  <si>
    <t>Sanciones disciplinarias, fiscales y reclamaciones de los usuarios.</t>
  </si>
  <si>
    <t>Falta de control en las novedades de personal , fallas en el sistema de Información y falta de verificación de supervivencia del personal pensionado.</t>
  </si>
  <si>
    <t>El auxiliar para Apoyo de Seguridad y Defensa - Técnico de Servicios  verifica cada vez que se requiera que el ingreso de la novedad corresponda al usuario indicado y que cumpla las características propias de la novedad de conformidad con lo establecido en la normatividad legal vigente, con el fin de que los emolumentos salarias y prestacionales sean liquidados en debida forma, posteriormente el Profesional de Defensa revisa y verifica las novedades que fueron ajustadas.</t>
  </si>
  <si>
    <t>El auxiliar para Apoyo de Seguridad y Defensa - Técnico de Servicios  verifica cada vez que sea requerido el certificado de supervivencia y el archivo de la consulta masiva del estado de cédula del personal pensionado (Aplicativo del Ministerio de Salud - Pisis), con el propósito de efectuar el pago de la mesada pensional a quien tiene el derecho.</t>
  </si>
  <si>
    <t>El Jefe de Unidad de Seguridad y Defensa de la Unidad de Talento Humano y el Subdirector del Sector Defensa - Subdirección Administrativa, firman mensualmente la nómina para su aprobación y realizar el pago por parte de la Subdirección de Finanzas.</t>
  </si>
  <si>
    <t>GHU_06</t>
  </si>
  <si>
    <t>Capacitación y Bienestar</t>
  </si>
  <si>
    <t>Falta de fortalecimiento de  las competencias y habilidades necesarias para ejecutar el empleo y desmotivación de los servidores públicos.</t>
  </si>
  <si>
    <t xml:space="preserve">Ausencia de identificación de necesidades de capacitación y/o bienestar de los diferentes servicios y áreas del HOMIL y ausencia de seguimiento a las actividades de capacitación y bienestar.
</t>
  </si>
  <si>
    <t>El responsable del área de Capacitación y Bienestar, elabora anualmente encuesta que permita identificar las necesidades de capacitación y bienestar, garantizando un alto porcentaje de participación de los servidores públicos.</t>
  </si>
  <si>
    <t xml:space="preserve">El responsable del área de Capacitación y Bienestar, elabora anualmente los Planes Institucionales de Capacitación y Bienestar, con el fin de satisfacer las necesidades identificadas. </t>
  </si>
  <si>
    <t>El responsable del área de Capacitación y Bienestar, realiza cada vez que se requiera las actividades necesarias para dar cumplimiento a los Planes Institucionales de Capacitación y Bienestar establecidos y debidamente aprobados.</t>
  </si>
  <si>
    <t>El responsable del área de Capacitación y Bienestar, realiza el seguimiento a la ejecución de los Planes y presenta a las Directivas de la entidad reportes trimestrales de los avances.</t>
  </si>
  <si>
    <t>GHU_07</t>
  </si>
  <si>
    <t>Seguridad y Salud en el Trabajo</t>
  </si>
  <si>
    <t>Interrupción  permanente y/o parcial  de la prestación de  servicios de la entidad.</t>
  </si>
  <si>
    <t>Falta de conocimiento del Plan de Gestión del Riesgo Institucional y el como actuar en caso de una emergencia (Desastres Naturales, antrópicos y sanitarios)</t>
  </si>
  <si>
    <t>El responsable del área de Seguridad y Salud en el Trabajo, garantiza el cumplimiento del cronograma de capacitaciones aprobado anualmente por la Dirección de la entidad, con el fin de verificar el nivel de conocimiento frente al Plan Hospitalario de Gestión del Riesgo.</t>
  </si>
  <si>
    <t>El responsable de gestión del riesgo con supervisión del responsable del área de Seguridad y Salud en el trabajo, capacita mensualmente al personal de planta, contratistas y terceros en temas de gestión del riesgo, con el fin de verificar el nivel de conocimiento frente al Plan Hospitalario de Gestión del Riesgo y el nivel de respuesta frente a una emergencia.</t>
  </si>
  <si>
    <t>El responsable del área de Seguridad y Salud en el Trabajo, evalúa mensualmente la adherencia de las capacitaciones del Plan Hospitalario de Gestión del Riesgo, con el fin de verificar el nivel de conocimiento frente al Plan Hospitalario de Gestión del Riesgo y el nivel de respuesta frente a una emergencia.</t>
  </si>
  <si>
    <t xml:space="preserve">El responsable del área de Seguridad y Salud en el trabajo, identifica anualmente los riesgos y controles generados del análisis de vulnerabilidad que se encuentran en las diferentes áreas y servicios de la entidad, con el fin de reducir el impacto frente a la ocurrencia de una posible emergencia. </t>
  </si>
  <si>
    <t>*Proyección de videos de gestión del riesgos (emergencias internas y externas) e información mediante los diferentes canales institucionales.
*Realización de simulacros de emergencia interna y externa.</t>
  </si>
  <si>
    <t>Gestión del Riesgo Hospitalario emergencias y desastres.</t>
  </si>
  <si>
    <t>Plan de trabajo con el área de comunicaciones y relaciones públicas.
Blog de gestión del Riesgo (Intranet)
Boletín Informativo Homil
Resultados de los simulacros realizados.</t>
  </si>
  <si>
    <t>GHU_08</t>
  </si>
  <si>
    <t xml:space="preserve">Existencia de Ambientes de trabajo inseguros reportados </t>
  </si>
  <si>
    <t xml:space="preserve">Falta de intervención a los controles de los riesgos ocupacionales establecidos en los ambientes de trabajo y falta de verificación de la implementación </t>
  </si>
  <si>
    <t xml:space="preserve">El responsable del área de Seguridad y Salud en el Trabajo establece anualmente  un Plan de acción generado a partir de la matriz de identificación del peligro y valoración del riesgo, con el fin de controlar los riesgos identificados. </t>
  </si>
  <si>
    <t xml:space="preserve">El responsable del área de Seguridad y Salud en el Trabajo realiza inspecciones programadas y no programadas de condiciones de seguridad en las áreas ,con el fin de identificar las condiciones de riesgos y generar las recomendaciones pertinentes para mitigarlos. </t>
  </si>
  <si>
    <t>El responsable del área de Seguridad y Salud en el Trabajo recepciona, tramita y hace seguimiento mensual a los reportes de condiciones inseguras,  con el objetivo de mitigar el riesgo identificado.</t>
  </si>
  <si>
    <t>Direccionamiento a las áreas responsables frente a la mitigación del riesgo presentado.
Cierre de condiciones inseguras (Capacitaciones, lecciones aprendidas)</t>
  </si>
  <si>
    <t xml:space="preserve">Listas de Capacitaciones realizadas
Envío mediante correo electrónico de lecciones aprendidas
Oficios emitidos a las áreas
</t>
  </si>
  <si>
    <t>GJU_01</t>
  </si>
  <si>
    <t>Oficina Asesora Jurídica</t>
  </si>
  <si>
    <t>Fallos judiciales en contra del HOMIL.</t>
  </si>
  <si>
    <t>Contestación extemporanea en las demandas interpuestas en contra de la entidad.</t>
  </si>
  <si>
    <t>Con el fin de evitar una materialización del riesgo relacionado con la contestación extemporánea de las demandas, el Funcionario de la oficina asesora jurídica revisa diariamente el correo electrónico y diligencia en la matriz de control de la gestión judicial, la fecha de notificación de las demandas y registra el término máximo de contestación de la demanda establecido por la OFAJ a los apoderados.</t>
  </si>
  <si>
    <t>El funcionario de la Oficina Asesora jurídica revisa los informes de los apoderados y realiza un consolidado mensual en el cual se identifican las demandas notificadas, fecha de contestación y   el cumplimiento de términos máximos de contestación de la demanda establecidos por la OFAJ a los apoderados, así como la radicación de la contestación en el Despacho Judicial correspondiente.</t>
  </si>
  <si>
    <t>GJU_02</t>
  </si>
  <si>
    <t>Supervisión inadecuada de los contratos.</t>
  </si>
  <si>
    <t>Los profesionales designados por la Oficina Asesora Jurídica, en compañía del profesional designado por la Unidad de Compras, Licitaciones y Bienes Activos, realiza trimestralmente capacitación y evaluación a los supervisores de los contratos del Homil, con el fin de que cuenten con el conocimiento necesario para que se realice la supervisión de acuerdo a las normas que regulan la materia.</t>
  </si>
  <si>
    <t>GLO_01</t>
  </si>
  <si>
    <t>No prestación en la atención integral de los servicios de salud a los usuarios atendidos por el HOMIL.</t>
  </si>
  <si>
    <t>Ausencia de mantenimientos oportunos e inadecuada manipulación de los equipos biomédicos por parte del personal asistencial.</t>
  </si>
  <si>
    <t>El jefe del área de equipo biomédico establece cronograma mensual de mantenimiento preventivo, el cual es asignado al tecnólogo biomédico encargado de cada servicio, con el fin de coordinar los mantenimientos preventivos realizado por  personal propio y por terceros.</t>
  </si>
  <si>
    <t>El jefe del área de equipo biomédico establece cronograma anual de capacitaciones, con el fin de mitigar el desconocimiento y mal uso de la tecnología, el área de equipo biomédico publicará trimestralmente capacitaciones para el personal clínico y asistencial, que permita dar la herramientas y conocimientos necesarios para el óptimo funcionamiento de la tecnología.</t>
  </si>
  <si>
    <t>GLO_02</t>
  </si>
  <si>
    <t>Suspensión parcial o total de áreas o servicios vitales para la atención en salud a los usuarios atendidos por el HOMIL.</t>
  </si>
  <si>
    <t>Incumplimiento normativo en el lavado de tanques de agua potable y alteraciones en el análisis físico - químico y microbiológico de la calidad del agua.</t>
  </si>
  <si>
    <t>El jefe de la Unidad de Apoyo Logístico o delegado de la gestión ambiental realiza el Plan Institucional de Gestión Ambiental - PIGA para la vigencia, en el cual plasma la periodicidad del lavado de tanques de manera semestral, según resolución 738 de 2018.</t>
  </si>
  <si>
    <t>El jefe de la Unidad de Apoyo Logístico o delegado de la gestión ambiental realiza gestiona semestralmente la toma de muestra de agua potable al laboratorio contratado por la entidad, con el fin de conocer y garantizar el cumplimiento de la normatividad en relación con análisis físico - químico y microbiológico de la calidad del agua del Homil.</t>
  </si>
  <si>
    <t>GLO_03</t>
  </si>
  <si>
    <t>Presencia y falta de continuidad en el proceso de control de vectores de plagas.</t>
  </si>
  <si>
    <t xml:space="preserve">El jefe de la Unidad de Apoyo Logístico o delegado de la gestión ambiental verifica, supervisa y garantiza trimestralmente el control de vectores de plagas en la entidad, con el fin de dar cumplimiento normativo y sanitario en la prestación del servicio. </t>
  </si>
  <si>
    <t xml:space="preserve">Jornadas de limpieza y desinfección en las áreas y/o servicios. </t>
  </si>
  <si>
    <t>Jefe de Unidad de Apoyo Logístico o delegado de la gestión ambiental.</t>
  </si>
  <si>
    <t>Formatos de limpieza y desinfección diligeniados por la empresa de aseo.</t>
  </si>
  <si>
    <t>GLO_04</t>
  </si>
  <si>
    <t>Sanciones y multas de los diferentes entes de control.</t>
  </si>
  <si>
    <t>Inadecuada segregación y disposición final de residuos hospitarios.</t>
  </si>
  <si>
    <t>Campañas masivas de concientización y sensibilización relacionadas con el Plan de Gestión Integral de Residuos Hospitalarios - PGIRH.</t>
  </si>
  <si>
    <t>Semestral</t>
  </si>
  <si>
    <t>Mediante:
Inspecciones oculares .
Comités y actas de reunión.
Planes de mejora.</t>
  </si>
  <si>
    <t>GLO_05</t>
  </si>
  <si>
    <t>No prestación en la atención integral de los servicios de salud a los usuarios atendidos por el Hospital Militar Central.</t>
  </si>
  <si>
    <t>Fallas en la red del suministro de gases medicinales (oxígeno, aire medicinal y vacío)</t>
  </si>
  <si>
    <t>El supervisor del contrato de la central de gases medicinales, manifold y cilindros de gases, coordina según cronograma,  la calibración de las alarmas de gases medicinales, con el fin de garantizar el correcto funcionamiento de la red del suministro de gases medicinales.</t>
  </si>
  <si>
    <t>El supervisor del contrato de la central de gases medicinales, manifold y cilindros de gases, revisa y gestiona de acuerdo al cronograma de mantenimientos preventivos, el mantenimiento anual de las alarmas de gases medicinales, con el fin de garantizar el correcto funcionamiento de la red de suministro de gases medicinales.</t>
  </si>
  <si>
    <t>GLO_06</t>
  </si>
  <si>
    <t xml:space="preserve">No prestación en la atención integral de los servicios de salud a los usuarios atendidos por el Hospital Militar Central. y daños en equipos médicos y de computo. </t>
  </si>
  <si>
    <t xml:space="preserve">Fallas en el suministro de la red eléctrica de la entidad. </t>
  </si>
  <si>
    <t>GLO_07</t>
  </si>
  <si>
    <t>Deterioro en la calidad de los medicamentos que requieran de una temperatura determinada, afectactando la cadena de frio.</t>
  </si>
  <si>
    <t>Daño de los equipos industriales necesarios para este fin (Neveras, Unidad Manejadora de Aire - UMAS, ventiladores, aire acondicionado y chiller)</t>
  </si>
  <si>
    <t>GLO_08</t>
  </si>
  <si>
    <t>Cierre de áreas, servicios y sanciones disciplinarias.</t>
  </si>
  <si>
    <t>Pérdida de materiales y herramientas necesarias para el mantenimiento de las instalaciones de la entidad.</t>
  </si>
  <si>
    <t>El jefe del área de mantenimiento, talleres y gestión ambiental, gestiona semanalmente con los almacenes el suministro de materiales y herramientas necesarias para cada uno de los talleres bajo su responsabilidad, con el fin de garantizar la ejecución de los mantenimientos requeridos en la entidad.</t>
  </si>
  <si>
    <t>El responsable de los talleres, realiza revista mensual en los talleres, con el fin de validar la existencia de las herramientas y el correcto uso de los materiales y elementos destinados al mantenimiento de la entidad.</t>
  </si>
  <si>
    <t>El responsable de los talleres, verifica cada vez que se requiera mediante orden de trabajo, la asignación de materiales, herramientas y el correcto uso y disposición final de los mismos, con el fin de cumplir con los mantenimientos solicitados por las áreas o servicios de la entidad.</t>
  </si>
  <si>
    <t>GLO_09</t>
  </si>
  <si>
    <t>Hotelería</t>
  </si>
  <si>
    <t xml:space="preserve">Demandas, multas y no prestación en la atención integral de los servicios de salud a los usuarios atendidos por el HOMIL  y médicos residentes. </t>
  </si>
  <si>
    <t>Suministro inoportuno de alimentación de acuerdo con los requerimientos nutricionales.</t>
  </si>
  <si>
    <t xml:space="preserve">El supervisor del contrato de alimentos e interventores del área de alimentos, verifican diariamente el cumplimiento de las dietas establecidas por nutrición clínica, con el fin de garantizar que los alimentos lleguen a los pacientes y médicos residentes en optimas condiciones de acuerdo a lo prescrito por nutrición clínica. </t>
  </si>
  <si>
    <t xml:space="preserve">La jefe del servicio de nutrición e interventores de alimentos, supervisan diariamente en pisos y comedores el cumplimiento de las dietas establecidas por nutrición clínica, con el fin de garantizar los tiempos oportunos de entrega y dieta correspondiente a los pacientes y médicos residentes. </t>
  </si>
  <si>
    <t>GLO_10</t>
  </si>
  <si>
    <t>Quejas, reclamos y no prestación en la atención integral de los servicios de salud a los usuarios atendidos por el HOMIL.</t>
  </si>
  <si>
    <t xml:space="preserve">Incumplimiento en el suministro oportuno de ropa hospitalaria para la prestación del servicio en los diferentes procedimientos que requieren los pacientes. </t>
  </si>
  <si>
    <t>El operario del área de lavandería entrega diariamente el suministro de ropa hospitalaria al área de hotelería, mediante planillas de recolección y distribución de ropa, con el fin de dar cumplimiento al stock mínimo de ropa por servicio.</t>
  </si>
  <si>
    <t>El operario del área de hotelería entrega diariamente el suministro de ropa hospitalaria al área de enfermería, mediante planillas de recolección y distribución de ropa, con el fin de garantizar las condiciones de bienestar y confort del paciente.</t>
  </si>
  <si>
    <t>GLO_11</t>
  </si>
  <si>
    <t>Quejas, reclamos y complicaciones en la salud del paciente y usuarios.</t>
  </si>
  <si>
    <t>Incumplimiento al procedimiento de limpieza y desinfección en la entidad.</t>
  </si>
  <si>
    <t xml:space="preserve">El profesional del área de hotelería, verificará quincenalmente mediante planilla de control, que el coordinador de aseo cumpla con las obligaciones contractuales relacionadas con la limpieza y desinfección de las diferentes áreas asistenciales y administrativas de la entidad. </t>
  </si>
  <si>
    <t>El grupo supervisor del contrato de limpieza y desinfección de las áreas asistenciales y administrativas de la entidad, realizará el seguimiento mensual a la ejecución del contrato, por medio de reuniones, donde se retroalimentan todas las novedades presentadas en el periodo.</t>
  </si>
  <si>
    <t>Sanciones disciplinarias, administrativas, penales, incumplimiento normativo y pérdida del patrimonio documental.</t>
  </si>
  <si>
    <t>Inadecuada administración de los documentos por parte del personal e inadecuada adherencia al procedimiento para el préstamo de la documentación.</t>
  </si>
  <si>
    <t>El responsable del área de Bioestadística, realiza cada vez que se requiera a través del sistema Controldoc  un oficio remisorio para dar respuesta con el número de historia, los nombres de los pacientes y con el número de folios que contienen, el Oficio es generado para las solicitudes para entidades competentes y personas naturales que correspondan. El Área de Bioestadística, luego envía a la Oficina Asesora Jurídica al abogado designado para revisar los documentos (Historia Clínica en CD o DVD), para que al final sea firmado y radicado por el jefe de la Oficina Asesora Jurídica. Posteriormente es enviado vía correo electrónico o por servicio de correspondencia según corresponda.</t>
  </si>
  <si>
    <t>Falta de insumos, materia prima y daño en equipos (Impresoras litográficas y maquinas de corte).</t>
  </si>
  <si>
    <t xml:space="preserve">El responsable del área de Imprenta, realiza semestralmente la solicitud de insumos y materia prima por Dinámica Gerencial Hospitalaria, con el fin de cumplir con las necesidades de los formatos y libretas solicitadas por el almacén 1. </t>
  </si>
  <si>
    <t xml:space="preserve">El responsable del área de Imprenta, solicita semestralmente el mantenimiento preventivo de los equipos de impresión y corte del área de Imprenta, con el fin de evitar la falta de formatos y libretas necesarias para el óptimo funcionamiento de las áreas y servicios de la entidad. </t>
  </si>
  <si>
    <t xml:space="preserve">El responsable del área de Imprenta, solicita anualmente el mantenimiento correctivo de los equipos de impresión y corte del área de Imprenta, con el fin de evitar la falta de formatos y libretas necesarias para el óptimo funcionamiento de las áreas y servicios de la entidad. </t>
  </si>
  <si>
    <t>GLO_14</t>
  </si>
  <si>
    <t>Cierre de áreas y/o servicios por parte de organismos de vigilancia y control.</t>
  </si>
  <si>
    <t>Incumplimientos a la normatividad vigente.
(Acreditación y habilitación).</t>
  </si>
  <si>
    <t>El jefe de la Unidad de Apoyo Logístico, en acompañamiento con el responsable del área de Calidad, mediante actas de reunión y documentos soporte,  realizará seguimiento semestral, a la planeación, formulación y/o ejecución de proyectos de infraestructura hospitalaria, en cumplimiento con la normatividad vigente.</t>
  </si>
  <si>
    <t>GLO_15</t>
  </si>
  <si>
    <t>Seguridad</t>
  </si>
  <si>
    <t>Hurto de medicamentos, insumos hospitalarios y equipos médicos.</t>
  </si>
  <si>
    <t>Posibilidad de afectación económica y reputacional por hurto de medicamentos, insumos hospitalarios y equipos médicos, debido al incumpliemiento al procedimiento de Devolución de medicamentos y dispositivos médicos.</t>
  </si>
  <si>
    <t xml:space="preserve">El responsable del área de Seguridad organiza y centraliza diariamente los ingresos y salidas del personal asistencial y administrativo de la entidad, con el fin de llevar un control exhaustivo de los elementos y materiales que salen del hospital, los cuales deben pasar por el escáner. </t>
  </si>
  <si>
    <t xml:space="preserve">El responsable del área de Seguridad controla el ingreso y salida de elementos diariamente por medio de los formatos institucionales definidos, con el fin evitar el hurto de equipos médicos, tecnológicos e insumos médicos. </t>
  </si>
  <si>
    <t xml:space="preserve">El responsable del área de Seguridad, monitorea todas las áreas diariamente por medio del circuito cerrado de televisión - CCTV, con el fin de verificar cualquier actividad sospechosa dentro de las instalaciones de la entidad. </t>
  </si>
  <si>
    <t>El responsable del área de Seguridad, realizará cada vez que se requiera revistas e inspecciones en los diferentes servicios, con el fin evitar el hurto de equipos médicos, tecnológicos e insumos médicos.</t>
  </si>
  <si>
    <t xml:space="preserve">El responsable del área de Seguridad, realiza cada vez que se requiera, un informe para la Subdirección Administrativa, donde se relacionan los diferentes medicamentos, insumos hospitalarios y equipos médicos que son retenidos a la salida de la entidad, esto con el fin de tomar acciones disciplinarias en contra los funcionarios implicados. </t>
  </si>
  <si>
    <t>GLO_16</t>
  </si>
  <si>
    <t>Multas y sanciones.</t>
  </si>
  <si>
    <t xml:space="preserve">Pérdida y hurto de recursos (dinero) de la caja manual (ventanilla) y para el manejo del dinero con el que se surte el cajero electrónico del parqueadero público. </t>
  </si>
  <si>
    <t xml:space="preserve">El responsable del parqueadero público que pertenece del área de Seguridad, verifica en cada cierre de turno (24 horas) mediante el recibo que emite la caja manual  vs el dinero recaudado vs el recibo de consignación al área de tesorería vs factura electrónica, con el fin de garantizar el adecuado manejo de los recursos que ingresan por el servicio de parqueo. </t>
  </si>
  <si>
    <t>El responsable del parqueadero público que pertenece del área de Seguridad,  realiza semanalmente el cierre y suministro de dinero en efectivo al cajero electrónico del parqueadero, con el fin de recolectar las ganancias y mantener el dinero base que se requiere para su funcionamiento. El dinero restante (Ganancias) es consignado al área de tesorería junto con el dinero producto del cierre de la caja manual.</t>
  </si>
  <si>
    <t xml:space="preserve">El soldado operador de la caja manual del parqueadero público, registra diariamente en el libro contable la cantidad de dinero que es consignada al área de Tesorería, con el fin de garantizar el cumplimiento del procedimiento de Administración de parqueaderos. </t>
  </si>
  <si>
    <t xml:space="preserve">El responsable del parqueadero público que pertenece del área de Seguridad, registra diariamente en base de datos, en la cual se relaciona el número de recibo que emite el área de tesorería, recibo de caja y recibo de ingresos y egresos, con el fin llevar trazabilidad del dinero manejado por el servicio del parqueadero. </t>
  </si>
  <si>
    <t>GLO_17</t>
  </si>
  <si>
    <t>Multas, sanciones, demandas y no prestación en la atención integral de los servicios de salud a los usuarios atendidos por el HOMIL.</t>
  </si>
  <si>
    <t>Falta de planeación en el adecuado funcionamiento y prestación del servicio de ambulancias (medicalizadas y básicas)</t>
  </si>
  <si>
    <t>El responsable del área de transporte, junto con el responsable del área de seguridad y salud en el trabajo, capacitan  anualmente al personal de conductores que integran el parque automotor de la entidad en (maniobras defensivas, primer respondiente, atención de victimas con ácido y reanimación cardio pulmonar), con el fin de prestar servicios de calidad y altos estándares a los usuarios del subsistema de salud de las Fuerzas Militares.</t>
  </si>
  <si>
    <t>GDA_01</t>
  </si>
  <si>
    <t xml:space="preserve">No prestación de la atención integral de los servicios de salud a los usuarios atendidos por el Hospital Militar Central, multas, sanciones de entes de control y percepción negativa por parte de los usuarios internos y externos de la entidad. </t>
  </si>
  <si>
    <t>Incumplimiento del manual de contratación,  los procedimientos internos y demás normatividad aplicables al proceso de contratación  e incumplimiento del objeto contractual y/o las especificaciones técnicas  generados por el inadecuado ejercicio de supervisión contractual.</t>
  </si>
  <si>
    <t>Realizar capacitación trimestral  al personal que interviene en la estructuración de los procesos contractuales.</t>
  </si>
  <si>
    <t>Jefe del area Gestion Contratos</t>
  </si>
  <si>
    <t>Actas de capacitación</t>
  </si>
  <si>
    <t>GDA_02</t>
  </si>
  <si>
    <t>Almacenes Bienes Activos</t>
  </si>
  <si>
    <t>Observaciones, hallazgos, multas o sanciones de entes de control.</t>
  </si>
  <si>
    <t>Pérdida de los bienes activos y bienes de consumo.</t>
  </si>
  <si>
    <t xml:space="preserve">El responsable del almacén de bienes de consumo No. 1, realiza cuando se requiera el registro en Dinámica Gerencial de acuerdo a codificación correspondiente a los bienes de consumo, con el fin de garantizar el control, existencias y niveles de stock en el almacén. </t>
  </si>
  <si>
    <t xml:space="preserve">El responsable del almacén de bienes de consumo No. 1, realiza el despacho de acuerdo a solicitud realizada por las áreas y servicios  de la entidad. </t>
  </si>
  <si>
    <t>El responsable del almacén de bienes de consumo No. 1, realiza  mensualmente prueba selectiva con el fin de determinar existencias físicas Vs reporte en  Dinámica Gerencial. Net.</t>
  </si>
  <si>
    <t xml:space="preserve">Jefe de Área de Almacén </t>
  </si>
  <si>
    <t xml:space="preserve">Realizar Capacitación trimestral, con el fin de afianzar los conocimientos en los procesos y procedimientos de los diferentes actividades realizadas en el área de Bienes </t>
  </si>
  <si>
    <t>GDA_03</t>
  </si>
  <si>
    <t>Limitación en el cumplimiento del objetivo de los procesos del HOMIL.</t>
  </si>
  <si>
    <t>Daño de los bienes activos derivado del uso negligente de los mismos.</t>
  </si>
  <si>
    <t>El profesional o técnico contable del área de almacenes bienes activos - ALBA, realiza de acuerdo a requerimiento el registro de  bienes adquiridos por la entidad, diligenciando la información en  Dinámica Gerencial. Net, con el fin de garantizar su identificación, plaquetización y control.</t>
  </si>
  <si>
    <t>El profesional o técnico contable del área de almacenes bienes activos - ALBA, define y registra en el acta de formalizacion de inventarios las instrucciones necesarias que permitan el control, cuidado, responsabilidad y uso adecuado de los bienes relacionados en el informe por responsables.</t>
  </si>
  <si>
    <t>GDA_04</t>
  </si>
  <si>
    <t>Recibir o solicitar cualquier dádiva o beneficio a nombre propio o de terceros.</t>
  </si>
  <si>
    <t>Direccionamiento de los estudios previos, la evaluación o aplicación a una modalidad diferente a la que corresponda por ley, para adjudicar y/o celebrar un contrato que beneficie a un proponente.</t>
  </si>
  <si>
    <t>El profesional designado del Área de Gestión Contratos – GECO, realiza cada vez que se requiera la verificación integral de los documentos que hacen parte de los estudios previos y la modalidad de selección aplicable.</t>
  </si>
  <si>
    <t xml:space="preserve">Realizar trimestralmente, revision aleatoria en el SECOPII,  verificando flujo de aprobacion y dejando como evidencia pantallazos  de los procesos consultados </t>
  </si>
  <si>
    <t xml:space="preserve">Pantallazos  de los procesos consultados </t>
  </si>
  <si>
    <t>El profesional designado del Área de Gestión Contratos – GECO</t>
  </si>
  <si>
    <t>GDA_05</t>
  </si>
  <si>
    <t>Manipulación de la información en el seguimiento y supervisión de los contratos.</t>
  </si>
  <si>
    <t xml:space="preserve">Verificar que los documentos relacionados con el ejercicio de supervisión del contrato, se encuentren cargados en la plataforma SECOP II, dentro de los tiempos y parámetros establecidos . </t>
  </si>
  <si>
    <t xml:space="preserve">Jefe del area de seguimiento ejecucion y apoyo contractual </t>
  </si>
  <si>
    <t>GDA_06</t>
  </si>
  <si>
    <t>Incumplimiento de los requisitos legales y/o propios del objeto del contrato  en los procesos de ingreso a la entidad.</t>
  </si>
  <si>
    <t>GFI_01</t>
  </si>
  <si>
    <t>Presupuesto</t>
  </si>
  <si>
    <t>Limitación en la prestación de servicios de salud por falta de recursos.</t>
  </si>
  <si>
    <t>Fallas en la planeación y seguimiento presupuestal.</t>
  </si>
  <si>
    <t>El profesional o técnico responsable del área de presupuesto, realiza de manera mensual la verificación y seguimiento de la ejecución del presupuesto en sistemas de información (Dinámica Gerencial Hospitalaria y SIIF Nación), genera y socializa informe a través de correo electrónico.</t>
  </si>
  <si>
    <t>Resoluciones de traslados internos</t>
  </si>
  <si>
    <t>Área de Presupuesto</t>
  </si>
  <si>
    <t>Resoluciones de traslados realizados en el periodo.</t>
  </si>
  <si>
    <t>GFI_02</t>
  </si>
  <si>
    <t>Contabilidad</t>
  </si>
  <si>
    <t>Sanción y no fenecimiento de la cuenta fiscal.</t>
  </si>
  <si>
    <t>Inoportunidad o no registro de las transacciones económicas e incumplimiento a la normatividad.</t>
  </si>
  <si>
    <t>Los Auxiliares de Apoyo de Seguridad y Defensa o Técnicos realizan mensualmente la revisión de las transacciones de los módulos que alimentan el proceso contable, con el fin de detectar transacciones no rutinarias.</t>
  </si>
  <si>
    <t>Los Auxiliares de Apoyo de Seguridad y Defensa o Técnicos con los responsables de las áreas fuente, realizan trimestralmente la verificación, trazabilidad y coincidencia de los saldos.</t>
  </si>
  <si>
    <t xml:space="preserve">El Profesional de Defensa del Área de Contabilidad, realiza mensualmente la verificación de las cifras en el balance de pruebas, con el fin de detectar cifras y variaciones no rutinarias. </t>
  </si>
  <si>
    <t>El profesional de Defensa del Área de Contabilidad, genera cada vez que se requiera alertas por medio de correos electrónicos u oficios , con el fin de que las operaciones se realicen oportunamente.</t>
  </si>
  <si>
    <t>GFI_03</t>
  </si>
  <si>
    <t>Contabilidad
(Áreas fuente de la información contable)</t>
  </si>
  <si>
    <t>Incluir u omitir datos en el sistema de información que no respondan a la realidad con respecto a la transacción realizada.</t>
  </si>
  <si>
    <t xml:space="preserve">El Profesional de Defensa del Área de Contabilidad junto con su equipo de trabajo, realiza seguimiento mensual a niveles de cuentas contables, con el fin de detectar cifras atípicas y realizar las respectivas correcciones. </t>
  </si>
  <si>
    <t xml:space="preserve">El Profesional de Defensa del Área de Contabilidad junto con su equipo de trabajo y los responsables de las áreas fuente, realizan trimestralmente la verificación, trazabilidad y coincidencia de los saldos, con el fin de detectar cifras atípicas y realizar las respectivas correcciones. </t>
  </si>
  <si>
    <t xml:space="preserve">El profesional de Defensa del Área de Tesorería junto con su equipo de trabajo, realizan diarios de caja e informe trimestral de las partidas conciliatorias, con el fin de identificar lo que no se encuentra registrado en libros contables. </t>
  </si>
  <si>
    <t>El profesional de Defensa del Área de Tesorería junto con su equipo de trabajo, agotada la etapa de identificación y registro de las partidas, una vez por semestre debe enviar al comité de sostenibilidad contable, las partidas conciliatorias superiores a seis meses para su depuración a través de este comité.</t>
  </si>
  <si>
    <t>GFI_04</t>
  </si>
  <si>
    <t>Tesorería</t>
  </si>
  <si>
    <t>Sanciones económicas y penales.</t>
  </si>
  <si>
    <t>Realizar dobles pagos frente a una misma obligación, pagos sin cumplimiento de requisitos e incumplimiento en el pago a terceros.</t>
  </si>
  <si>
    <t>Los Auxiliares del área de Tesorería, verifican diariamente los documentos soportes recibidos,  de acuerdo a la lista de chequeo y serán registrados en los sistemas de información SIIF y Dinámica Gerencial Hospitalaria.</t>
  </si>
  <si>
    <t xml:space="preserve">El Profesional de Defensa del Área de Tesorería, realiza mensualmente el cruce de ordenes de pago en SIIF y Dinámica Gerencial, con el fin de detectar diferencias y ajustarlas si aplica. </t>
  </si>
  <si>
    <t xml:space="preserve">Los Auxiliares de Apoyo de Seguridad y Defensa del Área de Tesorería, registran diariamente en base de datos las fechas de vencimiento de acuerdo a cada contrato, el cual sirve como herramienta de programación de pagos, con el fin de dar cumplimiento a la clausula de pago de los contratos. </t>
  </si>
  <si>
    <t xml:space="preserve">El Profesional de Defensa del Área de Tesorería, realiza mensualmente la programación de giros, validando la liquidez frente al pago de obligaciones de acuerdo a las prioridades establecidas por la entidad. </t>
  </si>
  <si>
    <t>Los Auxiliares de Apoyo de Seguridad y Defensa del Área de Tesorería, registran diariamente en base de datos las fechas de vencimiento de acuerdo a cada contrato, el cual sirve como herramienta de programación de pagos, con el fin de dar cumplimiento a la clausula.</t>
  </si>
  <si>
    <t>GFI_05</t>
  </si>
  <si>
    <t>Costos</t>
  </si>
  <si>
    <t>Inadecuada toma de decisiones frente al comportamiento de un centro de costo o un servicio.</t>
  </si>
  <si>
    <t>El profesional de Defensa del Área de Costos, realiza mensualmente la distribución de gastos de acuerdo a parámetros establecidos, con el fin de determinar el gasto en cada uno de los centros de costo.</t>
  </si>
  <si>
    <t xml:space="preserve">El profesional de Defensa del Área de Costos, realiza semestralmente informe por centro de costos y cruce frente al estado de resultados contables por factor de costo, con el fin de comprobar la exactitud frente al costo de ventas en los estados financieros. </t>
  </si>
  <si>
    <t>GFI_06</t>
  </si>
  <si>
    <t>Facturación</t>
  </si>
  <si>
    <t>No facturación de los servicios prestados.</t>
  </si>
  <si>
    <t>El auditor o revisor de cuentas médicas, audita y revisa a diario los ingresos asignados para la verificación de las atenciones Vs cargues para la generación de la factura de pacientes hospitalizados, de urgencias y cirugía.</t>
  </si>
  <si>
    <t>El analista y revisor de cuentas médicas realiza semanalmente la verificación en sistema de información (Dinámica Gerencial Hospitalaria) de los ingresos y atenciones realizadas en los servicios ambulatorios, para la generación de la factura.</t>
  </si>
  <si>
    <t xml:space="preserve">EL auditor financiero, analista y revisor de cuentas médicas una vez se termina el cierre de la facturación del mes de prestación a facturar, realiza la verificación y depuración de los ingresos abiertos, para depurarlos o facturarlos según sea el caso. </t>
  </si>
  <si>
    <t>GFI_07</t>
  </si>
  <si>
    <t>Cartera</t>
  </si>
  <si>
    <t>Inoportunidad en el recaudo de las cuentas por cobrar por prestación de servicios de salud, con los diferentes pagadores del sistema general de seguridad social en salud.</t>
  </si>
  <si>
    <t>Agotamiento en el cobro persuasivo.</t>
  </si>
  <si>
    <t xml:space="preserve">El técnico, auxiliar de apoyo de seguridad y defensa y auditor financiero del área de cartera, verifican mensualmente la facturación generada y radicada ante el pagador correspondiente de acuerdo al aseguramiento del paciente, con el fin de hacer seguimiento a la radicación y recaudo oportuno. </t>
  </si>
  <si>
    <t xml:space="preserve">El técnico, auxiliar de apoyo de seguridad y defensa y auditor financiero del área de cartera con el auditor financiero y revisor de cuentas médicas del área de facturación, realizan mensualmente el cruce y verificación de que las facturas generadas en el mes sean radicadas en cada empresa administradora de planes de beneficios. </t>
  </si>
  <si>
    <t>El técnico, auxiliar de apoyo de seguridad y defensa y auditor financiero del área de cartera con el responsable del módulo de cartera del área de contabilidad, realiza trimestralmente el cruce y verificación de los saldos contables, con el fin de que la información financiera sea coincidente.</t>
  </si>
  <si>
    <t>El técnico, auxiliar de apoyo de seguridad y defensa y auditor financiero del área de cartera, generan semestralmente un reporte de cartera, para posible cobro coactivo.</t>
  </si>
  <si>
    <t>El jefe de la unidad de cuentas hospitalarias y facturación, verifica, analiza y ofícia semestralmente a la Oficina Asesora Jurídica la cartera clasificada para cobro coactivo.</t>
  </si>
  <si>
    <t>GFI_08</t>
  </si>
  <si>
    <t>Tesorería
Presupuesto</t>
  </si>
  <si>
    <t>Recibir o solicitar dádivas o beneficios a nombre propio o de terceros.</t>
  </si>
  <si>
    <t>Modificación indebida de valores a los compromisos de pagos y cuentas de destino para el pago de recursos.</t>
  </si>
  <si>
    <t>El responsable del área de presupuesto revisa diariamente en el momento de la expedición de los documentos soportes de las solicitudes de registro, adiciones y/o prorrogas a los compromisos de los contratos, con el propósito de asegurar que los registros presupuestales sean acordes con las solicitudes recibidas.</t>
  </si>
  <si>
    <t>El responsable del área de presupuesto valida la cuenta bancaria cada vez que se expida el compromiso presupuestal, en caso de requerir cambio de cuenta se valida frente a la solicitud efectuada por el supervisor del contrato y la certificación bancaria, para dejar evidencia de la solicitud formalmente realizada.</t>
  </si>
  <si>
    <t xml:space="preserve">El responsable del área de presupuesto verifica cada vez que se genera la obligación presupuestal que los documentos soportes cumplan con los requisitos exigidos en el contrato y se anexe la documentación requerida para el trámite de pago. </t>
  </si>
  <si>
    <t xml:space="preserve">EL responsable del área de tesorería valida cada vez que se requiera la cuenta bancaria donde se van a depositar los recursos y se establece el cronograma de programación de giros, de acuerdo a los vencimientos pactados contractualmente. </t>
  </si>
  <si>
    <t>GFI_09</t>
  </si>
  <si>
    <t>Recibir o solicitar dádivas ó beneficios a nombre propio o de terceros</t>
  </si>
  <si>
    <t>Adulterar o cambiar información para minimizar el valor a cobrar por la prestación de servicios de salud.</t>
  </si>
  <si>
    <t>GFI_10</t>
  </si>
  <si>
    <t>No optimizar la gestión institucional que garantice la sostenibilidad financiera de la entidad</t>
  </si>
  <si>
    <t>Correlación inadecuada entre las proyecciones financieras y los acuerdos contractuales con los aseguradores y su correspondencia con los colabores, proveedores y contratistas para la prestación de servicios de salud.</t>
  </si>
  <si>
    <t>Posibilidad de afectación económica por la no optimizar la gestión institucional que garantice la sostenibilidad financiera de la entidad, debido a una correlación inadecuada entre las proyecciones financieras y los acuerdos contractuales con los aseguradores y su correspondencia con los colabores, proveedores y contratistas para la prestación de servicios de salud.</t>
  </si>
  <si>
    <t>El profesional del área de costos junto a su grupo de trabajo, revisa y monitorea anualmente la estructura tarifaria que es parte integral del contrato suscrito con la DIGSA, con el propósito de garantizar el adecuado flujo de recursos para respaldar el presupuesto de gastos.</t>
  </si>
  <si>
    <t>El profesional del área de costos junto a su grupo de trabajo, analiza trimestralmente los resultados financieros para generar las alertas necesarias que conduzcan a la estabilidad financiera de la entidad.
(Análisis de costos).</t>
  </si>
  <si>
    <t>Realizar validación trimestral del comportamiento del ingreso, frente al contrato con la DIGSA.</t>
  </si>
  <si>
    <t>Área de Costos</t>
  </si>
  <si>
    <t>Acta de cruce de cartera con facturación.</t>
  </si>
  <si>
    <t>GDO_01</t>
  </si>
  <si>
    <t>Pérdida del patrimonio documental.</t>
  </si>
  <si>
    <t>Inadecuada administración de los documentos por parte del personal y/o incumplimiento de los procedimientos de la gestión documental en la entidad.</t>
  </si>
  <si>
    <t>GDO_02</t>
  </si>
  <si>
    <t>Incumplimiento normativo, a causa de desgregación, deterioro y pérdida del patrimonio documental.</t>
  </si>
  <si>
    <t>El jefe / responsable / designado del área de Registro de Correspondencia y Archivo, propende el cumplimiento normativo del Título 4 - administración de archivos, artículo 11 hasta 20 de la ley 594 del 2000.
Implementando el conjunto de acciones, procedimientos y lineamientos, de conformidad con lo señalado en la normatividad archivística vigente y demás normas concordantes para la creación, uso, mantenimiento, retención, acceso, conservación y preservación de la documentación del HOMIL.</t>
  </si>
  <si>
    <t>El jefe / responsable / designado del área de Registro de Correspondencia y Archivo, garantiza trimestralmente el cumplimiento de la conservación documental por medio del SIC (Sistema Integrado de Conservación) y los programas que lo componen, con el propósito de generar los atributos tales como unidad, integridad, autenticidad, inalterabilidad, originalidad, fiabilidad, accesibilidad, de toda la documentación de la entidad desde el momento de la producción, durante su período de vigencia, hasta su disposición final, de acuerdo con la valoración documental, de conformidad con lo señalado en el Acuerdo AGN 06 de 2014.</t>
  </si>
  <si>
    <t>GDO_03</t>
  </si>
  <si>
    <t>Demandas y tutelas por divulgación de información clasificada o reservada de los usuarios atendidos por el HOMIL.</t>
  </si>
  <si>
    <t>Falta en el compromiso de confidencialidad y reserva de la información por parte del personal que custodia la información del archivo central</t>
  </si>
  <si>
    <t xml:space="preserve">El jefe / responsable / designado del área de Registro de Correspondencia y Archivo, velará por el cumplimiento desde el área, de lo señalado en las normas y artículos: 
Artículo 5º. Consulta de documentos, artículo 6 Préstamo de documentos para trámites internos, del Acuerdo AGN42 de 2002 y Artículo 38 - Deberes de todo servidor público, numeral 6, de la Ley 1952 de 2019, se deberán brindar las garantías para la consulta y acceso a la información, salvo para los casos señalados en la ley 1712 de 2014 y documentar las evidencias del trámite. </t>
  </si>
  <si>
    <t>GDO_04</t>
  </si>
  <si>
    <t>Pérdida de correspondencia que ingresa y sale de la entidad.</t>
  </si>
  <si>
    <t>Incumplimiento al procedimiento establecido para el control de la correspondencia recibida y enviada, no diligenciamiento de las plantillas de control de envío de la documentación externa y fallas en la radicación a terceros.</t>
  </si>
  <si>
    <t>OCI_01</t>
  </si>
  <si>
    <t>Oficina de Control Interno</t>
  </si>
  <si>
    <t>Selección inadecuada de procesos a evaluar.</t>
  </si>
  <si>
    <t>Falta de aplicación de una herramienta de priorización de auditorías, como insumo para la elaboración del Plan Anual de Auditorias de cada vigencia.</t>
  </si>
  <si>
    <t>OCI_02</t>
  </si>
  <si>
    <t>Requerimientos de Entes de Control sin revisión por parte de la Oficina de Control Interno - OCIN en relación con los  atributos de oportunidad en la entrega, integridad y coherencia.</t>
  </si>
  <si>
    <t xml:space="preserve">La Oficina designada por la Dirección para recibir, distribuir y consolidar los requerimientos de los Entes de Control hacia las dependencias responsables de atenderlos según su competencia, no informe a la OCIN sobre los requerimientos allegados junto con la respuesta consolidada.
</t>
  </si>
  <si>
    <t>OCI_03</t>
  </si>
  <si>
    <t>Inexistencia de información que sustente y respalde el hallazgo de auditoría, deficiencias e interpretación errada de los soportes o ausencia de los mismos.</t>
  </si>
  <si>
    <t>OCI_04</t>
  </si>
  <si>
    <t xml:space="preserve">
Para alterar a conveniencia propia o de terceros los resultados de informes a cargo de la Oficina de Control Interno.</t>
  </si>
  <si>
    <t>Adherencia al Código de Ética para los Auditores Internos del Hospital Militar Central</t>
  </si>
  <si>
    <t>Jefe OCIN</t>
  </si>
  <si>
    <t>Registro de la Declaración de independencia.</t>
  </si>
  <si>
    <t>Revisión, verificación y aprobación de la información generada por el equipo auditor.</t>
  </si>
  <si>
    <t xml:space="preserve">Informes y actas de cierre de auditoría. </t>
  </si>
  <si>
    <t>MATRIZ DE MONITOREO DE RIESGOS I TRIMESTRE
(ENERO - MARZO)</t>
  </si>
  <si>
    <t>MATRIZ DE MONITOREO DE RIESGOS II TRIMESTRE
 (ABRIL - JUNIO)</t>
  </si>
  <si>
    <t>MATRIZ DE MONITOREO DE RIESGOS III TRIMESTRE
 (JULIO - SEPTIEMBRE)</t>
  </si>
  <si>
    <t>MATRIZ DE MONITOREO DE RIESGOS IV TRIMESTRE
 (OCTUBRE - DICIEMBRE)</t>
  </si>
  <si>
    <t xml:space="preserve">La administración del riesgo es aplicable a todas las dependencias, procesos, proyectos y planes institucionales, con el fin de identificar, analizar, valorar, monitorear y dar tratamiento a los riesgos identificados durante el desarrollo de la gestión planificada y a todos los servidores públicos y contratistas en el ejercicio de sus funciones y obligaciones. </t>
  </si>
  <si>
    <t>La Jefe de la Oficina de Control Disciplinario Interno gestiona con cada uno de los funcionarios a su cargo, la suscripción mensual de un acta de adherencia al código general disciplinario, en lo que concierne a las faltas disciplinarias relacionadas con recibir o solicitar dadivas como consecuencia de la manipulación del proceso disciplinario en beneficio del investigado.</t>
  </si>
  <si>
    <t>GHU_09</t>
  </si>
  <si>
    <t>GHU_10</t>
  </si>
  <si>
    <t>Asuntos Disciplinarios y Administrativos</t>
  </si>
  <si>
    <t>Pérdida de la competencia por parte de la administración, para ejercer la acción disciplinaria y administrativa por el paso del tiempo.</t>
  </si>
  <si>
    <t xml:space="preserve">Falta de diligencia para gestionar el proceso disciplinarios y administrativos en los términos otorgados por la ley. </t>
  </si>
  <si>
    <t>GDA_07</t>
  </si>
  <si>
    <t>GDA_08</t>
  </si>
  <si>
    <t>Inadecuada administración de recursos asignados a la  Caja menor No. 1 -Subdirección Administrativa, destinados a atender los gastos, relacionados con el mantenimiento de las
instalaciones y equipos de propiedad del Hospital Militar Central, la adquisición de
materiales, suministros, mantenimiento, comunicaciones y transporte.</t>
  </si>
  <si>
    <t xml:space="preserve">Posibilidad de afectación económica y reputacional, por sanciones disciplinarias, administrativas, penales, incumplimiento normativo y detrimento patrimonial, debido a la 
Inadecuada administración de recursos asignados a la  Caja menor No. 1 -Subdirección Administrativa, destinados a atender los gastos, relacionados con el mantenimiento de las
instalaciones y equipos de propiedad del Hospital Militar Central, la adquisición de
materiales, suministros, mantenimiento, comunicaciones y transporte.
</t>
  </si>
  <si>
    <t>Jefe de la Unidad de Compras, Licitaciones y Bienes Activos</t>
  </si>
  <si>
    <t>Sanciones disciplinarias, administrativas, penales, incumplimiento normativo y detrimento patrimonial.</t>
  </si>
  <si>
    <t>Registro inoportuno en la Historia Clínica  del estado de salud y la atención brindada.</t>
  </si>
  <si>
    <t>GDO_05</t>
  </si>
  <si>
    <t>Gestión Documental, Historias Clínicas e Imprenta.</t>
  </si>
  <si>
    <t>GDO_06</t>
  </si>
  <si>
    <t>El responsable del área de transporte, planea anualmente mediante el plan anual de adquisiciones los requerimientos necesarios para el correcto funcionamiento de las ambulancias (Combustible, mantenimientos preventivos y correctivos, impuestos, revisiones tecno mecánicas y soat), con el fin de garantizar el optimo funcionamiento de los vehículos de emergencia.</t>
  </si>
  <si>
    <t>GHU_11</t>
  </si>
  <si>
    <t>Fuga de Conocimiento</t>
  </si>
  <si>
    <t>Administración de Personal y Régimen Interno</t>
  </si>
  <si>
    <t>Equipo Biomédico e Industrial</t>
  </si>
  <si>
    <t>Gestión Ambiental</t>
  </si>
  <si>
    <t>Mantenimiento, Talleres</t>
  </si>
  <si>
    <t>Infraestructura Hospitalaria</t>
  </si>
  <si>
    <t>Transportes</t>
  </si>
  <si>
    <t>Áreas responsables</t>
  </si>
  <si>
    <t>Gestión de la Infraestructura de
las Tecnologías de la
Información y Comunicación</t>
  </si>
  <si>
    <t>Comunicación Estratégica</t>
  </si>
  <si>
    <t>Atención al Usuario y Relacionamiento Ciudadano</t>
  </si>
  <si>
    <t>Imágenes Diagnosticas
Laboratorio clínico
Patología
Banco de Sangre y Gestión Pretrasfusional</t>
  </si>
  <si>
    <t>Imágenes Diágnosticas</t>
  </si>
  <si>
    <t>Epidemiología</t>
  </si>
  <si>
    <t>Formación del Talento Humano en Salud</t>
  </si>
  <si>
    <t>Investigación en salud
Laboratorio de Innovación - INNLAB</t>
  </si>
  <si>
    <t>Gestión Contratos, Selección Personal - Seguimiento, Ejecución y Apoyo Contractual</t>
  </si>
  <si>
    <t>Subdirección Administrativa
(Subdirector Administrativo)
Unidad de Compras, Licitaciones y Bienes Activos</t>
  </si>
  <si>
    <t>Gestión Ética, Bioética, Buen Gobierno y Humanización
Administración de Personal
Gestión Contratos, Selección
Personal - Seguimiento,
Ejecución y Apoyo Contractual</t>
  </si>
  <si>
    <t xml:space="preserve">Gestión Ética, Bioética, Buen Gobierno y Humanización
Responsables de los Grupos de trabajo
Presidentes de los Comités Institucionales. </t>
  </si>
  <si>
    <t>1 de Marzo</t>
  </si>
  <si>
    <r>
      <t xml:space="preserve">Establecer un marco de referencia general que involucre a todos los servidores públicos y contratistas del </t>
    </r>
    <r>
      <rPr>
        <b/>
        <sz val="20"/>
        <color theme="1"/>
        <rFont val="Arial Narrow"/>
        <family val="2"/>
      </rPr>
      <t>HOSPITAL MILITAR CENTRAL</t>
    </r>
    <r>
      <rPr>
        <sz val="20"/>
        <color theme="1"/>
        <rFont val="Arial Narrow"/>
        <family val="2"/>
      </rPr>
      <t xml:space="preserve"> para la adecuada gestión del riesgo, por medio de la identificación de acciones de control, respuestas oportunas y estrategias institucionales frente a las diferentes situaciones que puedan afectar el cumplimiento de la misionalidad y el logro de los objetivos institucionales.</t>
    </r>
  </si>
  <si>
    <r>
      <t xml:space="preserve">Posibilidad de afectación económica y reputacional por recibir o solicitar cualquier dádiva o beneficio a nombre propio o de terceros, debido a la inadecuada manipulación de los procesos Disciplinarios Militares </t>
    </r>
    <r>
      <rPr>
        <b/>
        <sz val="20"/>
        <rFont val="Arial Narrow"/>
        <family val="2"/>
      </rPr>
      <t>(Ley 1862 de 2017)</t>
    </r>
    <r>
      <rPr>
        <sz val="20"/>
        <rFont val="Arial Narrow"/>
        <family val="2"/>
      </rPr>
      <t xml:space="preserve"> y procesos administrativos </t>
    </r>
    <r>
      <rPr>
        <b/>
        <sz val="20"/>
        <rFont val="Arial Narrow"/>
        <family val="2"/>
      </rPr>
      <t xml:space="preserve">(Ley 1476 de 2011) </t>
    </r>
    <r>
      <rPr>
        <sz val="20"/>
        <rFont val="Arial Narrow"/>
        <family val="2"/>
      </rPr>
      <t xml:space="preserve">en beneficio del
investigado.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</si>
  <si>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y reputacional por fallos judiciales en contra del HOMIL, debido a supervisión inadecuada de los contratos. 
</t>
    </r>
    <r>
      <rPr>
        <b/>
        <sz val="20"/>
        <rFont val="Arial Narrow"/>
        <family val="2"/>
      </rPr>
      <t>(Política de prevención del daño antijurídico)</t>
    </r>
  </si>
  <si>
    <r>
      <t xml:space="preserve">Posibilidad de afectación económica y reputacional por sanciones disciplinarias, administrativas, penales, incumplimiento normativo y detrimento patrimonial, debido a la inadecuada administración de recursos asignados a la caja menor No. 2 - Insumos Hospitalarios a cargo del (Jefe de la Unidad De compras, licitaciones y Bienes Activos) destinados a atender los gastos hospitalarios y el suministro oportuno de medicamentos, elementos de laboratorio, quirúrgicos, de curación como también la adquisición de servicio de salud que se requiera en forma inmediata para los usuarios del </t>
    </r>
    <r>
      <rPr>
        <b/>
        <sz val="20"/>
        <rFont val="Arial Narrow"/>
        <family val="2"/>
      </rPr>
      <t>Hospital Militar Central.</t>
    </r>
  </si>
  <si>
    <r>
      <rPr>
        <b/>
        <sz val="20"/>
        <color indexed="53"/>
        <rFont val="Arial Narrow"/>
        <family val="2"/>
      </rPr>
      <t xml:space="preserve">*Nota: </t>
    </r>
    <r>
      <rPr>
        <sz val="20"/>
        <color indexed="8"/>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</si>
  <si>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r>
      <t>Descripción del Control
(</t>
    </r>
    <r>
      <rPr>
        <i/>
        <u/>
        <sz val="24"/>
        <color theme="1"/>
        <rFont val="Arial Narrow"/>
        <family val="2"/>
      </rPr>
      <t>Responsable + actividad a realizar + periodicidad + propósito + forma como se 
desarrolla el control</t>
    </r>
    <r>
      <rPr>
        <b/>
        <u/>
        <sz val="24"/>
        <color theme="1"/>
        <rFont val="Arial Narrow"/>
        <family val="2"/>
      </rPr>
      <t>)</t>
    </r>
  </si>
  <si>
    <r>
      <t>Plan de Acción
(</t>
    </r>
    <r>
      <rPr>
        <sz val="24"/>
        <color theme="1"/>
        <rFont val="Arial Narrow"/>
        <family val="2"/>
      </rPr>
      <t>Actividad</t>
    </r>
    <r>
      <rPr>
        <b/>
        <sz val="24"/>
        <color theme="1"/>
        <rFont val="Arial Narrow"/>
        <family val="2"/>
      </rPr>
      <t>)</t>
    </r>
  </si>
  <si>
    <r>
      <rPr>
        <sz val="18"/>
        <rFont val="Arial Narrow"/>
        <family val="2"/>
      </rPr>
      <t>El profesional del área de Administración de personal, junto con el responsable de Selección y contratación de personal y el profesional</t>
    </r>
    <r>
      <rPr>
        <sz val="18"/>
        <color theme="1"/>
        <rFont val="Arial Narrow"/>
        <family val="2"/>
      </rPr>
      <t xml:space="preserve"> del área de Gestión contratos, garantizan cada vez que se requiere, el cumplimiento de la ley que exige el diligenciamiento del formato declaración de bienes y rentas y declaración de conflicto de interés y/o aplicativos de Ley 2013 de 2019, con el fin de acatar las disposiciones normativas vigentes. </t>
    </r>
  </si>
  <si>
    <r>
      <t xml:space="preserve">Cada vez que se requiera el responsable del Área de Comunicaciones y Relaciones Públicas envía a la fuente primaria (área solicitante) el producto comunicativo para validar su veracidad y claridad, posterior a ello envía al Asesor(a) de la Dirección General para su aprobación quien </t>
    </r>
    <r>
      <rPr>
        <u/>
        <sz val="18"/>
        <color theme="1"/>
        <rFont val="Arial Narrow"/>
        <family val="2"/>
      </rPr>
      <t>de acuerdo al nivel de complejidad</t>
    </r>
    <r>
      <rPr>
        <sz val="18"/>
        <color theme="1"/>
        <rFont val="Arial Narrow"/>
        <family val="2"/>
      </rPr>
      <t xml:space="preserve"> del mismo envía a la Dirección General para obtener un tercer aval, posterior a este proceso se realiza la publicación de la información.
</t>
    </r>
    <r>
      <rPr>
        <b/>
        <sz val="18"/>
        <color theme="1"/>
        <rFont val="Arial Narrow"/>
        <family val="2"/>
      </rPr>
      <t>Nota:</t>
    </r>
    <r>
      <rPr>
        <sz val="18"/>
        <color theme="1"/>
        <rFont val="Arial Narrow"/>
        <family val="2"/>
      </rPr>
      <t xml:space="preserve"> Existen algunos productos de comunicación, que no requieren aprobación externa al área y se aprueba por parte del líder del área de  Comunicaciones y Relaciones Públicas - CORE.</t>
    </r>
  </si>
  <si>
    <r>
      <t xml:space="preserve">Cada vez que se requiera el responsable del Área de Comunicaciones y Relaciones Públicas envía a la fuente primaria (área solicitante) el producto comunicativo para validar su veracidad y claridad, y posterior aprobación.
De acuerdo al nivel de complejidad del mismo, se envía a la Dirección General para obtener un segundo aval para la publicación de la información.
</t>
    </r>
    <r>
      <rPr>
        <b/>
        <sz val="18"/>
        <color theme="1"/>
        <rFont val="Arial Narrow"/>
        <family val="2"/>
      </rPr>
      <t>Nota:</t>
    </r>
    <r>
      <rPr>
        <sz val="18"/>
        <color theme="1"/>
        <rFont val="Arial Narrow"/>
        <family val="2"/>
      </rPr>
      <t xml:space="preserve"> Existen algunos productos de comunicación, que no requieren aprobación externa al área, y se aprueba por parte del líder del Área de  Comunicaciones y Relaciones Públicas - CORE.</t>
    </r>
  </si>
  <si>
    <r>
      <t xml:space="preserve">El personal designado de cada farmacia realiza la recepción técnica en el momento del ingreso de medicamentos, reactivos e insumos mediante del formato </t>
    </r>
    <r>
      <rPr>
        <b/>
        <sz val="18"/>
        <color theme="1"/>
        <rFont val="Arial Narrow"/>
        <family val="2"/>
      </rPr>
      <t>AA-UNFA-PR-15-FT-01</t>
    </r>
    <r>
      <rPr>
        <sz val="18"/>
        <color theme="1"/>
        <rFont val="Arial Narrow"/>
        <family val="2"/>
      </rPr>
      <t>, respectivamente,</t>
    </r>
    <r>
      <rPr>
        <sz val="18"/>
        <color rgb="FFFF0000"/>
        <rFont val="Arial Narrow"/>
        <family val="2"/>
      </rPr>
      <t xml:space="preserve"> </t>
    </r>
    <r>
      <rPr>
        <sz val="18"/>
        <color theme="1"/>
        <rFont val="Arial Narrow"/>
        <family val="2"/>
      </rPr>
      <t xml:space="preserve">con el fin de verificar que las cantidades y la información registrada coincidan con lo físico. 
</t>
    </r>
    <r>
      <rPr>
        <b/>
        <sz val="18"/>
        <color theme="1"/>
        <rFont val="Arial Narrow"/>
        <family val="2"/>
      </rPr>
      <t>Soporte:</t>
    </r>
    <r>
      <rPr>
        <sz val="18"/>
        <color theme="1"/>
        <rFont val="Arial Narrow"/>
        <family val="2"/>
      </rPr>
      <t xml:space="preserve"> Formato de recepción técnica. </t>
    </r>
  </si>
  <si>
    <r>
      <t xml:space="preserve">El personal designado de cada farmacia realiza seguimiento semanal del inventario, con el fin de validar las cantidades físicas contra lo registrado en el sistema (Dinámica Gerencial Hospitalaria) En caso de encontrar diferencias se realizará el ajuste siguiendo la descripción de actividades en los numerales, 6, 7 y 8 correspondientes a "Determinar diferencias de inventario físico versus existencias en aplicativo de sistemas", "Determinar salidas por compensación"  y "Determinar entradas por compensación" respectivamente. Dando cumplimiento al Procedimiento: Ajuste de Inventarios luego de un inventario físico en una farmacia Cod. </t>
    </r>
    <r>
      <rPr>
        <b/>
        <sz val="18"/>
        <color theme="1"/>
        <rFont val="Arial Narrow"/>
        <family val="2"/>
      </rPr>
      <t xml:space="preserve">FR-UNFA-PR-01. 
Soporte: </t>
    </r>
    <r>
      <rPr>
        <sz val="18"/>
        <color theme="1"/>
        <rFont val="Arial Narrow"/>
        <family val="2"/>
      </rPr>
      <t>Formato de Selectivas mensuales.</t>
    </r>
  </si>
  <si>
    <r>
      <t xml:space="preserve">El personal designado por el jefe de la Unidad de Farmacia realiza mensualmente un reporte de acceso a las áreas de Farmacia Producción y Adecuación de Medicamentos . Con el fin de mitigar el riesgo de posibles pérdidas por hurto de medicamentos de alto costo debido al ingreso de personal externo en las áreas del almacén. 
</t>
    </r>
    <r>
      <rPr>
        <b/>
        <sz val="18"/>
        <color theme="1"/>
        <rFont val="Arial Narrow"/>
        <family val="2"/>
      </rPr>
      <t>Soporte:</t>
    </r>
    <r>
      <rPr>
        <sz val="18"/>
        <color theme="1"/>
        <rFont val="Arial Narrow"/>
        <family val="2"/>
      </rPr>
      <t xml:space="preserve"> FORMATO CONTROL INGRESO ÁREAS DE PRODUCCIÓN CODIGO: AA-GAME-PR-02-FT-01.</t>
    </r>
  </si>
  <si>
    <r>
      <t xml:space="preserve">El personal designado de cada farmacia dispensa a áreas o servicios cada vez que lo requieran, medicamentos e insumos para consumo, los cuales son entregados y soportados por medio de un documento que describe las características técnicas y orden de despacho, con el fin de garantizar la trazabilidad y control de inventarios de las farmacias.
(Todo movimiento en los inventarios, deberá ser realizado y soportado por Dinámica Gerencial Hospitalaria)
</t>
    </r>
    <r>
      <rPr>
        <b/>
        <sz val="18"/>
        <color theme="1"/>
        <rFont val="Arial Narrow"/>
        <family val="2"/>
      </rPr>
      <t>Soporte:</t>
    </r>
    <r>
      <rPr>
        <sz val="18"/>
        <color theme="1"/>
        <rFont val="Arial Narrow"/>
        <family val="2"/>
      </rPr>
      <t xml:space="preserve"> Orden de despacho generada por (Dinámica Gerenciial hospitalaría).</t>
    </r>
  </si>
  <si>
    <r>
      <t>El personal designado de cada farmacia reportará mensualmente al responsable de cada farmacia y al jefe de Unidad, el listado de medicamentos y dispositivos con fechas de vencimiento menores a 6 meses, con el fin gestionar el riesgo de vencimiento y detrimento patrimonial. Siguiendo el procedimientos</t>
    </r>
    <r>
      <rPr>
        <b/>
        <sz val="18"/>
        <color theme="1"/>
        <rFont val="Arial Narrow"/>
        <family val="2"/>
      </rPr>
      <t xml:space="preserve"> PROCEDIMIENTO:  MANEJO DE PRODUCTOS PRÓXIMOS A VENCER, AVERIADOS Y VENCIDOS CÓDIGO: AA-UNFA-PR-20.
Soporte: </t>
    </r>
    <r>
      <rPr>
        <sz val="18"/>
        <color theme="1"/>
        <rFont val="Arial Narrow"/>
        <family val="2"/>
      </rPr>
      <t>Correos electrónicos con la relación de los medicamentos e insumos próximos a vencer.</t>
    </r>
  </si>
  <si>
    <r>
      <t xml:space="preserve">El personal designado por el jefe de la Unidad de Farmacia realizara seguimiento a las devoluciones en los diferentes servicios mediante el uso del Formato de devoluciones postuladas Vs Confirmadas a diario,  con el fin de garantizar la gestión oportuna y realización de las devoluciones. 
</t>
    </r>
    <r>
      <rPr>
        <b/>
        <sz val="18"/>
        <color theme="1"/>
        <rFont val="Arial Narrow"/>
        <family val="2"/>
      </rPr>
      <t>Soporte:</t>
    </r>
    <r>
      <rPr>
        <sz val="18"/>
        <color theme="1"/>
        <rFont val="Arial Narrow"/>
        <family val="2"/>
      </rPr>
      <t xml:space="preserve"> Informe de devoluciones.</t>
    </r>
  </si>
  <si>
    <r>
      <t xml:space="preserve">El personal designado por el jefe de la Unidad de Farmacia reportará mensualmente el FORMATO: CONTROL RECEPCION E INGRESO DE FACTURAS, REMISIONES Y URGENCIAS VITALES CÓDIGO: AA-FMTS-PR-01-FT-05, con el fin de tener la trazabilidad de cada uno de los ingresos de facturas y remisiones a la FTS.
</t>
    </r>
    <r>
      <rPr>
        <b/>
        <sz val="18"/>
        <color theme="1"/>
        <rFont val="Arial Narrow"/>
        <family val="2"/>
      </rPr>
      <t>Soporte:</t>
    </r>
    <r>
      <rPr>
        <sz val="18"/>
        <color theme="1"/>
        <rFont val="Arial Narrow"/>
        <family val="2"/>
      </rPr>
      <t xml:space="preserve"> CONTROL RECEPCION E INGRESO DE FACTURAS, REMISIONES Y URGENCIAS VITALES CÓDIGO: AA-FMTS-PR-01-FT-05</t>
    </r>
  </si>
  <si>
    <r>
      <t xml:space="preserve">El personal designado por el jefe de la Unidad de Farmacia reportará mensualmente el FORMATO: INFORME APROVECHAMIENTO ONCOLOGÍA SEMANAL CÓDIGO: AA-PRFA-PR02-FT-15, con el fin de tener la trazabilidad y el control de los aprovechamientos generados en la CAM
</t>
    </r>
    <r>
      <rPr>
        <b/>
        <sz val="18"/>
        <color theme="1"/>
        <rFont val="Arial Narrow"/>
        <family val="2"/>
      </rPr>
      <t>Soporte:</t>
    </r>
    <r>
      <rPr>
        <sz val="18"/>
        <color theme="1"/>
        <rFont val="Arial Narrow"/>
        <family val="2"/>
      </rPr>
      <t xml:space="preserve"> INFORME APROVECHAMIENTO ONCOLOGÍA SEMANAL</t>
    </r>
  </si>
  <si>
    <r>
      <t xml:space="preserve">El personal designado por el jefe de la Unidad de Farmacia reportará mensualmente a través del FORMATO:  Registro y seguimiento de préstamos interinstitucionales, con el fin de tener la trazabilidad de los prestamos generados a otras instituciones desde la fecha de inicio del prestamos, seguimiento y su cierre.
</t>
    </r>
    <r>
      <rPr>
        <b/>
        <sz val="18"/>
        <color theme="1"/>
        <rFont val="Arial Narrow"/>
        <family val="2"/>
      </rPr>
      <t>Soporte:</t>
    </r>
    <r>
      <rPr>
        <sz val="18"/>
        <color theme="1"/>
        <rFont val="Arial Narrow"/>
        <family val="2"/>
      </rPr>
      <t xml:space="preserve"> Registro y seguimiento de préstamos interinstitucionales</t>
    </r>
  </si>
  <si>
    <r>
      <t xml:space="preserve">El responsable de cada farmacia realiza de acuerdo a la necesidad la solicitud de suministros con el fin de mantener los niveles de stock suficientes para cada farmacia, los cuales se sustentarán con los pedidos periodicos realizados por DGH.
</t>
    </r>
    <r>
      <rPr>
        <b/>
        <sz val="18"/>
        <color theme="1"/>
        <rFont val="Arial Narrow"/>
        <family val="2"/>
      </rPr>
      <t>Soporte:</t>
    </r>
    <r>
      <rPr>
        <sz val="18"/>
        <color theme="1"/>
        <rFont val="Arial Narrow"/>
        <family val="2"/>
      </rPr>
      <t xml:space="preserve"> Requerimiento de medicamnetos e insumos requeridos por las farmacias (DGH).</t>
    </r>
  </si>
  <si>
    <r>
      <t xml:space="preserve">El supervisor del contrato de gases medicinales hace seguimiento mensual del mismo, con el fin de dar cumplimiento y garantizar la disponibilidad de gases medicinales en el Hospital Militar Central.
</t>
    </r>
    <r>
      <rPr>
        <b/>
        <sz val="18"/>
        <color theme="1"/>
        <rFont val="Arial Narrow"/>
        <family val="2"/>
      </rPr>
      <t>Soporte:</t>
    </r>
    <r>
      <rPr>
        <sz val="18"/>
        <color theme="1"/>
        <rFont val="Arial Narrow"/>
        <family val="2"/>
      </rPr>
      <t xml:space="preserve"> Informe de Supervisión del contrato.</t>
    </r>
  </si>
  <si>
    <r>
      <t xml:space="preserve">Frente al desabastecimiento de medicamentos el operador logístico y/o el laboratorio reporta al jefe de la unidad de Farmacia, quien se encarga de informar a los médicos tratantes con el fin de buscar diferentes alternativas para darle continuidad al tratamiento del paciente.
</t>
    </r>
    <r>
      <rPr>
        <b/>
        <sz val="18"/>
        <color theme="1"/>
        <rFont val="Arial Narrow"/>
        <family val="2"/>
      </rPr>
      <t>Soporte:</t>
    </r>
    <r>
      <rPr>
        <sz val="18"/>
        <color theme="1"/>
        <rFont val="Arial Narrow"/>
        <family val="2"/>
      </rPr>
      <t xml:space="preserve"> Correos electrónicos.</t>
    </r>
  </si>
  <si>
    <r>
      <t xml:space="preserve">El responsable de cada farmacia realiza verificación mensual de la correcta identificación </t>
    </r>
    <r>
      <rPr>
        <b/>
        <sz val="18"/>
        <color theme="1"/>
        <rFont val="Arial Narrow"/>
        <family val="2"/>
      </rPr>
      <t>LASA</t>
    </r>
    <r>
      <rPr>
        <sz val="18"/>
        <color theme="1"/>
        <rFont val="Arial Narrow"/>
        <family val="2"/>
      </rPr>
      <t xml:space="preserve"> (Look alike sound alike) y semaforización (Marcación de medicamentos próximos a vencer) para los medicamentos que así lo requieren, con el fin de realizar una dispensación segura de los mismos. 
</t>
    </r>
    <r>
      <rPr>
        <b/>
        <sz val="18"/>
        <color theme="1"/>
        <rFont val="Arial Narrow"/>
        <family val="2"/>
      </rPr>
      <t xml:space="preserve">Soporte: </t>
    </r>
    <r>
      <rPr>
        <sz val="18"/>
        <color theme="1"/>
        <rFont val="Arial Narrow"/>
        <family val="2"/>
      </rPr>
      <t>(Evidencia fotográfica enviada vía correo electrónico).</t>
    </r>
  </si>
  <si>
    <r>
      <t xml:space="preserve">El responsable de cada farmacia realiza de manera mensual el seguimiento a productos próximos a vencer, mediante el reporte de inventario generado en Dinámica Gerencial Hospitalaria, con el cual se gestiona el cambio con el responsable (Operador Logístico y laboratorio)
</t>
    </r>
    <r>
      <rPr>
        <b/>
        <sz val="18"/>
        <color theme="1"/>
        <rFont val="Arial Narrow"/>
        <family val="2"/>
      </rPr>
      <t>Soporte:</t>
    </r>
    <r>
      <rPr>
        <sz val="18"/>
        <color theme="1"/>
        <rFont val="Arial Narrow"/>
        <family val="2"/>
      </rPr>
      <t xml:space="preserve"> Correos electrónicos.</t>
    </r>
  </si>
  <si>
    <r>
      <t xml:space="preserve">El personal designado del área de planta de producción de aire medicinal, realiza la recepción técnica en el momento del ingreso de los gases medicinales mediante del formato </t>
    </r>
    <r>
      <rPr>
        <b/>
        <sz val="18"/>
        <color theme="1"/>
        <rFont val="Arial Narrow"/>
        <family val="2"/>
      </rPr>
      <t>AA-UNFA-PR-15-FT-03</t>
    </r>
    <r>
      <rPr>
        <sz val="18"/>
        <color theme="1"/>
        <rFont val="Arial Narrow"/>
        <family val="2"/>
      </rPr>
      <t xml:space="preserve">, con el fin de verificar fechas de vencimiento.
</t>
    </r>
    <r>
      <rPr>
        <b/>
        <sz val="18"/>
        <color theme="1"/>
        <rFont val="Arial Narrow"/>
        <family val="2"/>
      </rPr>
      <t>Soporte:</t>
    </r>
    <r>
      <rPr>
        <sz val="18"/>
        <color theme="1"/>
        <rFont val="Arial Narrow"/>
        <family val="2"/>
      </rPr>
      <t xml:space="preserve"> Formato de recepción de gases medicinales. </t>
    </r>
  </si>
  <si>
    <r>
      <t xml:space="preserve">El químico farmacéutico de control de calidad, realiza cada vez que se requiera la verificación de la información de las etiquetas de identificación de adecuaciones, con la solicitud y/o la fórmula médica para las producciones que aplique.
</t>
    </r>
    <r>
      <rPr>
        <b/>
        <sz val="18"/>
        <color theme="1"/>
        <rFont val="Arial Narrow"/>
        <family val="2"/>
      </rPr>
      <t>Soporte:</t>
    </r>
    <r>
      <rPr>
        <sz val="18"/>
        <color theme="1"/>
        <rFont val="Arial Narrow"/>
        <family val="2"/>
      </rPr>
      <t xml:space="preserve"> Paquete técnico de la CAM.</t>
    </r>
  </si>
  <si>
    <r>
      <t xml:space="preserve">El químico farmacéutico encargado del aseguramiento de calidad es responsable de ejecutar y garantizar el cumplimiento del programa anual de capacitaciones. Este programa abarca temas clave como (la interpretación de órdenes médicas, los procesos de producción, y el control de calidad de los productos preparados en la Central de Adecuación de Medicamentos)
</t>
    </r>
    <r>
      <rPr>
        <b/>
        <sz val="18"/>
        <color theme="1"/>
        <rFont val="Arial Narrow"/>
        <family val="2"/>
      </rPr>
      <t>Soporte:</t>
    </r>
    <r>
      <rPr>
        <sz val="18"/>
        <color theme="1"/>
        <rFont val="Arial Narrow"/>
        <family val="2"/>
      </rPr>
      <t xml:space="preserve"> Cronograma de capacitación, evaluaciones y listados de asistencia.</t>
    </r>
  </si>
  <si>
    <r>
      <t xml:space="preserve">El coordinador de producción gestiona los procesos de toma de muestras para el control microbiológico que se realiza de manera mensual, con el fin de cumplir con la normatividad y llevar control microbiológico de ambientes, superficies, personas y adecuaciones. 
</t>
    </r>
    <r>
      <rPr>
        <b/>
        <sz val="18"/>
        <color theme="1"/>
        <rFont val="Arial Narrow"/>
        <family val="2"/>
      </rPr>
      <t>Soporte:</t>
    </r>
    <r>
      <rPr>
        <sz val="18"/>
        <color theme="1"/>
        <rFont val="Arial Narrow"/>
        <family val="2"/>
      </rPr>
      <t xml:space="preserve"> Informe de microbiología. </t>
    </r>
  </si>
  <si>
    <r>
      <t xml:space="preserve">El Químico Farmacéutico de aseguramiento de calidad realiza y garantiza el cumplimiento del programa anual de capacitación al personal que labora en la CAM, donde se incluye protocolo de Limpieza y desinfección de áreas críticas, semicríticas y no críticas (CAM) </t>
    </r>
    <r>
      <rPr>
        <b/>
        <sz val="18"/>
        <color theme="1"/>
        <rFont val="Arial Narrow"/>
        <family val="2"/>
      </rPr>
      <t>CÓDIGO: AH-CLME-PT-03</t>
    </r>
    <r>
      <rPr>
        <sz val="18"/>
        <color theme="1"/>
        <rFont val="Arial Narrow"/>
        <family val="2"/>
      </rPr>
      <t xml:space="preserve"> e Ingreso y egreso de las áreas de producción, desinfección personal y flujo de materiales CAM </t>
    </r>
    <r>
      <rPr>
        <b/>
        <sz val="18"/>
        <color theme="1"/>
        <rFont val="Arial Narrow"/>
        <family val="2"/>
      </rPr>
      <t xml:space="preserve">CÓDIGO: Cód. AA-UNFA-PT-19, </t>
    </r>
    <r>
      <rPr>
        <sz val="18"/>
        <color theme="1"/>
        <rFont val="Arial Narrow"/>
        <family val="2"/>
      </rPr>
      <t xml:space="preserve">con el fin dar cumplimiento a la normatividad y garantizar la adherencia a protocolos. 
</t>
    </r>
    <r>
      <rPr>
        <b/>
        <sz val="18"/>
        <color theme="1"/>
        <rFont val="Arial Narrow"/>
        <family val="2"/>
      </rPr>
      <t>Soporte:</t>
    </r>
    <r>
      <rPr>
        <sz val="18"/>
        <color theme="1"/>
        <rFont val="Arial Narrow"/>
        <family val="2"/>
      </rPr>
      <t xml:space="preserve"> Cronograma de capacitación, evaluaciones y listados de asistencia.</t>
    </r>
  </si>
  <si>
    <r>
      <t xml:space="preserve">El auxiliar de farmacia designado, realiza seguimiento quincenal al estado de insumos utilizados para la limpieza y verificación de puntos críticos de limpieza mediante el formato Lista de verificación y desinfección CAM </t>
    </r>
    <r>
      <rPr>
        <b/>
        <sz val="18"/>
        <color theme="1"/>
        <rFont val="Arial Narrow"/>
        <family val="2"/>
      </rPr>
      <t xml:space="preserve">CÓDIGO: AH-CLME-PT-26-FT-03. 
Soporte: </t>
    </r>
    <r>
      <rPr>
        <sz val="18"/>
        <color theme="1"/>
        <rFont val="Arial Narrow"/>
        <family val="2"/>
      </rPr>
      <t>Lista de verificación y desinfección CAM</t>
    </r>
  </si>
  <si>
    <r>
      <t xml:space="preserve">El químico farmacéutico de aseguramiento de calidad hace seguimiento trimestral del cronograma de mantenimiento y calibración de equipo industrial Cod. </t>
    </r>
    <r>
      <rPr>
        <b/>
        <sz val="18"/>
        <color theme="1"/>
        <rFont val="Arial Narrow"/>
        <family val="2"/>
      </rPr>
      <t xml:space="preserve">GL-EQIN-PR-01-FT-02, </t>
    </r>
    <r>
      <rPr>
        <sz val="18"/>
        <color theme="1"/>
        <rFont val="Arial Narrow"/>
        <family val="2"/>
      </rPr>
      <t>de la Central de Adecuación de Medicamentos,</t>
    </r>
    <r>
      <rPr>
        <b/>
        <sz val="18"/>
        <color theme="1"/>
        <rFont val="Arial Narrow"/>
        <family val="2"/>
      </rPr>
      <t xml:space="preserve"> </t>
    </r>
    <r>
      <rPr>
        <sz val="18"/>
        <color theme="1"/>
        <rFont val="Arial Narrow"/>
        <family val="2"/>
      </rPr>
      <t xml:space="preserve">con el fin de verificar su cumplimiento. 
</t>
    </r>
    <r>
      <rPr>
        <b/>
        <sz val="18"/>
        <color theme="1"/>
        <rFont val="Arial Narrow"/>
        <family val="2"/>
      </rPr>
      <t>Soporte:</t>
    </r>
    <r>
      <rPr>
        <sz val="18"/>
        <color theme="1"/>
        <rFont val="Arial Narrow"/>
        <family val="2"/>
      </rPr>
      <t xml:space="preserve"> Cronograma de mantenimiento e Informe de mantenimiento.</t>
    </r>
  </si>
  <si>
    <r>
      <t xml:space="preserve">El coordinador de producción realiza capacitación anual y medición de adherencia semestral en temas de operación de equipos a todo el personal involucrado con la producción de adecuación de medicamentos. 
</t>
    </r>
    <r>
      <rPr>
        <b/>
        <sz val="18"/>
        <color theme="1"/>
        <rFont val="Arial Narrow"/>
        <family val="2"/>
      </rPr>
      <t>Soporte:</t>
    </r>
    <r>
      <rPr>
        <sz val="18"/>
        <color theme="1"/>
        <rFont val="Arial Narrow"/>
        <family val="2"/>
      </rPr>
      <t xml:space="preserve"> Cronograma de capacitación, evaluaciones y listados de asistencia.</t>
    </r>
  </si>
  <si>
    <r>
      <t xml:space="preserve">El líder de calidad (de los servicios de patología, laboratorio y radiología) realiza reporte mensual del formato Cód. </t>
    </r>
    <r>
      <rPr>
        <b/>
        <sz val="18"/>
        <color theme="1"/>
        <rFont val="Arial Narrow"/>
        <family val="2"/>
      </rPr>
      <t>AA-LACL-PT-13-</t>
    </r>
    <r>
      <rPr>
        <b/>
        <sz val="18"/>
        <rFont val="Arial Narrow"/>
        <family val="2"/>
      </rPr>
      <t>FT-01</t>
    </r>
    <r>
      <rPr>
        <b/>
        <sz val="18"/>
        <color theme="1"/>
        <rFont val="Arial Narrow"/>
        <family val="2"/>
      </rPr>
      <t xml:space="preserve"> - ERRORES  EN  LA  VALIDACION  DE  RESULTADOS  Y/O  PÉRDIDA  DE  MUESTRAS    EN    LABORATORIO  CLÍNICO  –PATOLOGIA, BANCO DE SANGRE E  IMÁGENES DIAGNOSTICAS, </t>
    </r>
    <r>
      <rPr>
        <sz val="18"/>
        <color theme="1"/>
        <rFont val="Arial Narrow"/>
        <family val="2"/>
      </rPr>
      <t>con el fin de hacer seguimiento y evitar errores de interpretación, lectura, transcripción y validación de los resultados y/o estudios.</t>
    </r>
    <r>
      <rPr>
        <b/>
        <sz val="10"/>
        <color theme="1"/>
        <rFont val="Arial Narrow"/>
        <family val="2"/>
      </rPr>
      <t/>
    </r>
  </si>
  <si>
    <r>
      <t xml:space="preserve">El jefe del servicio y/o responsable de calidad realiza semanalmente la verificación mediante visto bueno en el formato Cod. </t>
    </r>
    <r>
      <rPr>
        <b/>
        <sz val="18"/>
        <color theme="1"/>
        <rFont val="Arial Narrow"/>
        <family val="2"/>
      </rPr>
      <t xml:space="preserve">AA-PATL-PR-01-FT-.01, </t>
    </r>
    <r>
      <rPr>
        <sz val="18"/>
        <color theme="1"/>
        <rFont val="Arial Narrow"/>
        <family val="2"/>
      </rPr>
      <t>con el fin de identificar y prevenir posibles pérdidas de muestras. (Imágenes Diagnosticas y Patología)</t>
    </r>
  </si>
  <si>
    <r>
      <t xml:space="preserve">El jefe del servicio y/o responsable de calidad, realiza semanalmente la verificación mediante visto bueno en el formato Cod. </t>
    </r>
    <r>
      <rPr>
        <b/>
        <sz val="18"/>
        <color theme="1"/>
        <rFont val="Arial Narrow"/>
        <family val="2"/>
      </rPr>
      <t>AD-LABO-PT-03-FT-03</t>
    </r>
    <r>
      <rPr>
        <sz val="18"/>
        <color theme="1"/>
        <rFont val="Arial Narrow"/>
        <family val="2"/>
      </rPr>
      <t>, con el fin de identificar y prevenir posibles pérdidas de muestras. (Laboratorio Clínico)</t>
    </r>
  </si>
  <si>
    <r>
      <t xml:space="preserve">El jefe del servicio, realiza de manera mensual o trimestral </t>
    </r>
    <r>
      <rPr>
        <i/>
        <sz val="18"/>
        <rFont val="Arial Narrow"/>
        <family val="2"/>
      </rPr>
      <t>(De acuerdo a las necesidades del servicio)</t>
    </r>
    <r>
      <rPr>
        <sz val="18"/>
        <rFont val="Arial Narrow"/>
        <family val="2"/>
      </rPr>
      <t xml:space="preserve"> la solicitud de insumos en el formato Cod. </t>
    </r>
    <r>
      <rPr>
        <b/>
        <sz val="18"/>
        <rFont val="Arial Narrow"/>
        <family val="2"/>
      </rPr>
      <t xml:space="preserve">GA-GECO-PR-01-FT-01 - ORDEN DE PEDIDO A PROVEEDOR, </t>
    </r>
    <r>
      <rPr>
        <sz val="18"/>
        <rFont val="Arial Narrow"/>
        <family val="2"/>
      </rPr>
      <t xml:space="preserve">con el fin de garantizar la prestación del servicio. </t>
    </r>
  </si>
  <si>
    <r>
      <t xml:space="preserve">El líder del servicio verifica trimestralmente el reporte periódico del resultado de las lecturas de los dosímetros (TLV) dentro de los valores límite permisivos de dosis recibida por trabajador, con el fin de evitar una sobre exposición del personal. 
</t>
    </r>
    <r>
      <rPr>
        <b/>
        <sz val="18"/>
        <color theme="1"/>
        <rFont val="Arial Narrow"/>
        <family val="2"/>
      </rPr>
      <t>Soporte:</t>
    </r>
    <r>
      <rPr>
        <sz val="18"/>
        <color theme="1"/>
        <rFont val="Arial Narrow"/>
        <family val="2"/>
      </rPr>
      <t xml:space="preserve"> Reporte del valor de lectura dosímetro - Listado del Personal</t>
    </r>
  </si>
  <si>
    <r>
      <t xml:space="preserve">El personal designado de la Farmacia Tecnologías en Salud realiza seguimiento mensual del inventario, con el fin de validar las características de calidad del producto; dando cumplimiento al procedimiento toma física de inventarios de medicamentos y dispositivos médicos </t>
    </r>
    <r>
      <rPr>
        <b/>
        <sz val="18"/>
        <color theme="1"/>
        <rFont val="Arial Narrow"/>
        <family val="2"/>
      </rPr>
      <t xml:space="preserve">Cod. FR-UNFA-PR-22.
Soporte: </t>
    </r>
    <r>
      <rPr>
        <sz val="18"/>
        <color theme="1"/>
        <rFont val="Arial Narrow"/>
        <family val="2"/>
      </rPr>
      <t>Formato de Selectivas.</t>
    </r>
  </si>
  <si>
    <r>
      <t xml:space="preserve">El Químico Farmacéutico de la Farmacia de Tecnologías en Salud, realiza trimestralmente la medición de adherencia al procedimiento: Recepción técnica de medicamentos, dispositivos médico quirúrgicos (DMQ), reactivos y demás insumos relacionados con el cuidado de la salud </t>
    </r>
    <r>
      <rPr>
        <b/>
        <sz val="18"/>
        <color theme="1"/>
        <rFont val="Arial Narrow"/>
        <family val="2"/>
      </rPr>
      <t>COD AA-UNFA-PR-15</t>
    </r>
    <r>
      <rPr>
        <sz val="18"/>
        <color theme="1"/>
        <rFont val="Arial Narrow"/>
        <family val="2"/>
      </rPr>
      <t xml:space="preserve"> mediante  el FT Evaluación de adherencia COD </t>
    </r>
    <r>
      <rPr>
        <b/>
        <sz val="18"/>
        <color theme="1"/>
        <rFont val="Arial Narrow"/>
        <family val="2"/>
      </rPr>
      <t>EM-CLDD-PR-01-FT-05</t>
    </r>
    <r>
      <rPr>
        <sz val="18"/>
        <color theme="1"/>
        <rFont val="Arial Narrow"/>
        <family val="2"/>
      </rPr>
      <t xml:space="preserve">, con el fin de mitigar las averías en productos.
</t>
    </r>
    <r>
      <rPr>
        <b/>
        <sz val="18"/>
        <color theme="1"/>
        <rFont val="Arial Narrow"/>
        <family val="2"/>
      </rPr>
      <t>Soporte:</t>
    </r>
    <r>
      <rPr>
        <sz val="18"/>
        <color theme="1"/>
        <rFont val="Arial Narrow"/>
        <family val="2"/>
      </rPr>
      <t xml:space="preserve"> FT Evaluación de adherencia.</t>
    </r>
  </si>
  <si>
    <r>
      <t>El personal designado de cada farmacia reportará mensualmente al responsable de cada farmacia y al jefe de Unidad, el listado de medicamentos y dispositivos con fechas de vencimiento menores a 6 meses, con el fin gestionar el riesgo de sobrantes y faltantes en los inventarios. Siguiendo el procedimientos</t>
    </r>
    <r>
      <rPr>
        <b/>
        <sz val="18"/>
        <color theme="1"/>
        <rFont val="Arial Narrow"/>
        <family val="2"/>
      </rPr>
      <t xml:space="preserve"> PROCEDIMIENTO:  MANEJO DE PRODUCTOS PRÓXIMOS A VENCER, AVERIADOS Y VENCIDOS CÓDIGO: AA-UNFA-PR-20.
Soporte:</t>
    </r>
    <r>
      <rPr>
        <sz val="18"/>
        <color theme="1"/>
        <rFont val="Arial Narrow"/>
        <family val="2"/>
      </rPr>
      <t xml:space="preserve"> Correos electrónicos con la relación de los medicamentos e insumos próximos a vencer.</t>
    </r>
  </si>
  <si>
    <r>
      <t xml:space="preserve">El personal designado de la farmacia de tecnologías en salud (FTS) gestionará cada vez que sea requerido con los proveedores, los cambios necesarios de los medicamentos y dispositivos próximos a vencer con el fin de garantizar la vigencia de todos los elementos al interior de la farmacia  y el correcto manejo de inventarios mitigando la presencia de sobrantes y/o faltantes.
</t>
    </r>
    <r>
      <rPr>
        <b/>
        <sz val="18"/>
        <color theme="1"/>
        <rFont val="Arial Narrow"/>
        <family val="2"/>
      </rPr>
      <t>Soporte:</t>
    </r>
    <r>
      <rPr>
        <sz val="18"/>
        <color theme="1"/>
        <rFont val="Arial Narrow"/>
        <family val="2"/>
      </rPr>
      <t xml:space="preserve"> Correos electrónicos con la solicitud a los proveedores de cambio de los medicamentos e insumos próximos a vencer.</t>
    </r>
  </si>
  <si>
    <r>
      <t xml:space="preserve">El responsable del servicio de urgencias, verifica permanentemente el cumplimiento de Clasificación y valoración en triage </t>
    </r>
    <r>
      <rPr>
        <b/>
        <sz val="18"/>
        <color theme="1"/>
        <rFont val="Arial Narrow"/>
        <family val="2"/>
      </rPr>
      <t>Cod.</t>
    </r>
    <r>
      <rPr>
        <sz val="18"/>
        <color theme="1"/>
        <rFont val="Arial Narrow"/>
        <family val="2"/>
      </rPr>
      <t xml:space="preserve"> </t>
    </r>
    <r>
      <rPr>
        <b/>
        <sz val="18"/>
        <color theme="1"/>
        <rFont val="Arial Narrow"/>
        <family val="2"/>
      </rPr>
      <t xml:space="preserve">AM-URGN-PR-14 </t>
    </r>
    <r>
      <rPr>
        <sz val="18"/>
        <color theme="1"/>
        <rFont val="Arial Narrow"/>
        <family val="2"/>
      </rPr>
      <t xml:space="preserve">versión 7, Tabla de clasificación de triage </t>
    </r>
    <r>
      <rPr>
        <b/>
        <sz val="18"/>
        <color theme="1"/>
        <rFont val="Arial Narrow"/>
        <family val="2"/>
      </rPr>
      <t>Cod.</t>
    </r>
    <r>
      <rPr>
        <sz val="18"/>
        <color theme="1"/>
        <rFont val="Arial Narrow"/>
        <family val="2"/>
      </rPr>
      <t xml:space="preserve"> </t>
    </r>
    <r>
      <rPr>
        <b/>
        <sz val="18"/>
        <color theme="1"/>
        <rFont val="Arial Narrow"/>
        <family val="2"/>
      </rPr>
      <t xml:space="preserve">AM-URGN-PR-14-FT-01, </t>
    </r>
    <r>
      <rPr>
        <sz val="18"/>
        <color theme="1"/>
        <rFont val="Arial Narrow"/>
        <family val="2"/>
      </rPr>
      <t>versión 5</t>
    </r>
    <r>
      <rPr>
        <b/>
        <sz val="18"/>
        <color theme="1"/>
        <rFont val="Arial Narrow"/>
        <family val="2"/>
      </rPr>
      <t xml:space="preserve"> </t>
    </r>
    <r>
      <rPr>
        <sz val="18"/>
        <color theme="1"/>
        <rFont val="Arial Narrow"/>
        <family val="2"/>
      </rPr>
      <t xml:space="preserve"> y Hoja de triage </t>
    </r>
    <r>
      <rPr>
        <b/>
        <sz val="18"/>
        <color theme="1"/>
        <rFont val="Arial Narrow"/>
        <family val="2"/>
      </rPr>
      <t xml:space="preserve">Cod. AM-URGE-PR-03-FT-06 </t>
    </r>
    <r>
      <rPr>
        <sz val="18"/>
        <color theme="1"/>
        <rFont val="Arial Narrow"/>
        <family val="2"/>
      </rPr>
      <t xml:space="preserve">versión 2, con el fin de garantizar la atención integral, oportuna, segura y humanizada en la atención del paciente que consulta el servicio de urgencias. </t>
    </r>
  </si>
  <si>
    <r>
      <t xml:space="preserve">El responsable del servicio de urgencias, coordina según cronograma la actualización, socialización, evaluación y medición de adherencia de los documentos asociados al servicio de urgencias (Clasificación y valoración en triage Cod. </t>
    </r>
    <r>
      <rPr>
        <b/>
        <sz val="18"/>
        <color theme="1"/>
        <rFont val="Arial Narrow"/>
        <family val="2"/>
      </rPr>
      <t>AM-URGN-PR-14 versión 7</t>
    </r>
    <r>
      <rPr>
        <sz val="18"/>
        <color theme="1"/>
        <rFont val="Arial Narrow"/>
        <family val="2"/>
      </rPr>
      <t xml:space="preserve">, Tabla de clasificación de triage Cod. </t>
    </r>
    <r>
      <rPr>
        <b/>
        <sz val="18"/>
        <color theme="1"/>
        <rFont val="Arial Narrow"/>
        <family val="2"/>
      </rPr>
      <t>AM-URGN-PR-14-FT-01, versión 5</t>
    </r>
    <r>
      <rPr>
        <sz val="18"/>
        <color theme="1"/>
        <rFont val="Arial Narrow"/>
        <family val="2"/>
      </rPr>
      <t xml:space="preserve"> y Hoja de triage Cod. </t>
    </r>
    <r>
      <rPr>
        <b/>
        <sz val="18"/>
        <color theme="1"/>
        <rFont val="Arial Narrow"/>
        <family val="2"/>
      </rPr>
      <t>AM-URGE-PR-03-FT-06 versión 2</t>
    </r>
    <r>
      <rPr>
        <sz val="18"/>
        <color theme="1"/>
        <rFont val="Arial Narrow"/>
        <family val="2"/>
      </rPr>
      <t>), con el fin de garantizar la atención integral, oportuna, segura y humanizada en la atención del paciente que consulta el servicio de urgencias.</t>
    </r>
  </si>
  <si>
    <r>
      <t>El responsable de cada área del servicio de urgencias (Enfermería) deberá identificar e informar al área de seguridad, los pacientes con alto riesgo de fuga (Pacientes con alteración de salud mental), de acuerdo al Protocolo :</t>
    </r>
    <r>
      <rPr>
        <b/>
        <sz val="18"/>
        <color theme="1"/>
        <rFont val="Arial Narrow"/>
        <family val="2"/>
      </rPr>
      <t xml:space="preserve"> GL-SEGU-PT-01</t>
    </r>
    <r>
      <rPr>
        <sz val="18"/>
        <color theme="1"/>
        <rFont val="Arial Narrow"/>
        <family val="2"/>
      </rPr>
      <t xml:space="preserve"> versión 1 - PROTOCOLO ACTUACIÓN FRENTE A LA FUGA DE USUARIOS.</t>
    </r>
  </si>
  <si>
    <r>
      <t xml:space="preserve">El responsable del servicio de consulta externa, realiza el proceso de inducción cada vez que se requiera al personal de agentes para la central de citas y Contact Center. Trimestralmente se realiza capacitación de adherencia de protocolos y procedimientos de asignación de citas, Asignación de citas médicas y procedimientos </t>
    </r>
    <r>
      <rPr>
        <b/>
        <sz val="18"/>
        <color theme="1"/>
        <rFont val="Arial Narrow"/>
        <family val="2"/>
      </rPr>
      <t>Cod. AM-COEX-PR-01-IN-02</t>
    </r>
    <r>
      <rPr>
        <sz val="18"/>
        <color theme="1"/>
        <rFont val="Arial Narrow"/>
        <family val="2"/>
      </rPr>
      <t xml:space="preserve"> versión 5, con el fin de fortalecer conocimientos y capacidades de los agentes encargados de la asignación de citas.
</t>
    </r>
    <r>
      <rPr>
        <b/>
        <sz val="18"/>
        <color theme="1"/>
        <rFont val="Arial Narrow"/>
        <family val="2"/>
      </rPr>
      <t>Soporte:</t>
    </r>
    <r>
      <rPr>
        <sz val="18"/>
        <color theme="1"/>
        <rFont val="Arial Narrow"/>
        <family val="2"/>
      </rPr>
      <t xml:space="preserve"> Actas de capacitación Trimestral.</t>
    </r>
  </si>
  <si>
    <r>
      <t xml:space="preserve">El responsable del servicio de consulta externa, deberá realizar semestralmente, educación continuada al personal del área asistencial (enfermería) y realizar retroalimentación a la Subdirección Médica, con el fin de minimizar los eventos adversos durante la prestación del servicio (consulta y/o procedimientos). 
Nota: Los casos positivos identificados, serán evaluados desde el área de gestión de calidad, con el fin de identificar las debilidades durante la prestación del servicio y realizar el plan de mejora. 
</t>
    </r>
    <r>
      <rPr>
        <b/>
        <sz val="18"/>
        <color theme="1"/>
        <rFont val="Arial Narrow"/>
        <family val="2"/>
      </rPr>
      <t xml:space="preserve">Soporte: </t>
    </r>
    <r>
      <rPr>
        <sz val="18"/>
        <color theme="1"/>
        <rFont val="Arial Narrow"/>
        <family val="2"/>
      </rPr>
      <t>Actas de</t>
    </r>
    <r>
      <rPr>
        <b/>
        <sz val="18"/>
        <color theme="1"/>
        <rFont val="Arial Narrow"/>
        <family val="2"/>
      </rPr>
      <t xml:space="preserve"> </t>
    </r>
    <r>
      <rPr>
        <sz val="18"/>
        <color theme="1"/>
        <rFont val="Arial Narrow"/>
        <family val="2"/>
      </rPr>
      <t xml:space="preserve">Capacitación, evaluación y medición de adherencia de los protocolos y procedimientos del servicio de Consulta Externa. </t>
    </r>
  </si>
  <si>
    <r>
      <t xml:space="preserve">El responsable del servicio de consulta externa, verificará mensualmente el cumplimiento del procedimiento de asignación de citas que se realice de acuerdo a lo establecido en el instructivo Cod. </t>
    </r>
    <r>
      <rPr>
        <b/>
        <sz val="18"/>
        <color theme="1"/>
        <rFont val="Arial Narrow"/>
        <family val="2"/>
      </rPr>
      <t xml:space="preserve">AM-COEX-PR-01-IN-02, </t>
    </r>
    <r>
      <rPr>
        <sz val="18"/>
        <color theme="1"/>
        <rFont val="Arial Narrow"/>
        <family val="2"/>
      </rPr>
      <t>versión 5</t>
    </r>
    <r>
      <rPr>
        <b/>
        <sz val="18"/>
        <color theme="1"/>
        <rFont val="Arial Narrow"/>
        <family val="2"/>
      </rPr>
      <t xml:space="preserve"> </t>
    </r>
    <r>
      <rPr>
        <sz val="18"/>
        <color theme="1"/>
        <rFont val="Arial Narrow"/>
        <family val="2"/>
      </rPr>
      <t xml:space="preserve">y trimestralmente capacita y retroalimenta al personal a cargo de la asignación de citas, dando cumplimiento al código de ética y buen gobierno de la entidad.
</t>
    </r>
    <r>
      <rPr>
        <b/>
        <sz val="18"/>
        <color theme="1"/>
        <rFont val="Arial Narrow"/>
        <family val="2"/>
      </rPr>
      <t>Soporte:</t>
    </r>
    <r>
      <rPr>
        <sz val="18"/>
        <color theme="1"/>
        <rFont val="Arial Narrow"/>
        <family val="2"/>
      </rPr>
      <t xml:space="preserve"> Actas de capacitación Trimestral.</t>
    </r>
  </si>
  <si>
    <r>
      <t xml:space="preserve">El responsable del servicio de radiología - imágenes diagnósticas, capacitará y evaluará cuatrimestralmente al personal de asignación de citas de acuerdo a lo establecido en el Procedimiento Atención integral de Pacientes en Imágenes Diagnósticas Código: </t>
    </r>
    <r>
      <rPr>
        <b/>
        <sz val="18"/>
        <color theme="1"/>
        <rFont val="Arial Narrow"/>
        <family val="2"/>
      </rPr>
      <t>AA-IMDG-PR-07</t>
    </r>
    <r>
      <rPr>
        <sz val="18"/>
        <color theme="1"/>
        <rFont val="Arial Narrow"/>
        <family val="2"/>
      </rPr>
      <t xml:space="preserve"> versión No. 7, dando cumplimiento al código de ética y buen gobierno de la entidad.
</t>
    </r>
    <r>
      <rPr>
        <b/>
        <sz val="18"/>
        <color theme="1"/>
        <rFont val="Arial Narrow"/>
        <family val="2"/>
      </rPr>
      <t>Soporte:</t>
    </r>
    <r>
      <rPr>
        <sz val="18"/>
        <color theme="1"/>
        <rFont val="Arial Narrow"/>
        <family val="2"/>
      </rPr>
      <t xml:space="preserve"> Actas de capacitación y evaluaciones de la misma. </t>
    </r>
  </si>
  <si>
    <r>
      <t xml:space="preserve">El profesional de enfermería encargado del área (sala de procedimientos menores y vacunación), mensualmente y/o cuando se hace uso de los medicamentos que conforman el carro de paro y nevera de biológicos, realizará el  nforme Verificación del carro de paro y nevera de biológicos en el formato Código: </t>
    </r>
    <r>
      <rPr>
        <b/>
        <sz val="18"/>
        <color theme="1"/>
        <rFont val="Arial Narrow"/>
        <family val="2"/>
      </rPr>
      <t>AH-SACI-GM-01-DI-01-FT-16</t>
    </r>
    <r>
      <rPr>
        <sz val="18"/>
        <color theme="1"/>
        <rFont val="Arial Narrow"/>
        <family val="2"/>
      </rPr>
      <t xml:space="preserve">, dando cumplimiento al documento Código </t>
    </r>
    <r>
      <rPr>
        <b/>
        <sz val="18"/>
        <color theme="1"/>
        <rFont val="Arial Narrow"/>
        <family val="2"/>
      </rPr>
      <t>AH-ESQX-GM-01-DI-01</t>
    </r>
    <r>
      <rPr>
        <sz val="18"/>
        <color theme="1"/>
        <rFont val="Arial Narrow"/>
        <family val="2"/>
      </rPr>
      <t xml:space="preserve">, y al Manual Técnico Administrativo del PAI, con el fin de mantener el control de medicamentos (Stock y fechas de vencimiento).
</t>
    </r>
    <r>
      <rPr>
        <b/>
        <sz val="18"/>
        <color theme="1"/>
        <rFont val="Arial Narrow"/>
        <family val="2"/>
      </rPr>
      <t>Soporte:</t>
    </r>
    <r>
      <rPr>
        <sz val="18"/>
        <color theme="1"/>
        <rFont val="Arial Narrow"/>
        <family val="2"/>
      </rPr>
      <t xml:space="preserve"> Inventario en el formato de Informe Verificación del carro de paro y nevera de biológicos. </t>
    </r>
  </si>
  <si>
    <r>
      <t xml:space="preserve">El responsable del servicio de enfermería junto al equipo de educación y supervisión de enfermería de los diferentes turnos (Mañana, tarde, noche 1 y noche 2), deben garantizar lo establecido en el cronograma de capacitación anual de enfermería, con fin de dar cumplimiento al programa de inducción, reinducción y capacitación </t>
    </r>
    <r>
      <rPr>
        <b/>
        <sz val="18"/>
        <color theme="1"/>
        <rFont val="Arial Narrow"/>
        <family val="2"/>
      </rPr>
      <t>Cod. AM-ENFE-PP-01</t>
    </r>
    <r>
      <rPr>
        <sz val="18"/>
        <color theme="1"/>
        <rFont val="Arial Narrow"/>
        <family val="2"/>
      </rPr>
      <t xml:space="preserve"> de 2018, cuyo objetivo es fortalecer las destrezas, habilidades, valores, competencias y el desarrollo integral del personal profesional y técnico del Servicio de Enfermería, para responder de manera oportuna, segura y con calidad a las necesidades presentadas en el servicio.</t>
    </r>
  </si>
  <si>
    <r>
      <t>El responsable del servicio de enfermería con su equipo de trabajo, verifica trimestralmente mediante la socialización y medición de adherencia al protocolo de administración segura de medicamentos  CÓDIGO:</t>
    </r>
    <r>
      <rPr>
        <b/>
        <sz val="18"/>
        <color theme="1"/>
        <rFont val="Arial Narrow"/>
        <family val="2"/>
      </rPr>
      <t xml:space="preserve"> PM-ENFE-PT-01, </t>
    </r>
    <r>
      <rPr>
        <sz val="18"/>
        <color theme="1"/>
        <rFont val="Arial Narrow"/>
        <family val="2"/>
      </rPr>
      <t>con el propósito de unificar los lineamientos generales para la administración de medicamentos en el paciente hospitalizado o atendido por urgencias como estrategia de seguridad del paciente durante el proceso de atención en salud con el fin de disminuir el potencial de riesgo de incidentes o eventos adversos relacionados con la administración de los mismos.</t>
    </r>
  </si>
  <si>
    <r>
      <t xml:space="preserve">El Director de la </t>
    </r>
    <r>
      <rPr>
        <b/>
        <sz val="18"/>
        <color theme="1"/>
        <rFont val="Arial Narrow"/>
        <family val="2"/>
      </rPr>
      <t>ESAE</t>
    </r>
    <r>
      <rPr>
        <sz val="18"/>
        <color theme="1"/>
        <rFont val="Arial Narrow"/>
        <family val="2"/>
      </rPr>
      <t xml:space="preserve"> realiza convocatorias de manera trimestral a través de la divulgación del calendario académico en página web y redes sociales del HOMIL, con el fin de promover la inscripción y admisión de aspirantes.</t>
    </r>
  </si>
  <si>
    <r>
      <t xml:space="preserve">El responsable del área de Administración de Personal de la Unidad de Talento Humano, verifican cada vez que se requiera la idoneidad del aspirante dando cumplimiento a lo establecido en el procedimiento integral del área de administración de personal para el ingreso - permanencia y retiro de servidores públicos, Cód. </t>
    </r>
    <r>
      <rPr>
        <b/>
        <sz val="18"/>
        <color theme="1"/>
        <rFont val="Arial Narrow"/>
        <family val="2"/>
      </rPr>
      <t>GH-ADPE-PR-01</t>
    </r>
    <r>
      <rPr>
        <sz val="18"/>
        <color theme="1"/>
        <rFont val="Arial Narrow"/>
        <family val="2"/>
      </rPr>
      <t>, con el fin de dar cumplimiento a la normatividad vigente.</t>
    </r>
  </si>
  <si>
    <r>
      <t xml:space="preserve">El responsable del área de Régimen Interno, verifica cada vez que se requiera la orden de traslado del personal Militar en comisión, con el fin de garantizar el cumplimiento de lo establecido en el procedimiento Cód </t>
    </r>
    <r>
      <rPr>
        <b/>
        <sz val="18"/>
        <color theme="1"/>
        <rFont val="Arial Narrow"/>
        <family val="2"/>
      </rPr>
      <t xml:space="preserve">GH-REIN-PR-01-FT-01 - </t>
    </r>
    <r>
      <rPr>
        <sz val="18"/>
        <color theme="1"/>
        <rFont val="Arial Narrow"/>
        <family val="2"/>
      </rPr>
      <t>LISTA  DE  VERIFICACION  CARPETA  DATOS PERSONALES.</t>
    </r>
  </si>
  <si>
    <r>
      <t xml:space="preserve">El responsable del área de régimen Interno, gestiona la custodia de las carpetas de datos personales de militares en comisión y actualiza la información cada vez que se requiera, garantizando el cumplimiento del procedimiento </t>
    </r>
    <r>
      <rPr>
        <b/>
        <sz val="18"/>
        <color theme="1"/>
        <rFont val="Arial Narrow"/>
        <family val="2"/>
      </rPr>
      <t>Cód: GH-REIN-PR-01.</t>
    </r>
  </si>
  <si>
    <r>
      <t xml:space="preserve">Los auxiliares del Área de Administración de Personal de la Unidad de Talento Humano, verifican cada vez que se requiera los criterios establecidos en el instructivo Movimiento interno del personal de la planta global en sus diferentes unidades, áreas y/o servicios, cód, </t>
    </r>
    <r>
      <rPr>
        <b/>
        <sz val="18"/>
        <color theme="1"/>
        <rFont val="Arial Narrow"/>
        <family val="2"/>
      </rPr>
      <t>GH-SUAD-CP-03</t>
    </r>
    <r>
      <rPr>
        <sz val="18"/>
        <color theme="1"/>
        <rFont val="Arial Narrow"/>
        <family val="2"/>
      </rPr>
      <t xml:space="preserve">, con el fin de llevar una adecuada administración del recurso humano y salvaguardar los derechos de los servidores públicos. </t>
    </r>
  </si>
  <si>
    <r>
      <t xml:space="preserve">El responsable del área de Asuntos Disciplinarios y Administrativos - ASDA suscribe mensualmente un acta de confidencialidad con cada uno de los funcionarios a su cargo, con el fin mantener la reserva sumarial de los procesos disciplinarios y administrativos. 
</t>
    </r>
    <r>
      <rPr>
        <b/>
        <sz val="18"/>
        <color theme="1"/>
        <rFont val="Arial Narrow"/>
        <family val="2"/>
      </rPr>
      <t>(Actas de confidencialidad)</t>
    </r>
  </si>
  <si>
    <r>
      <t xml:space="preserve">El responsable del área de Asuntos Disciplinarios y Administrativos - ASDA gestiona con cada uno de los funcionarios a su cargo, la suscripción mensual de un acta de compromisos, con el propósito de realizar el respectivo seguimiento a los procesos y actividades inherentes al cargo, lo anterior de conformidad con lo dispuesto en el numeral 23  del artículo 76 de la Ley 1862 de 2017.
</t>
    </r>
    <r>
      <rPr>
        <b/>
        <sz val="18"/>
        <color theme="1"/>
        <rFont val="Arial Narrow"/>
        <family val="2"/>
      </rPr>
      <t>(Acta de compromisos)</t>
    </r>
  </si>
  <si>
    <r>
      <t xml:space="preserve">El responsable del área de Asuntos Disciplinarios y Administrativos - ASDA recopila mensualmente la información de los procesos Disciplinarios y Administrativos donde se presenta el balance del estado actual de las investigaciones y  frente al programa de seguros de la entidad donde se indican los siniestros reconocidos por parte de la aseguradora.
</t>
    </r>
    <r>
      <rPr>
        <b/>
        <sz val="18"/>
        <color theme="1"/>
        <rFont val="Arial Narrow"/>
        <family val="2"/>
      </rPr>
      <t xml:space="preserve">(Presentación en power point)
(Soportes de trazablilidad por correo electrónico). </t>
    </r>
  </si>
  <si>
    <r>
      <t xml:space="preserve">El responsable del área de Asuntos Disciplinarios y Administrativos - ASDA remitirá trimestralmenteun oficio dando a conocer el estado de los términos procesales a la Dirección General del Hospital Militar Central o a la autoridad competente, a quien corresponda la instancia procesal, con la finalidad de evitar posibles vencimientos de términos. 
</t>
    </r>
    <r>
      <rPr>
        <b/>
        <sz val="18"/>
        <color theme="1"/>
        <rFont val="Arial Narrow"/>
        <family val="2"/>
      </rPr>
      <t>Nota:</t>
    </r>
    <r>
      <rPr>
        <sz val="18"/>
        <color theme="1"/>
        <rFont val="Arial Narrow"/>
        <family val="2"/>
      </rPr>
      <t xml:space="preserve"> En casos excepcionales como: grado de consulta, recursos, remisión por competencia o en los que disponga la Ley. </t>
    </r>
  </si>
  <si>
    <r>
      <t xml:space="preserve">1. El responsable del área de administración de personal validará cada vez que se requiera el formato único acta de entrega Cód. GH-ADPE-PR-01-FT-05, con el fin de garantizar la transferencia del conocimiento explícito de los servidores que son reubicados o trasladados de área o servicio.
</t>
    </r>
    <r>
      <rPr>
        <b/>
        <sz val="18"/>
        <color theme="1"/>
        <rFont val="Arial Narrow"/>
        <family val="2"/>
      </rPr>
      <t>Soporte:</t>
    </r>
    <r>
      <rPr>
        <sz val="18"/>
        <color theme="1"/>
        <rFont val="Arial Narrow"/>
        <family val="2"/>
      </rPr>
      <t xml:space="preserve"> Actas de entrega de los servidores que son reubicados o trasladados de área o servicio.</t>
    </r>
  </si>
  <si>
    <r>
      <t xml:space="preserve">El supervisor del contrato, coordina de manera semestral con el proveedor el oportuno mantenimiento preventivo y correctivo de las plantas eléctricas del edificio principal, con el fin de garantizar el suministro eléctrico a la entidad. 
</t>
    </r>
    <r>
      <rPr>
        <b/>
        <sz val="18"/>
        <color theme="1"/>
        <rFont val="Arial Narrow"/>
        <family val="2"/>
      </rPr>
      <t>(Reporte técnico por parte del proveedor)</t>
    </r>
  </si>
  <si>
    <r>
      <t xml:space="preserve">El supervisor del contrato, coordina según cronograma estipulado contractualmente con el proveedor, el oportuno mantenimiento preventivo y correctivo de las UPS y demás requerimientos solicitados por el HOMIL, con el fin de garantizar el continuo suministro eléctrico a las áreas críticas de la entidad. 
</t>
    </r>
    <r>
      <rPr>
        <b/>
        <sz val="18"/>
        <color theme="1"/>
        <rFont val="Arial Narrow"/>
        <family val="2"/>
      </rPr>
      <t>(Reporte técnico por parte del proveedor)</t>
    </r>
  </si>
  <si>
    <r>
      <t xml:space="preserve">El supervisor del contrato, gestiona según cronograma el mantenimiento preventivo de los equipos industriales (Neveras, Unidad Manejadora de Aire - UMAS, ventiladores, aire acondicionado y chiller), con el fin de garantizar el correcto funcionamiento de los mismos. 
</t>
    </r>
    <r>
      <rPr>
        <b/>
        <sz val="18"/>
        <color theme="1"/>
        <rFont val="Arial Narrow"/>
        <family val="2"/>
      </rPr>
      <t>(Reporte técnico de mantenimiento preventivo)</t>
    </r>
  </si>
  <si>
    <r>
      <t xml:space="preserve">El supervisor del contrato, gestiona cada vez que se requiera el mantenimiento correctivo de los equipos industriales (Neveras, Unidad Manejadora de Aire - UMAS, ventiladores, aire acondicionado y chiller), con el fin de garantizar el correcto funcionamiento de los mismos. 
</t>
    </r>
    <r>
      <rPr>
        <b/>
        <sz val="18"/>
        <color theme="1"/>
        <rFont val="Arial Narrow"/>
        <family val="2"/>
      </rPr>
      <t>(Reporte técnico de mantenimiento correctivo)</t>
    </r>
  </si>
  <si>
    <r>
      <t xml:space="preserve">El responsable del área de Bioestadística, revisa cada vez que se requiera el cumplimiento de los requisitos establecidos en el procedimiento de Respuesta a solicitudes de fotocopias de historias clínicas y constancias, cod, </t>
    </r>
    <r>
      <rPr>
        <b/>
        <sz val="18"/>
        <color theme="1"/>
        <rFont val="Arial Narrow"/>
        <family val="2"/>
      </rPr>
      <t>GD-BAHC-PR-04</t>
    </r>
    <r>
      <rPr>
        <sz val="18"/>
        <color theme="1"/>
        <rFont val="Arial Narrow"/>
        <family val="2"/>
      </rPr>
      <t xml:space="preserve"> para la entrega de la copia de historia clínica, con el fin garantizar la autenticidad de la persona natural o jurídica que la solicita y de dar cumplimiento a lo solicitado. </t>
    </r>
  </si>
  <si>
    <r>
      <t xml:space="preserve">El profesional o técnico contable del área de almacenes bienes activos - ALBA, realiza de acuerdo a requerimiento el registro de  bienes adquiridos por la entidad, diligenciando formato </t>
    </r>
    <r>
      <rPr>
        <b/>
        <sz val="18"/>
        <color theme="1"/>
        <rFont val="Arial Narrow"/>
        <family val="2"/>
      </rPr>
      <t>INGRESO DE EQUIPOS POR ADQUISICION CÓDIGO: GA-ALBA-PR-07-FT-01</t>
    </r>
    <r>
      <rPr>
        <sz val="18"/>
        <color theme="1"/>
        <rFont val="Arial Narrow"/>
        <family val="2"/>
      </rPr>
      <t>, la información en  Dinámica Gerencial. Net, con el fin de garantizar su plaquetización y control.</t>
    </r>
  </si>
  <si>
    <r>
      <t xml:space="preserve">Los supervisores de contratos entregan al área de almacenes bienes activos - ALBA la totalidad de soportes y cuadro de distribución al momento del ingreso de acuerdo a formato </t>
    </r>
    <r>
      <rPr>
        <b/>
        <sz val="18"/>
        <color theme="1"/>
        <rFont val="Arial Narrow"/>
        <family val="2"/>
      </rPr>
      <t>INGRESO DE EQUIPOS POR ADQUISICION CÓDIGO: GA-ALBA-PR-07-FT-01</t>
    </r>
    <r>
      <rPr>
        <sz val="18"/>
        <color theme="1"/>
        <rFont val="Arial Narrow"/>
        <family val="2"/>
      </rPr>
      <t>, con el fin de generar de manera inmediata los traslados a los responsables de los inventarios.</t>
    </r>
  </si>
  <si>
    <r>
      <t xml:space="preserve">El responsable de activos fijos proyecta y asigna de manera semestral los inventarios a los auxiliares del área de almacenes bienes activos - ALBA, quienes acompañan la verificación de activos de acuerdo a formato </t>
    </r>
    <r>
      <rPr>
        <b/>
        <sz val="18"/>
        <color theme="1"/>
        <rFont val="Arial Narrow"/>
        <family val="2"/>
      </rPr>
      <t>VERIFICACIÓN DE ACTIVOS CÓDIGO: GA-ALBA-PR-09-FT-03</t>
    </r>
    <r>
      <rPr>
        <sz val="18"/>
        <color theme="1"/>
        <rFont val="Arial Narrow"/>
        <family val="2"/>
      </rPr>
      <t xml:space="preserve"> presentado por el responsable del mismo y/o delegado, elabora acta de formalización y recoge la totalidad de firmas establecidas en el formato autorizado para tal fin.</t>
    </r>
  </si>
  <si>
    <r>
      <t xml:space="preserve">El Subdirector Administrativo lidera y controla el arqueo de caja cada quince días (15) con el propósito de dar cumplimiento al procedimiento GF-PRES-PR-02 y así evitar sanciones disciplinarias, administrativas, penales, incumplimiento normativo y detrimento patrimonial.
</t>
    </r>
    <r>
      <rPr>
        <b/>
        <sz val="18"/>
        <color theme="1"/>
        <rFont val="Arial Narrow"/>
        <family val="2"/>
      </rPr>
      <t>Acta de reunión / Formato de Conciliación.</t>
    </r>
  </si>
  <si>
    <r>
      <t xml:space="preserve">El Subdirector Administrativo revisa , verifica y firma cada vez que se requiera la documentanción en cumplimiento de los requisitos establecidos en la resolución de creación de la caja menor No. 1 Subdirección Administrativa (Justificación de la urgencia, visto bueno de la subdirección respectiva y documentos soporte), esto con el fin de  gestionar los recursos que por su premura justificada no den lugar al trámite y celebración de contratos.
</t>
    </r>
    <r>
      <rPr>
        <b/>
        <sz val="18"/>
        <color theme="1"/>
        <rFont val="Arial Narrow"/>
        <family val="2"/>
      </rPr>
      <t>Oficio de solicitud.</t>
    </r>
  </si>
  <si>
    <r>
      <t xml:space="preserve">El Subdirector Administrativo identifica la relación de conciliaciones bancarias cada vez que lo requiera, con el propósito de realizar oportunamente el giro de los recursos al proveedor.
</t>
    </r>
    <r>
      <rPr>
        <b/>
        <sz val="18"/>
        <color theme="1"/>
        <rFont val="Arial Narrow"/>
        <family val="2"/>
      </rPr>
      <t>(Saldos y movimientos bancarios)</t>
    </r>
  </si>
  <si>
    <r>
      <t xml:space="preserve">El Jefe de la Unidad de Compras, Licitaciones y Bienes Activos  lidera y controla arqueo de caja cada quince días (15) con el propósito de dar cumplimiento al procedimiento GF-PRES-PR-02 y así evitar sanciones disciplinarias, administrativas, penales, incumplimiento normativo y detrimento patrimonial.
</t>
    </r>
    <r>
      <rPr>
        <b/>
        <sz val="18"/>
        <color theme="1"/>
        <rFont val="Arial Narrow"/>
        <family val="2"/>
      </rPr>
      <t>Acta de reunión / Formato de Conciliación.</t>
    </r>
  </si>
  <si>
    <r>
      <t xml:space="preserve">El Jefe de la Unidad de Compras, Licitaciones y Bienes Activos  revisa , verifica y firma cada vez que se requiera la documentanción en cumplimiento de los requisitos establecidos en la resolución de creación de la caja menor No. 2 Insumos Hospitalarios (Justificación de la urgencia, visto bueno de la subdirección respectiva y documentos soporte), esto con el fin de  gestionar los recursos que por su premura justificada no den lugar al trámite y celebración de contratos.
</t>
    </r>
    <r>
      <rPr>
        <b/>
        <sz val="18"/>
        <color theme="1"/>
        <rFont val="Arial Narrow"/>
        <family val="2"/>
      </rPr>
      <t>Oficio de solicitud.</t>
    </r>
  </si>
  <si>
    <r>
      <t xml:space="preserve">El Jefe de la Unidad de Compras, Licitaciones y Bienes Activos  identifica la relación de conciliaciones bancarias cada vez que lo requiera, con el propósito de realizar oportunamente el giro de los recursos al proveedor.
</t>
    </r>
    <r>
      <rPr>
        <b/>
        <sz val="18"/>
        <color theme="1"/>
        <rFont val="Arial Narrow"/>
        <family val="2"/>
      </rPr>
      <t>(Saldos y movimientos bancarios)</t>
    </r>
  </si>
  <si>
    <r>
      <t xml:space="preserve">El profesional o técnico responsable del área de presupuesto, valida anualmente el cargue inicial del presupuesto en los sistemas de información </t>
    </r>
    <r>
      <rPr>
        <i/>
        <sz val="18"/>
        <color theme="1"/>
        <rFont val="Arial Narrow"/>
        <family val="2"/>
      </rPr>
      <t>(Dinámica Gerencial Hospitalaria y SIIF Nación)</t>
    </r>
    <r>
      <rPr>
        <sz val="18"/>
        <color theme="1"/>
        <rFont val="Arial Narrow"/>
        <family val="2"/>
      </rPr>
      <t xml:space="preserve">, de acuerdo con la resolución interna de presupuesto, con el fin de identificar las apropiaciones establecidas en el decreto y ley de presupuesto y su distribución interna de acuerdo al plan de compras. 
</t>
    </r>
    <r>
      <rPr>
        <b/>
        <sz val="18"/>
        <color theme="1"/>
        <rFont val="Arial Narrow"/>
        <family val="2"/>
      </rPr>
      <t>(Acta de validación cargue inicial del presupuesto)</t>
    </r>
  </si>
  <si>
    <r>
      <t xml:space="preserve">El profesional o técnico responsable del área de presupuesto, expide anualmente los CDP (Certificado de Disponibilidad Presupuestal) y registros de los contratos suscritos con vigencias futuras, con el fin de dar respaldo presupuestal.
</t>
    </r>
    <r>
      <rPr>
        <b/>
        <sz val="18"/>
        <color theme="1"/>
        <rFont val="Arial Narrow"/>
        <family val="2"/>
      </rPr>
      <t>(Listado de registros vigencias futuras - socializado por correo electrónico)</t>
    </r>
  </si>
  <si>
    <r>
      <t>El responsable de la Unidad de Cuentas Hospitalarias y Facturación,</t>
    </r>
    <r>
      <rPr>
        <sz val="18"/>
        <color rgb="FFFF0000"/>
        <rFont val="Arial Narrow"/>
        <family val="2"/>
      </rPr>
      <t xml:space="preserve"> </t>
    </r>
    <r>
      <rPr>
        <sz val="18"/>
        <rFont val="Arial Narrow"/>
        <family val="2"/>
      </rPr>
      <t xml:space="preserve">a través de su grupo auditor diariamente validan la prestación del servicio frente al valor facturado, con el fin de efectuar el cobro justo y de acuerdo a lo pactado con los diferentes clientes o usuarios de los servicios de salud de la entidad. </t>
    </r>
  </si>
  <si>
    <r>
      <t xml:space="preserve">El auxiliar administrativo del área de Gestión Documental, Historias Clínicas e Imprenta, atiende cada vez que se requiera la consulta de solicitud de expediente o documento, conforme al procedimiento establecido </t>
    </r>
    <r>
      <rPr>
        <b/>
        <sz val="18"/>
        <color theme="1"/>
        <rFont val="Arial Narrow"/>
        <family val="2"/>
      </rPr>
      <t>CÓDIGO: GD-RECO-PR-05</t>
    </r>
    <r>
      <rPr>
        <sz val="18"/>
        <color theme="1"/>
        <rFont val="Arial Narrow"/>
        <family val="2"/>
      </rPr>
      <t xml:space="preserve"> con el fin de llevar un control de préstamos documentales del archivo central.</t>
    </r>
  </si>
  <si>
    <r>
      <t xml:space="preserve">El jefe / responsable / designado del área de Gestión Documental, Historias Clínicas e Imprenta., implementa </t>
    </r>
    <r>
      <rPr>
        <b/>
        <sz val="18"/>
        <rFont val="Arial Narrow"/>
        <family val="2"/>
      </rPr>
      <t>SEMESTRALMENTE</t>
    </r>
    <r>
      <rPr>
        <sz val="18"/>
        <color theme="1"/>
        <rFont val="Arial Narrow"/>
        <family val="2"/>
      </rPr>
      <t xml:space="preserve"> el programa de capacitación y sensibilización, entorno a los procesos de la gestión (planeación, producción, gestión y trámite, organización, transferencia, disposición, preservación y valoración), con el fin de dar cumplimiento al articulo 6 - programas de conservación preventiva, numeral 1 del acuerdo AGN 06 de 2014 y artículo 18 - "capacitación" de la Ley 594 de 2000.</t>
    </r>
  </si>
  <si>
    <r>
      <t>El jefe / responsable / designado del área de Registro de Correspondencia y Archivo, velará por el cumplimiento de los lineamientos y políticas definidas dentro del procedimiento de préstamo y consulta Código</t>
    </r>
    <r>
      <rPr>
        <b/>
        <sz val="18"/>
        <color theme="1"/>
        <rFont val="Arial Narrow"/>
        <family val="2"/>
      </rPr>
      <t xml:space="preserve">: </t>
    </r>
    <r>
      <rPr>
        <b/>
        <sz val="18"/>
        <rFont val="Arial Narrow"/>
        <family val="2"/>
      </rPr>
      <t>GL-RECO-PR-03</t>
    </r>
    <r>
      <rPr>
        <b/>
        <sz val="18"/>
        <color theme="1"/>
        <rFont val="Arial Narrow"/>
        <family val="2"/>
      </rPr>
      <t xml:space="preserve">, </t>
    </r>
    <r>
      <rPr>
        <sz val="18"/>
        <color theme="1"/>
        <rFont val="Arial Narrow"/>
        <family val="2"/>
      </rPr>
      <t>por medio del registro y control de los préstamos y consultas recibidas y atendidas en sus dos modalidades descritas dentro del procedimiento.</t>
    </r>
  </si>
  <si>
    <r>
      <t xml:space="preserve">El Auxiliar de Apoyo de Seguridad y Defensa, es el responsable de realizar la recepción, gestión y trámite de las comunicaciones oficiales recibidas y enviadas en tiempo real y en presencia del usuario interno y externo, en los horarios establecidos por la entidad, de conformidad con lo establecido en el procedimiento Código: </t>
    </r>
    <r>
      <rPr>
        <b/>
        <sz val="18"/>
        <rFont val="Arial Narrow"/>
        <family val="2"/>
      </rPr>
      <t>GD-RECO-PR-01</t>
    </r>
    <r>
      <rPr>
        <sz val="18"/>
        <color theme="1"/>
        <rFont val="Arial Narrow"/>
        <family val="2"/>
      </rPr>
      <t xml:space="preserve"> y Código: </t>
    </r>
    <r>
      <rPr>
        <b/>
        <sz val="18"/>
        <rFont val="Arial Narrow"/>
        <family val="2"/>
      </rPr>
      <t>GD-RECO-PR-02.</t>
    </r>
  </si>
  <si>
    <r>
      <t xml:space="preserve">El auxiliar de apoyo de Seguridad y Defensa del área de bioestadística es el responsable de realizar inspecciones y monitoreo semanales a cada uno de los depósitos donde se encuentran las historias clínicas archivadas, con el propósito de verificar que no existan condiciones desfavorables que puedan afectar los documentos y en caso de identificar alguna novedad, se notificará al área de mantenimiento con el fin de adelantar las acciones pertinentes. 
</t>
    </r>
    <r>
      <rPr>
        <b/>
        <sz val="18"/>
        <color theme="1"/>
        <rFont val="Arial Narrow"/>
        <family val="2"/>
      </rPr>
      <t>(Bitácora)</t>
    </r>
  </si>
  <si>
    <r>
      <t xml:space="preserve">El Jefe de la Oficina de Control Interno-OCIN, junto con los Profesionales de la OCIN, al inicio de cada vigencia o cuando sea requerido,  aplican la  herramienta de priorización de auditorías para la elaboración del Plan Anual de Auditorías de la vigencia en curso, la cual es aprobada por el Comité Institucional de Coordinación de Control Interno, con el fin de establecer y aprobar los criterios objetivos de selección de procesos objeto de auditoría. 
</t>
    </r>
    <r>
      <rPr>
        <b/>
        <sz val="18"/>
        <color theme="1"/>
        <rFont val="Arial Narrow"/>
        <family val="2"/>
      </rPr>
      <t>(Herramienta de priorización y acta de CICCI).</t>
    </r>
  </si>
  <si>
    <r>
      <t xml:space="preserve">El Jefe de la Oficina de Control Interno - OCIN, mediante comunicación interna (correo electrónico institucional u oficio) indica cada vez que se requiera,  recomendaciones sobre respuesta a requerimientos de Entes de Control a la Oficina designada por la Dirección, para recibir, distribuir  a  las dependencias según su competencia y consolidar respuesta. 
</t>
    </r>
    <r>
      <rPr>
        <b/>
        <sz val="18"/>
        <color theme="1"/>
        <rFont val="Arial Narrow"/>
        <family val="2"/>
      </rPr>
      <t>(Respuesta consolidada a entes de control).</t>
    </r>
  </si>
  <si>
    <r>
      <t xml:space="preserve">El Jefe de la Oficina de Control Interno, junto con el profesional de la Oficina de Control Interno, verifica cada vez que se requiera, la oportunidad, integridad y pertinencia de las respuesta consolidadas para atender los requerimientos de Entes de Control.
</t>
    </r>
    <r>
      <rPr>
        <b/>
        <sz val="18"/>
        <color theme="1"/>
        <rFont val="Arial Narrow"/>
        <family val="2"/>
      </rPr>
      <t>(Respuesta consolidada a entes de control).</t>
    </r>
  </si>
  <si>
    <r>
      <t xml:space="preserve">Los Profesionales de la Oficina de Control Interno, cada vez que se realice una auditoría, seguimiento, selectiva o informe de ley, presenta los soportes  que sustenten y respalden los hallazgos, observaciones y oportunidades de mejora identificados, conforme a lo establecido en los procedimientos Cod. </t>
    </r>
    <r>
      <rPr>
        <b/>
        <sz val="18"/>
        <color theme="1"/>
        <rFont val="Arial Narrow"/>
        <family val="2"/>
      </rPr>
      <t>EM-OCIN-PR-01</t>
    </r>
    <r>
      <rPr>
        <sz val="18"/>
        <color theme="1"/>
        <rFont val="Arial Narrow"/>
        <family val="2"/>
      </rPr>
      <t xml:space="preserve"> (Auditoria Interna) y Cod. </t>
    </r>
    <r>
      <rPr>
        <b/>
        <sz val="18"/>
        <color theme="1"/>
        <rFont val="Arial Narrow"/>
        <family val="2"/>
      </rPr>
      <t xml:space="preserve">EM-OCIN-PR-05. </t>
    </r>
    <r>
      <rPr>
        <sz val="18"/>
        <color theme="1"/>
        <rFont val="Arial Narrow"/>
        <family val="2"/>
      </rPr>
      <t xml:space="preserve">(Elaboración de Informes de Ley, seguimientos y/o selectivas) en las auditorias, seguimientos, selectivas e informes realizados por la OCIN.
</t>
    </r>
    <r>
      <rPr>
        <b/>
        <sz val="18"/>
        <color theme="1"/>
        <rFont val="Arial Narrow"/>
        <family val="2"/>
      </rPr>
      <t>(Informes de seguimiento, selectiva o informe de ley).</t>
    </r>
  </si>
  <si>
    <r>
      <t xml:space="preserve">
Los Profesionales de la Oficina de Control Interno, cada vez que se realice un informe de auditoría, diligencian el formato de Declaración de Independencia código </t>
    </r>
    <r>
      <rPr>
        <b/>
        <sz val="18"/>
        <color theme="1"/>
        <rFont val="Arial Narrow"/>
        <family val="2"/>
      </rPr>
      <t>EM-OCIN-PR-01-FT-04</t>
    </r>
    <r>
      <rPr>
        <sz val="18"/>
        <color theme="1"/>
        <rFont val="Arial Narrow"/>
        <family val="2"/>
      </rPr>
      <t xml:space="preserve">, con el propósito de realizar adherencia al Código de Ética para los Auditores Internos del Hospital Militar Central Cód.: </t>
    </r>
    <r>
      <rPr>
        <b/>
        <sz val="18"/>
        <color theme="1"/>
        <rFont val="Arial Narrow"/>
        <family val="2"/>
      </rPr>
      <t>EM-OCIN-PR-01-DI-01
(Registro de la Declaración de independencia).</t>
    </r>
  </si>
  <si>
    <r>
      <t xml:space="preserve">El Jefe de la Oficina de Control Interno, cada vez que se genera un informe o se realiza una auditoria, seguimiento o selectiva  de acuerdo con lo establecido en el Plan Anual de Auditoria de la vigencia, aprobado por el Comité  Institucional de Coordinación de Control Interno,  revisa, verifica y aprueba la información generada por el equipo auditor, los cuales deberán estar acompañados de papeles de trabajo, actas de reunión, informe preliminar e informe final.
</t>
    </r>
    <r>
      <rPr>
        <b/>
        <sz val="18"/>
        <color theme="1"/>
        <rFont val="Arial Narrow"/>
        <family val="2"/>
      </rPr>
      <t>(Informes de seguimiento y/o auditoria interna)</t>
    </r>
  </si>
  <si>
    <r>
      <t xml:space="preserve">El responsable del área de Atención al Usuario, realiza apertura cada vez que se requiera en el formato ficha de seguimiento PQRSDF Cod. </t>
    </r>
    <r>
      <rPr>
        <b/>
        <sz val="18"/>
        <color theme="1"/>
        <rFont val="Arial Narrow"/>
        <family val="2"/>
      </rPr>
      <t>CA-AUIS-PR-03-FT-02</t>
    </r>
    <r>
      <rPr>
        <sz val="18"/>
        <color theme="1"/>
        <rFont val="Arial Narrow"/>
        <family val="2"/>
      </rPr>
      <t xml:space="preserve">, y a su vez se envían los requerimientos por Control Doc a los jefes de servicio; esta ficha contiene toda la trazabilidad del trámite que se le da a cada PQRSDF de acuerdo a la solicitud del peticionario, ya sea de tipo General (Eventos adversos, inconformidad con los servicios, felicitaciones o sugerencias) o trámites de salud (Asignación de citas, procedimientos y entrega de resultados).
De forma semanal esta ficha es revisada con el objetivo de generar segundos y terceros requerimientos a los servicios  para obtener respuesta y así evitar el vencimiento de los tiempos de ley.
En cuanto a las PQRSDF relacionadas con Trámites de salud, en la ficha de seguimiento Cod. </t>
    </r>
    <r>
      <rPr>
        <b/>
        <sz val="18"/>
        <color theme="1"/>
        <rFont val="Arial Narrow"/>
        <family val="2"/>
      </rPr>
      <t>CA-AUIS-PR-03-FT-02</t>
    </r>
    <r>
      <rPr>
        <sz val="18"/>
        <color theme="1"/>
        <rFont val="Arial Narrow"/>
        <family val="2"/>
      </rPr>
      <t xml:space="preserve">, se registra cada vez que se requiera la “avanzada” en donde desde la Oficina de Atención al Usuario y Relacionamiento Ciudadano, se notifica vía correo electrónico al peticionario, fecha, hora y lugar de la atención, así como el soporte de su cita o procedimiento (Boucher), una vez ha sido asignada por el Consulta Externa o Imágenes diagnósticas. 
</t>
    </r>
    <r>
      <rPr>
        <b/>
        <sz val="18"/>
        <color theme="1"/>
        <rFont val="Arial Narrow"/>
        <family val="2"/>
      </rPr>
      <t>Nota:</t>
    </r>
    <r>
      <rPr>
        <sz val="18"/>
        <color theme="1"/>
        <rFont val="Arial Narrow"/>
        <family val="2"/>
      </rPr>
      <t xml:space="preserve"> Cabe resaltar que estos servicios también notifican a los peticionarios vía correo electrónico y mensaje de texto al momento de realizar la asignación.
Una vez se realiza la “avanzada” la PQRSDF continua su trámite en la oficina para proyección de respuesta formal emitida por Control Doc y demás trámites pertinentes. </t>
    </r>
    <r>
      <rPr>
        <b/>
        <sz val="18"/>
        <color theme="1"/>
        <rFont val="Arial Narrow"/>
        <family val="2"/>
      </rPr>
      <t>(Ficha de seguimiento)</t>
    </r>
  </si>
  <si>
    <t>Atenciones inseguras que generan percepción desfavorable de la entidad a los usuarios y los entes reguladores.</t>
  </si>
  <si>
    <t>Pérdida de credibilidad e impacto negativo en la imagen de la entidad.</t>
  </si>
  <si>
    <t>Incumplimiento de los  tiempos de respuesta establecidos en la ley a las PQRS y posibles tutelas.</t>
  </si>
  <si>
    <t xml:space="preserve">El profesional designado del Área de Gestión Contratos - GECO, realiza la publicación de los procesos cada vez que se requiera, a través de la plataforma SECOP II permitiendo  exista la pluralidad de oferentes y así  cumplimiento a los principios de transparencia, publicidad. </t>
  </si>
  <si>
    <t xml:space="preserve">El profesional designado del Área de Gestión Contratos - GECO, cada vez que se realiza un proceso de contratación, y con el fin de seleccionar objetivamente un proveedor, efectúa  la verificación y evaluación de los requisitos, habilitantes, técnicos, económicos y jurídicos de cada una de las ofertas presentadas.- </t>
  </si>
  <si>
    <t>El profesional designado del Área de Gestión Contratos - GECO, cada vez que se adelante el proceso publica el informe de evaluación del proceso, con el fin que se surta la etapa de observaciones, realiza  la selección del proponente  favorecido y  posterior la legalización y perfeccionamiento del contrato</t>
  </si>
  <si>
    <t>El profesional designado como supervisor del contrato, quien tiene la competencia e idoneidad, realiza el seguimiento mensual de la ejecución del contrato, con el fin de garantizar el cumplimiento del mismo, las obligaciones contractuales y especificaciones técnicas, económicas y jurídicas .</t>
  </si>
  <si>
    <t xml:space="preserve">El profesional o técnico contable del área de almacenes bienes activos – ALBA, recibe cada vez que sea requerido por parte de la oficina jurídica, el acto administrativo con el cual se toma  acción según corresponda, de igual manera el profesional recibe según sea el caso, un concepto técnico del bien dañado con el fin se determinen si el bien tiene o no arreglo. Según lo estipula el procedimiento  GA-ALBA-PR-08 Versión 4.  
</t>
  </si>
  <si>
    <t xml:space="preserve">El  Ordenador del gasto,  mediante comunicación, designa los diferentes comités estructuradores y evaluadores,  en cada uno de los procesos  adelantados en la entidad, para que realice la verificación cada vez que se requiera, de los requisitos habilitantes jurídicos, técnicos, económicos y financieros establecidos en el pliego complementario de condiciones o invitación pública y la evaluación de los factores de ponderación previos en cada proceso, para la escogencia de la oferta más favorable a la necesidades del Hospital Militar Central, de manera objetiva. </t>
  </si>
  <si>
    <t xml:space="preserve">El Profesional del Área de Gestión Contratos, en su calidad de secretario del comité de adquisiciones,  realiza la citación a las sesiones ordinarias y extraordinarias del Comité de adquisiciones cada vez que se requiera, órgano encargado de recomendar  al Ordenador del Gasto sobre los procesos que superan las mínimas cuantías para las respectivas publicaciones, de los prepliegos, pliegos definitivos, adiciones y adjudicaciones de los mismos 
</t>
  </si>
  <si>
    <t>El Profesional  encargado,  realiza cada vez que se requiera  comunicación  de designación  de la supervisión, garantizando que el funcionario designado, cumpla con las obligaciones de la supervisión, plasmada en cada contrato.</t>
  </si>
  <si>
    <t>El  Profesional encargado, comunica cada vez que se requiera a los supervisores de contratos el procedimiento o manual para el ejercicio de la labor de la supervisión, en el cual se indiquen las competencias y responsabilidades frente al proceso.</t>
  </si>
  <si>
    <t xml:space="preserve">El Profesional encargado, realiza de manera trimestral un ejercicio aleatorio para verificar que los supervisores  den cumplimiento con establecido en el procedimiento o manual para el ejercicio de labor de supervisión. </t>
  </si>
  <si>
    <t>Los auxiliares del Área de Selección y Contratación de la Unidad de Compras, Licitaciones y Bienes Activos, verifican cada vez que se requiera la idoneidad del aspirante dando cumplimiento a lo establecido en el  proceso de contratación directa - prestación de servicios profesionales y de apoyo a la gestión, Cód. GA-GECO-MN-01-FT-15, con el fin de dar cumplimiento al procedimiento selección de contratistas por prestación de servicios profesionales y de apoyo a la gestión, contratación por prestación de servicios con personas naturales.</t>
  </si>
  <si>
    <t>Los auxiliares del Área de Selección y Contratación de la Unidad de Compras, Licitaciones y Bienes Activos, verifican cada vez que se requiera todos los requisitos del aspirante –, dando cumplimiento a lo establecido en el formato LISTA DE CHEQUEO CONTRATO DE PRESTACIÓN DE SERVICIOS – PERSONAL NUEVO-CARPETA,  con el fin de garantizar el cumplimiento de documentos precontractuales y demás normatividad vigente.</t>
  </si>
  <si>
    <t>Enero 2025</t>
  </si>
  <si>
    <t>Recibir o solicitar cualquier dádiva o beneficio a nombre propio o de
terceros.</t>
  </si>
  <si>
    <t xml:space="preserve">Inadecuada manipulación de los procesos Disciplinarios Militares y procesos administrativos en beneficio del investigado. </t>
  </si>
  <si>
    <t>Posibilidad de afectación económica y reputacional por fallos judiciales en contra del HOMIL, debido a contestación extemporánea en las demandas interpuestas en contra de la entidad.</t>
  </si>
  <si>
    <r>
      <t xml:space="preserve">2. El responsable del área de administración de personal validará cada vez que se requiera, el formato único acta de entrega Cód. GH-ADPE-PR-01-FT-05, con el fin de garantizar la transferencia de conocimiento explícito de los servidores que se retiran de la Entidad.
</t>
    </r>
    <r>
      <rPr>
        <b/>
        <sz val="18"/>
        <color theme="1"/>
        <rFont val="Arial Narrow"/>
        <family val="2"/>
      </rPr>
      <t>Soporte:</t>
    </r>
    <r>
      <rPr>
        <sz val="18"/>
        <color theme="1"/>
        <rFont val="Arial Narrow"/>
        <family val="2"/>
      </rPr>
      <t xml:space="preserve"> Acta de entrega de los servidores que se retiran de la Entidad.</t>
    </r>
  </si>
  <si>
    <t>Enero de 2025</t>
  </si>
  <si>
    <t>Febrero de 2025</t>
  </si>
  <si>
    <t>Incumplimiento al procedimientos de devolución de medicamentos y dispositivos médicos.</t>
  </si>
  <si>
    <t>Inadecuada administración de recursos asignados a la caja menor No. 2 Insumos Hospitalarios, (Jefe de la Unidad De compras, licitacione sy Bienes Activos) destinados a atender los gastos hospitalarios y el suministro oportuno de
medicamentos, elementos de laboratorio, quirúrgicos, de curación como también
la adquisición de servicio de salud que se requiera en forma inmediata para los
usuarios del Hospital Militar Central.</t>
  </si>
  <si>
    <t>Inoportunidad o no registro de las atenciones en salud prestadas a los pacientes.</t>
  </si>
  <si>
    <t>Multas y sanciones por el ente regulador.</t>
  </si>
  <si>
    <t>Traumatismos en la atención de los pacientes por ausencia de los formatos institucionales.</t>
  </si>
  <si>
    <t>Pérdida de credibilidad y confianza en la  Oficina de Control Interno.</t>
  </si>
  <si>
    <r>
      <t xml:space="preserve">Posibilidad de afectación económica y reputacional por pérdida de la competencia por parte de la administración, para ejercer la acción disciplinaria y administrativa, por el paso del tiempo, debido a la falta de diligencia para gestionar los procesos en los términos otorgados por la ley.
</t>
    </r>
    <r>
      <rPr>
        <b/>
        <sz val="20"/>
        <rFont val="Arial Narrow"/>
        <family val="2"/>
      </rPr>
      <t xml:space="preserve">Ley 1476 de 2011: </t>
    </r>
    <r>
      <rPr>
        <sz val="20"/>
        <rFont val="Arial Narrow"/>
        <family val="2"/>
      </rPr>
      <t xml:space="preserve">Por la cual se expide el régimen de responsabilidad administrativa por pérdida o daño de bienes de propiedad o al servicio del Ministerio de Defensa Nacional, sus entidades adscritas o vinculadas o la Fuerza Pública.
</t>
    </r>
    <r>
      <rPr>
        <b/>
        <sz val="20"/>
        <rFont val="Arial Narrow"/>
        <family val="2"/>
      </rPr>
      <t>Ley 1862 de 2017:</t>
    </r>
    <r>
      <rPr>
        <sz val="20"/>
        <rFont val="Arial Narrow"/>
        <family val="2"/>
      </rPr>
      <t xml:space="preserve"> Por la cual se establecen las normas de conducta del militar colombiano y se expide el Código Disciplinario Militar</t>
    </r>
  </si>
  <si>
    <t>Soporte del Seguimiento</t>
  </si>
  <si>
    <t>Traslados, reubicación o retiro del personal de planta de la entidad y falta de acciones y estrategias para la retención del conocimiento.</t>
  </si>
  <si>
    <t>Posibilidad de afectación económica y reputacional por fuga del conocimiento debido a traslados, reubicación o retiro del personal de planta de la entidad y falta de acciones y estrategias para la retención del conocimiento.</t>
  </si>
  <si>
    <r>
      <t xml:space="preserve">El jefe de la Unidad de Compras Licitaciones y Bienes Activos, gestiona y promociona trimestralmente la disposición de un canal de denuncia por medio del correo </t>
    </r>
    <r>
      <rPr>
        <u/>
        <sz val="18"/>
        <color theme="3" tint="0.39997558519241921"/>
        <rFont val="Arial Narrow"/>
        <family val="2"/>
      </rPr>
      <t>mercadeocompras@homil.gov.co</t>
    </r>
    <r>
      <rPr>
        <sz val="18"/>
        <color theme="1"/>
        <rFont val="Arial Narrow"/>
        <family val="2"/>
      </rPr>
      <t xml:space="preserve"> , como medio de comunicación confidencial, anónimo y seguro para que los interesados puedan informar posibles situaciones de fraude, irregularidades y conductas anti éticas en el desarrollo del proceso contractual.
Así mismo la oficina de SARLAFT , recepciona mediante los siguientes canales de denuncias 
* Formulario denuncias: https://forms.gle/goiyzvlrannbmmca8
* Correos electrónicos: denuncias.sarlaft@homil.gov.co
*  Línea telefónica: 601 348 6868 ext. 3012
</t>
    </r>
    <r>
      <rPr>
        <sz val="18"/>
        <color rgb="FFFF0000"/>
        <rFont val="Arial Narrow"/>
        <family val="2"/>
      </rPr>
      <t>* Whatsapp: 57 322 2674636</t>
    </r>
    <r>
      <rPr>
        <sz val="18"/>
        <color theme="1"/>
        <rFont val="Arial Narrow"/>
        <family val="2"/>
      </rPr>
      <t xml:space="preserve">
* Atención presencial: Oficina Cumplimiento (Ingreso visitantes a mano derecha).
* Oficial de Cumplimiento: Correo: oficialcumplimiento@homil.gov.co  –  ggalvis@homil.gov.co
</t>
    </r>
  </si>
  <si>
    <r>
      <t xml:space="preserve">El jefe de la Unidad de Compras Licitaciones y Bienes Activos, gestiona y promociona trimestralmente la disposición de un canal de denuncia por medio del correo mercadeocompras@homil.gov.co, como medio de comunicación confidencial, anónimo y seguro para que los interesados puedan informar posibles situaciones de fraude, irregularidades y conductas anti éticas en el desarrollo del proceso contractual.
Así mismo la oficina de SARLAFT , recepciona mediante los siguientes canales de denuncias 
* Formulario denuncias: https://forms.gle/goiyzvlrannbmmca8
* Correos electrónicos: denuncias.sarlaft@homil.gov.co
* Línea telefónica: 601 348 6868 ext. 3012
</t>
    </r>
    <r>
      <rPr>
        <sz val="18"/>
        <color rgb="FFFF0000"/>
        <rFont val="Arial Narrow"/>
        <family val="2"/>
      </rPr>
      <t>* Whatsapp: 57 322 2674636</t>
    </r>
    <r>
      <rPr>
        <sz val="18"/>
        <color theme="1"/>
        <rFont val="Arial Narrow"/>
        <family val="2"/>
      </rPr>
      <t xml:space="preserve">
* Atención presencial: Oficina Cumplimiento (Ingreso visitantes a mano derecha).
Oficial de Cumplimiento: Correo: oficialcumplimiento@homil.gov.co  –  ggalvis@homil.gov.co</t>
    </r>
  </si>
  <si>
    <t>Posibilidad de afectación económica y reputacional por multas y sanciones, debido a la vinculación de personas naturales y/o jurídicas, sin considerar los lineamientos contemplados relacionados con conflictos de interés. (Política de Integridad).</t>
  </si>
  <si>
    <t>Posibilidad de afectación económica y reputacional por demandas legales y sanciones, debido a la omisión de la declaración de impedimento o recusación ante la posibilidad real o aparente de un conflicto de interés.</t>
  </si>
  <si>
    <t>Posibilidad de afectación económica por la no prestación integral de los servicios de salud a los usuarios del  HOMIL,  debido a la inadecuada identificación de necesidades para la adquisición de bienes y/o servicios.</t>
  </si>
  <si>
    <t>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t>
  </si>
  <si>
    <t>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t>
  </si>
  <si>
    <t>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t>
  </si>
  <si>
    <t xml:space="preserve">Posibilidad de afectación económica y reputacional por incumplimiento normativo, multas y sanciones por parte de entes de control, debido a atenciones inseguras que generan percepción desfavorable de la entidad a los usuarios y los entes reguladores.
</t>
  </si>
  <si>
    <t>Posibilidad de afectación económica y reputacional por registro inoportuno en la Historia Clínica  del estado de salud y la atención brindada, debido a la interrupción en la prestación de los servicios tecnológicos de la entidad.</t>
  </si>
  <si>
    <t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t>
  </si>
  <si>
    <t>Posibilidad de afectación económica por no disponibilidad de la información clínica  de los usuarios del  HOMIL, debido a falta de respaldo (copias de seguridad) de la información.</t>
  </si>
  <si>
    <t>Posibilidad de afectación económica y reputacional por fallas en el funcionamiento del sistema de información clínico Dinámica Gerencial Hospitalaria generadas por el indebido control de cambios en la implementación de nuevas versiones del aplicativo.</t>
  </si>
  <si>
    <t>Posibilidad de afectación reputacional por pérdida de credibilidad e impacto negativo en la imagen  de la entidad, debido a publicaciones con datos erróneos o imprecisos en las piezas de comunicación e información dirigida a usuarios externos del HOMIL.</t>
  </si>
  <si>
    <t>Posibilidad de afectación reputacional por pérdida de credibilidad e impacto negativo en la imagen  de la entidad, debido a publicaciones con datos erróneos o imprecisos en las piezas de comunicación e información dirigida a usuarios internos del HOMIL.</t>
  </si>
  <si>
    <t>Posibilidad de afectación reputacional por incumplimiento de los periodos de tiempo de respuesta establecidos en la ley a las PQRS y posibles tutelas, debido a demoras en las proyecciones de respuesta y/o respuesta superficiales por parte de los servicios, errores en el direccionamiento interno y recepción de peticiones incompletas o con falta de soportes para tramitarlas.</t>
  </si>
  <si>
    <t xml:space="preserve">Posibilidad de afectación reputacional por la falta de oportunidad en el inicio o continuidad de la farmacoterapia a los usuarios atendidos por el HOMIL, debido a la no disponibilidad de los medicamentos, por incumplimiento del contratista que provee los mismos.
</t>
  </si>
  <si>
    <t>Posibilidad de afectación reputacional, asociado a la seguridad de paciente, debido a la  dispensación de medicamentos vencidos o diferentes a los prescritos.</t>
  </si>
  <si>
    <t>Posibilidad de afectación reputacional asociado a la seguridad de paciente, por liberación de un medicamento adecuado en la CAM que no corresponde con lo prescrito, producto de errores del personal en la interpretación de la prescripción médica, procesos de producción y liberación de medicamentos, sin cumplir requisitos de calidad.</t>
  </si>
  <si>
    <t xml:space="preserve">Posibilidad de afectación económica y reputacional por contaminación microbiológica en el área de producción de la CAM, debido a falta de adherencia a protocolos de limpieza y desinfección o una externalidad no controlada.
</t>
  </si>
  <si>
    <t>Posibilidad de afectación reputacional por error en el diagnóstico y tratamiento de los usuarios atendido por el HOMIL, debido al no cumplimiento de protocolos, errores de interpretación, lectura, transcripción y validación de los resultados y/o estudios.</t>
  </si>
  <si>
    <t>Posibilidad de afectación reputacional por pérdida de muestras sanguíneas, fluidos, biopsias, especímenes, citologías, debido al incumplimiento de protocolos de toma, transporte, entrega y recepción de muestras.</t>
  </si>
  <si>
    <t>Posibilidad de afectación reputacional por desabastecimiento de insumos  para la realización y procesamiento de estudios y muestras, debido a falta de planeación, aumento o disminución en la demanda de los pacientes y falta de control a las existencias de insumos.</t>
  </si>
  <si>
    <t>Posibilidad de afectación reputacional por aumento de los niveles permitidos de radiación ionizante provocando posibles efectos nocivos para la salud de los trabajadores expuestos, debido al no uso del dosímetro y no uso de los elementos de radio-protección personal.</t>
  </si>
  <si>
    <t>Posibilidad de afectación económica por avería o daño en las tecnologías en salud durante los procesos logísticos de: almacenamiento, distribución, dispensación y uso, debido a externalidades no controladas y de adecuación para su debido uso.</t>
  </si>
  <si>
    <t>Posibilidad de afectación económica y reputacional por no cierre del ciclo de atención de los pacientes atendidos en el servicio de urgencias (asistencial y administrativo), debido a salida de pacientes sin autorización médica. (Fuga)</t>
  </si>
  <si>
    <t>Posibilidad de afectación reputacional por lesión o daño en el paciente durante la prestación del servicio,  por fallas en la manejo y adherencia a las guías, protocolos, procedimientos de gestión ambulatoria por el personal de salud en el sitio de trabajo.</t>
  </si>
  <si>
    <t>Posibilidad de afectación económica y reputacional, asociado a seguridad del paciente, debido a la pérdida de medicamentos e insumos hospitalarios en custodia del servicio de enfermería en consulta externa.</t>
  </si>
  <si>
    <t>Posibilidad de afectación reputacional por cierre de áreas debido a brotes o enfermedades infecciosas que puedan limitar la prestación del servicio a los usuarios atendidos por el HOMIL, debido a fallas de adherencia a guías, protocolos, procedimientos y a la alta rotación del personal de salud en áreas de hospitalización.</t>
  </si>
  <si>
    <t>Posibilidad de afectación reputacional por lesión o daño en el paciente durante la prestación del servicio de salud, debido a  errores en el manejo y adherencia a las guías, protocolos, procedimientos de hospitalización por el personal de salud en el sitio de trabajo.</t>
  </si>
  <si>
    <t>Posibilidad de afectación económica y reputacional por atención inoportuna en la prestación del servicio de salud a los usuarios atendidos por el HOMIL, debido a debilidades en el proceso de programación de cirugía.</t>
  </si>
  <si>
    <t xml:space="preserve">Posibilidad de afectación económica y reputacional por multas, sanciones, PQRSD, glosas y eventos adversos, debido a la falta de adherencia a las guías, procedimientos y protocolos del servicio de enfermería. </t>
  </si>
  <si>
    <t>Posibilidad de afectación económica y reputacional por atención inoportuna en la prestación del servicio de salud a los usuarios atendidos por el HOMIL, debido a la pérdida de medicamentos e insumos hospitalarios en custodia del servicio de enfermería.</t>
  </si>
  <si>
    <t xml:space="preserve">Posibilidad de afectación económica y reputacional por incumplimiento en el desarrollo del programa académico de la Escuela de Auxiliares de Enfermería, debido a la rotación del personal docente por mejores ofertas laborales en el mercado y modalidad de contratación con mejores garantías para los docentes. </t>
  </si>
  <si>
    <t>Posibilidad de afectación económica por disminución en los ingresos de la Escuela de Auxiliares de Enfermería, debido a la baja captación de los aspirantes al programa académico de acuerdo a la capacidad instalada y posible deserción estudiantil.</t>
  </si>
  <si>
    <t>Posibilidad de afectación reputacional por incumplimiento a la normatividad y sanciones del ente regulador llevando a la cancelación del escenario de práctica, debido a autorización de prácticas formativas sin convenio docencia servicio.</t>
  </si>
  <si>
    <t>Posibilidad de afectación económica y reputacional por pérdida de beneficios obtenidos a partir del reconocimiento de la titularidad de la propiedad intelectual, debido a la falta de implementación de medidas necesarias para asegurar la titularidad patrimonial de autor y de derechos de propiedad industrial a favor del HOMIL.</t>
  </si>
  <si>
    <t>Posibilidad de afectación económica y reputacional por desarrollo de proyectos de investigación sin aval institucional, debido a la falta de adherencia a la Política de Investigación Ética e Integridad Científica y procedimiento de investigación académica.</t>
  </si>
  <si>
    <t>Posibilidad de afectación económica y reputacional por sanciones, multas y demandas, debido al incumplimiento de los requisitos legales y/o propios del empleo en los procesos de vinculación de la entidad y/o Militares en comisión.</t>
  </si>
  <si>
    <t>Posibilidad de afectación económica y reputacional por sanciones, multas y demandas, debido al traslado de personal sin verificar idoneidad y/o condiciones de salud para desempeñar el empleo.</t>
  </si>
  <si>
    <t xml:space="preserve">Posibilidad de afectación reputacional, por pérdida de la competencia por parte de la administración, para ejercer la acción disciplinaria por el paso del tiempo, debido a la falta de diligencia para gestionar el proceso disciplinario en los términos otorgados por la ley. </t>
  </si>
  <si>
    <t>Posibilidad de afectación económica y reputacional por sanciones disciplinarias, fiscales y reclamaciones de los usuarios, debido a falta de control en las novedades de personal , fallas en el sistema de Información y falta de verificación de supervivencia del personal pensionado.</t>
  </si>
  <si>
    <t>Posibilidad de afectación económica y reputacional por falta de fortalecimiento de  las competencias y habilidades necesarias para ejecutar el empleo y desmotivación de los servidores públicos., debido a ausencia de identificación de necesidades de capacitación y/o bienestar de los diferentes servicios y áreas del HOMIL y ausencia de seguimiento a las actividades de capacitación y bienestar.</t>
  </si>
  <si>
    <t>Posibilidad de afectación económica y reputacional, por interrupción  permanente y/o parcial  de la prestación de  servicios de la entidad, debido a falta de conocimiento del Plan de Gestión del Riesgo Institucional y el como actuar en caso de una emergencia. (Desastres Naturales, antrópicos y sanitarios).</t>
  </si>
  <si>
    <t xml:space="preserve">Posibilidad de afectación económica y reputacional por existencia de ambientes de trabajo inseguros reportados, debido a la falta de intervención a los controles de los riesgos ocupacionales establecidos en los ambientes de trabajo y falta de verificación de la implementación, generando la posible ocurrencia de accidentes de trabajo. </t>
  </si>
  <si>
    <t>Posibilidad de afectación económica y reputacional, por la no prestación en la atención integral de los servicios de salud a los usuarios atendidos por el HOMIL, debido a la ausencia de mantenimientos oportunos e inadecuada manipulación de los equipos biomédicos por parte del personal asistencial.</t>
  </si>
  <si>
    <t>Posibilidad de afectación económica y reputacional, por suspensión parcial o total de áreas o servicios vitales para la atención en salud a los usuarios atendidos por el HOMIL, debido al incumplimiento normativo en el lavado de tanques de agua potable y alteraciones en el análisis físico - químico y microbiológico de la calidad del agua.</t>
  </si>
  <si>
    <t>Posibilidad de afectación económica y reputacional, por la suspensión parcial o total de áreas o servicios vitales para la atención en salud a los usuarios atendidos por el HOMIL, debido a presencia y falta de continuidad en el proceso de control de vectores de plagas.</t>
  </si>
  <si>
    <t>Posibilidad de afectación económica y reputacional por sanciones y multas de los diferentes entes de control, debido a la inadecuada segregación y disposición final de residuos hospitarios.</t>
  </si>
  <si>
    <t>Posibilidad de afectación económica y reputacional por la no prestación en la atención integral de los servicios de salud a los usuarios atendidos por el HOMIL, debido a fallas en la red del suministro de gases medicinales (oxígeno, aire medicinal y vacío).</t>
  </si>
  <si>
    <t>Posibilidad de afectación económica y reputacional, por la no prestación en la atención integral de los servicios de salud a los usuarios atendidos por el HOMIL y daños en equipos médicos y de cómputo, debido a fallas en el suministro de la red eléctrica de la entidad.</t>
  </si>
  <si>
    <t>Posibilidad de afectación económica y reputacional por deterioro en la calidad de los medicamentos que requieran de una temperatura determinada, afectactando la cadena de frio, debido al daño de los equipos industriales necesarios para este fin. (Neveras, Unidad Manejadora de Aire - UMAS, ventiladores, aire acondicionado y chiller)</t>
  </si>
  <si>
    <t>Posibilidad de afectación económica y reputacional por el cierre de áreas, servicios y sanciones disciplinarias, debido a la pérdida de materiales y herramientas necesarias para el mantenimiento de las instalaciones de la entidad.</t>
  </si>
  <si>
    <t>Posibilidad de afectación económica y reputacional por demandas, multas y no prestación en la atención integral de los servicios de salud a los usuarios atendidos por el HOMIL y médicos residentes, debido al suministro inoportuno de alimentación de acuerdo con los requerimientos nutricionales.</t>
  </si>
  <si>
    <t xml:space="preserve">Posibilidad de afectación reputacional por quejas, reclamos y no prestación en la atención integral de los servicios de salud a los usuarios atendidos por el HOMIL, debido al incumplimiento en el suministro oportuno de ropa hospitalaria para la prestación del servicio en los diferentes procedimientos que requieren los pacientes. </t>
  </si>
  <si>
    <t>Posibilidad de afectación reputacional por quejas, reclamos y complicaciones en la salud del paciente y usuarios, debido al incumplimiento al procedimiento de limpieza y desinfección en la entidad.</t>
  </si>
  <si>
    <t>Posibilidad de afectación económica y reputacional por el cierre de servicios por parte de organismos de vigilancia y control, debido al incumplimiento de la normatividad vigente. (Acreditación y habilitación).</t>
  </si>
  <si>
    <t xml:space="preserve">Posibilidad de afectación económica por multas y sanciones debido a la pérdida y hurto de recursos (dinero) de la caja manual (ventanilla) y para el manejo del dinero con el que se surte el cajero electrónico del parqueadero público. </t>
  </si>
  <si>
    <t>Posibilidad de afectación económica y reputacional por multas, sanciones, demandas y no prestación en la atención integral de los servicios de salud a los usuarios atendidos por el HOMIL, debido a la falta de planeación para el adecuado funcionamiento y prestación del servicio de ambulancias. 
(Medicalizadas y básicas).</t>
  </si>
  <si>
    <t>Posibilidad de afectación económica y reputacional por la no prestación de la atención integral de los servicios de salud a los usuarios atendidos por el HOMIL, debido al Incumplimiento del manual de contratación,  los procedimientos internos y demás normatividad aplicables al proceso de contratación  e incumplimiento del objeto contractual y/o las especificaciones técnicas  generados por el inadecuado ejercicio de supervisión contractual.</t>
  </si>
  <si>
    <t>Posibilidad de afectación económica y reputacional, debido a observaciones, hallazgos, multas o sanciones de entes de control, por pérdida de los bienes activos y bienes de consumo.</t>
  </si>
  <si>
    <t>Posibilidad de afectación económica por limitación en el cumplimiento del objetivo de los procesos del HOMIL, debido daño de los bienes activos derivado del uso negligente de los mismos.</t>
  </si>
  <si>
    <t>Posibilidad de afectación económica y reputacional por sanciones, multas y demandas, debido al incumplimiento de los requisitos legales y/o propios del objeto del contrato en los procesos de selección y vinculación de la entidad. (Vinculación de persona natural)</t>
  </si>
  <si>
    <t xml:space="preserve">Posibilidad de afectación económica y reputacional por limitación en la prestación de servicios de salud por falta de recursos, debido a fallas en la planeación y seguimiento presupuestal.
</t>
  </si>
  <si>
    <t>Posibilidad de afectación económica y reputacional por sanción y no fenecimiento de la cuenta fiscal, debido a inoportunidad o no registro de las transacciones económicas e incumplimiento a normatividad contable vigente.</t>
  </si>
  <si>
    <t>Posibilidad de afectación económica y reputacional por sanción y no fenecimiento de la cuenta fiscal, debido a incluir u omitir datos en el sistema de información, que no respondan a la realidad con respecto a la transacción realizada.</t>
  </si>
  <si>
    <t>Posibilidad de afectación económica, por sanciones económicas y penales, debido realizar dobles pagos frente a una misma obligación, pagos sin cumplimiento de requisitos e incumplimiento en el pago a terceros.</t>
  </si>
  <si>
    <t>Posibilidad de afectación económica por  la inadecuada toma de decisiones frente al comportamiento de un centro de costo o un servicio, debido a incluir u omitir datos en el sistema de información que no respondan a la realidad con respecto a la transacción realizada.</t>
  </si>
  <si>
    <t>Posibilidad de afectación económica por no facturación de los servicios prestados, debido a inoportunidad o no registro de las atenciones en salud prestadas a los pacientes.</t>
  </si>
  <si>
    <t>Posibilidad de afectación económica por inoportunidad en el recaudo de las cuentas por cobrar por prestación de servicios de salud, con los diferentes pagadores del sistema general de seguridad social en salud, debido al agotamiento en el cobro persuasivo.</t>
  </si>
  <si>
    <t>Posibilidad de afectación reputacional por pérdida del patrimonio documental, debido a la inadecuada administración de los documentos por parte del personal y/o incumplimiento de los procedimientos de la gestión documental en la entidad.</t>
  </si>
  <si>
    <t>Posibilidad de afectación reputacional por multas y sanciones por el ente regulador, debido a incumplimiento normativo, a causa de desgregación, deterioro y pérdida del patrimonio documental del archivo central de la entidad.</t>
  </si>
  <si>
    <t>Posibilidad de afectación económica y reputacional por demandas y tutelas por divulgación de información clasificada o reservada de los usuarios atendidos por el HOMIL, debido a falta en el compromiso de confidencialidad y reserva de la información por parte del personal que custodia la información del archivo central.</t>
  </si>
  <si>
    <t>Posibilidad de afectación económica y reputacional por pérdida de correspondencia que ingresa y sale de la entidad, debido al incumplimiento del procedimiento establecido para el control de la correspondencia recibida y enviada, al igual que el no diligenciamiento de las planillas de control de envío de la documentación externa y fallas en la radicación a terceros.</t>
  </si>
  <si>
    <t>Posibilidad de afectación económica y reputacional, por sanciones disciplinarias, administrativas, penales, incumplimiento normativo y pérdida del patrimonio documental, debido a la inadecuada administración de los documentos por parte del personal e inadecuada adherencia al procedimiento para el préstamo de la documentación. (Historias Clínicas)</t>
  </si>
  <si>
    <t>Posibilidad de afectación económica y reputacional por traumatismos en la atención de los pacientes por ausencia de los formatos institucionales, debido a falta de insumos, materia prima y daño en equipos. (Impresoras litográficas y maquinas de corte).</t>
  </si>
  <si>
    <t>Posibilidad de afectación reputacional por selección inadecuada de procesos a evaluar, debido a la falta de aplicación de una herramienta de priorización de auditorías, como insumo para la elaboración del Plan Anual de Auditorias de cada vigencia.</t>
  </si>
  <si>
    <t xml:space="preserve">
Posibilidad de afectación reputacional por requerimientos de entes de Control sin revisión por parte de la Oficina de Control Interno - OCIN en relación con los  atributos de oportunidad en la entrega, integridad y coherencia, debido a que la Oficina designada por la Dirección para recibir y distribuir  los requerimientos de los entes de control hacia las dependencias responsables de atenderlos según su competencia, no informe a la OCIN sobre los requerimientos allegados junto con la respuesta consolidada.</t>
  </si>
  <si>
    <t>Posibilidad de afectación reputacional por pérdida de credibilidad y confianza en la Oficina de Control Interno, debido a inexistencia de información que sustente y respalde el hallazgo de auditoría, deficiencias e interpretación errada de los soportes o ausencia de los mismos.</t>
  </si>
  <si>
    <r>
      <t xml:space="preserve">Posibilidad de afectación económica por vencimiento de tecnologías en salud asociada a no realizar gestión alguna para evitar la materialización del riesgo, debido a falta de control, descuido en los proceso de manejo de productos próximos a vencer.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</si>
  <si>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y reputacional por atención inoportuna  en el servicio de urgencias, debido a clasificación equivocada en la atención médica inmediata (triage) por falta de adherencia al procedimiento de clasificación y valoración,  fallas en la clasificación por demanda de pacientes.
</t>
    </r>
    <r>
      <rPr>
        <b/>
        <sz val="20"/>
        <rFont val="Arial Narrow"/>
        <family val="2"/>
      </rPr>
      <t xml:space="preserve">Nota:
</t>
    </r>
    <r>
      <rPr>
        <sz val="20"/>
        <rFont val="Arial Narrow"/>
        <family val="2"/>
      </rPr>
      <t xml:space="preserve">Se establece un mínimo de tolerancia para evidenciar la materialización del riesgo, este corresponde al 0,08% de clasificación equivocada en la atención médica trimestral (Triage). </t>
    </r>
  </si>
  <si>
    <r>
      <t xml:space="preserve">Posibilidad de afectación económica y reputacional por insatisfacción de los usuarios atendidos por el HOMIL, debido a la asignación de citas con servicios que no correspondan a la orden médica y a la autorización y falta de adherencia al procedimiento de asignación de citas médicas en medios presenciales  (central de citas) y no presenciales (Telefónico y correo electrónico).
</t>
    </r>
    <r>
      <rPr>
        <b/>
        <sz val="20"/>
        <rFont val="Arial Narrow"/>
        <family val="2"/>
      </rPr>
      <t>Nota:</t>
    </r>
    <r>
      <rPr>
        <sz val="20"/>
        <rFont val="Arial Narrow"/>
        <family val="2"/>
      </rPr>
      <t xml:space="preserve">
Se establece un mínimo de tolerancia para evidenciar la materialización del riesgo, este corresponde al 0,16% de errores agendados trimestralmente. </t>
    </r>
  </si>
  <si>
    <r>
      <t xml:space="preserve">Posibilidad de afectación económica y reputacional, recibir o solicitar cualquier dádiva o beneficio a nombre propio o de terceros, debido al manejo de influencias en la asignación de citas médicas y falla en adherencia a los protocolos institucionales por parte de los funcionarios de asignación de citas.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</si>
  <si>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y reputacional  por recibir o solicitar cualquier dadiva o beneficio a nombre propio o de terceros, debido a la manipulación del proceso disciplinario en beneficio del investigado.
(La económica se presentaría como consecuencia de un fallo de reparación directa en contra del HOMIL).
</t>
    </r>
    <r>
      <rPr>
        <b/>
        <sz val="20"/>
        <rFont val="Arial Narrow"/>
        <family val="2"/>
      </rPr>
      <t xml:space="preserve">Nota: </t>
    </r>
    <r>
      <rPr>
        <sz val="20"/>
        <rFont val="Arial Narrow"/>
        <family val="2"/>
      </rPr>
      <t xml:space="preserve">La posible materialización de los riesgos de corrupción (fraude Interno) se identificarán por medio del análisis de denuncias, quejas y demandas. </t>
    </r>
  </si>
  <si>
    <r>
      <t xml:space="preserve">Posibilidad de afectación económica y reputacional por recibir o solicitar cualquier dádiva o beneficio a nombre propio o de terceros, para el direccionamiento de estudios previos, evaluaciones o aplicación de una modalidad de selección diferente a la que corresponda por ley, para adjudicar y/o celebrar un contrato que beneficie a un proponente.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</si>
  <si>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por recibir o solicitar cualquier dádiva o beneficio a nombre propio o de terceros, con el fin de manipular la información en el  seguimiento y supervisión de los contratos.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t>
    </r>
  </si>
  <si>
    <r>
      <t xml:space="preserve">Posibilidad de afectación económica por recibir o solicitar dádivas o beneficios a nombre propio o de terceros, debido a la modificación indebida de valores a los compromisos contractuales de pagos y cuentas de destino para el pago de recursos.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</si>
  <si>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económica por recibir o solicitar dádivas ó beneficios a nombre propio o de terceros, debido a adulterar o cambiar información para minimizar el valor a cobrar por la prestación de servicios de salud.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</si>
  <si>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Posibilidad de afectación reputacional por recibir o solicitar cualquier dádiva o beneficio a nombre propio o de terceros para alterar a conveniencia propia o de terceros los resultados de informes a cargo de la Oficina de Control Interno.
</t>
    </r>
    <r>
      <rPr>
        <b/>
        <sz val="20"/>
        <rFont val="Arial Narrow"/>
        <family val="2"/>
      </rPr>
      <t>Nota:</t>
    </r>
    <r>
      <rPr>
        <sz val="20"/>
        <rFont val="Arial Narrow"/>
        <family val="2"/>
      </rPr>
      <t xml:space="preserve"> La posible materialización de los riesgos de corrupción (fraude Interno) se identificarán por medio del análisis de denuncias, quejas y demandas. </t>
    </r>
  </si>
  <si>
    <r>
      <t xml:space="preserve">El profesional de la Oficina Asesora de Planeación realiza trimestralmente la verificación de datos de los indicadores estratégicos, comparando lo reportado en el aplicativo (Suite Visión Empresarial) Vs el formato PL-OAPL-PR-09-FT-02, con el fin de cotejar la información suministrada por parte de las dependencias. 
</t>
    </r>
    <r>
      <rPr>
        <b/>
        <sz val="18"/>
        <color theme="1"/>
        <rFont val="Arial Narrow"/>
        <family val="2"/>
      </rPr>
      <t>Nota:</t>
    </r>
    <r>
      <rPr>
        <sz val="18"/>
        <color theme="1"/>
        <rFont val="Arial Narrow"/>
        <family val="2"/>
      </rPr>
      <t xml:space="preserve"> Teniendo en cuenta que el análisis y el cruce de la información de resultados de los indicadores y actividades estratégicas del PAI en el aplicativo vs formato PL-OAPL-PR-09-FT-02 se realizan un mes posterior al cierre trimestral, la aplicación del control se efectuará y se reportará de la siguiente manera:
Primer monitoreo: Control aplicado del IV Trimestre de la vigencia anterior.
Segundo monitoreo: Control aplicado del I Trimestre de la presente vigencia.
Tercer monitoreo: Control aplicado del II Trimestre de la presente vigencia.
Cuarto monitoreo: Control aplicado del III Trimestre de la presente vigencia.</t>
    </r>
  </si>
  <si>
    <r>
      <t xml:space="preserve">El profesional de la Oficina Asesora de Planeación realiza mesas de trabajo cada vez que sea requerido, para validar y verificar los resultados trimestrales obtenidos en los indicadores y actividades estratégicas que conforman el Plan de Acción Institucional, con Subdirectores y Jefes de Unidad.
</t>
    </r>
    <r>
      <rPr>
        <b/>
        <sz val="18"/>
        <color theme="1"/>
        <rFont val="Arial Narrow"/>
        <family val="2"/>
      </rPr>
      <t>Soporte:</t>
    </r>
    <r>
      <rPr>
        <sz val="18"/>
        <color theme="1"/>
        <rFont val="Arial Narrow"/>
        <family val="2"/>
      </rPr>
      <t xml:space="preserve"> Actas de reunión.
</t>
    </r>
    <r>
      <rPr>
        <b/>
        <sz val="18"/>
        <color theme="1"/>
        <rFont val="Arial Narrow"/>
        <family val="2"/>
      </rPr>
      <t>Nota:</t>
    </r>
    <r>
      <rPr>
        <sz val="18"/>
        <color theme="1"/>
        <rFont val="Arial Narrow"/>
        <family val="2"/>
      </rPr>
      <t xml:space="preserve"> Teniendo en cuenta que la validación y verificación de los resultados de los indicadores y actividades estratégicas del PAI se realizan un mes posterior al cierre trimestral, la aplicación del control se efectuará y se reportará de la siguiente manera:
Primer monitoreo: Control aplicado del IV Trimestre de la vigencia anterior.
Segundo monitoreo: Control aplicado del I Trimestre de la presente vigencia.
Tercer monitoreo: Control aplicado del II Trimestre de la presente vigencia.
Cuarto monitoreo: Control aplicado del III Trimestre de la presente vigencia.</t>
    </r>
  </si>
  <si>
    <t>El líder del área de Gestión de la Infraestructura de las Tecnologías de la Información y Comunicación - GICO realiza el  monitoreo 7*24*365  a través de las herramientas automatizadas de monitoreo (Network Operations Center - NOC) con el fin de verificar  el funcionamiento y el estado general de la infraestructura de redes y comunicaciones de la entidad para tomar acciones preventivas y/o correctivas.</t>
  </si>
  <si>
    <t>El líder del área de Gestión Operativa de los Servicios Tecnológicos - GOST coordina y lidera el comité de cambios conforme  el procedimiento (GT-UNIN-PR-01) cada vez que se requiere un cambio de configuración en la infraestructura de redes y comunicaciones; se proyecta el minutograma y las actividades relacionadas con la ejecución del cambio en la infraestructura  de redes y comunicaciones que soporta los servicios tecnológicos de la entidad, a través de los formatos establecidos. Con el fin de planear e identificar los impactos que se puedan llegar a generar durante la ejecución.</t>
  </si>
  <si>
    <t>El área de Gestión de la Infraestructura de las Tecnologías de la Información y Comunicación - GICO, al menos una vez al año realiza un mantenimiento preventivo a la infraestructura de redes y comunicaciones que soporta los servicios tecnológicos, con el fin de asegurar el funcionamiento adecuado de la misma.</t>
  </si>
  <si>
    <t>El líder del área de Gestión Operativa de los Servicios Tecnológicos - GOST, cada vez que se requiera realiza los mantenimientos  correctivos conforme al procedimiento (GT-GERE-PR-01) a los equipos de cómputo de los diferentes servicios asistenciales, con el fin de asegurar el funcionamiento adecuado de los mismos.</t>
  </si>
  <si>
    <r>
      <t xml:space="preserve">Gestión de la Infraestructura de
las Tecnologías de la
Información y Comunicación
</t>
    </r>
    <r>
      <rPr>
        <sz val="20"/>
        <color rgb="FFFF0000"/>
        <rFont val="Arial Narrow"/>
        <family val="2"/>
      </rPr>
      <t xml:space="preserve">
</t>
    </r>
    <r>
      <rPr>
        <sz val="20"/>
        <color theme="1"/>
        <rFont val="Arial Narrow"/>
        <family val="2"/>
      </rPr>
      <t xml:space="preserve">Gestión Operativa de los
Servicios Tecnológicos
</t>
    </r>
  </si>
  <si>
    <t>El área de Gestión Operativa de los Servicios Tecnológicos - GOST, solo crea las cuentas de acceso a las personas que alleguen 100% diligenciado el formato único de solicitud de acceso a servicios informáticos (TI-GESU-PR-01-FT-01)</t>
  </si>
  <si>
    <t>El área de Gestión Operativa de los Servicios Tecnológicos - GOST, configura la fecha de terminación del contrato relacionada en el formato único de solicitud de acceso a servicios informáticos (TI-GESU-PR-01-FT-01). Está configuración se realiza en el directorio activo para que se bloquee de manera automática el día que corresponda.</t>
  </si>
  <si>
    <t xml:space="preserve">El  área de Gestión de la Seguridad y Privacidad de a Información - GSPI, mensualmente realiza campañas de sensibilización en temas de ciber seguridad. Con el fin de concientizar a los usuarios de los riesgos relacionados con el uso seguro de la infraestructura tecnológica que soporta la prestación de los servicios tecnológicos. </t>
  </si>
  <si>
    <t>El administrador de la base de datos del área de Gestión de la Infraestructura de las Tecnologías de la Información y Comunicación - GICO  configura un script automático para deshabilitar usuarios que lleven más de un mes sin ingresar al sistema de información Dinámica Gerencial.</t>
  </si>
  <si>
    <t>El líder del área de Gestión de la Infraestructura de las Tecnologías de la Información y Comunicación - GICO realiza el  monitoreo 7*24*365  a través de las herramientas de monitoreo (NOC) con el fin de verificar  el funcionamiento y el estado general de los equipos que soportan el servicio de backup de la entidad para tomar acciones preventivas y/o correctivas.</t>
  </si>
  <si>
    <t>El administrador de la base de datos del área de Gestión de la Infraestructura de las Tecnologías de la Información y Comunicación - GICO, verifica el log de eventos en la herramienta de backup de la entidad que indique la realización y terminación correcta de copias de datos. Con el fin de asegurarse que se tiene una copia de respaldo consistente y disponible para cuando se necesite.</t>
  </si>
  <si>
    <t>Los líderes de módulos del aplicativo Dinámica Gerencial Hospitalaria del área de Gestión Ciclo de Vida de los Sistemas de Información - GCSI, coordinan y lideran el comité de cambios conforme al procedimiento (GT-UNIN-PR-01) cada vez que se requiere un cambio en el aplicativo Dinámica Gerencial Hospitalaria; en el escenario de pruebas de la aplicación las actividades relacionadas en el protocolo de pruebas de nueva compilación, el cual incluye las pruebas técnicas realizadas por los líderes funcionales de cada proceso y el funcionamiento de las opciones de los diferentes módulos, en conjunto con los líderes funcionales en cada proceso; lo anterior con el fin de validar si estas tuvieron cambios de funcionamiento y/o funcionan de manera adecuada.</t>
  </si>
  <si>
    <t>El líder de Gestión Operativa de los Servicios Tecnológicos - GOST de la Unidad Informática, una vez finalizada la actualización de la nueva versión de Dinámica Gerencial Hospitalaria, iniciará un recorrido preventivo por las áreas asistenciales (Desde el piso 12, hasta urgencias y salas de cirugía); revisando la funcionalidad y operatividad del sistema de información. El personal encargado del recorrido firmará la bitácora de recorridos de la UNIN.</t>
  </si>
  <si>
    <t>Gestión Ciclo de Vida de los Sistemas de Información
Gestión Operativa de los Servicios Tecnológicos</t>
  </si>
  <si>
    <t xml:space="preserve">Gestión de la Seguridad y
Privacidad de a Información 
Gestión Operativa de los Servicios Tecnológicos
Gestión de la Infraestructura de las Tecnologías de la Información y Comunicación
</t>
  </si>
  <si>
    <t>El jefe de la Unidad de Apoyo Logístico o delegado de la gestión ambiental, con apoyo de funcionarios de la ARL, realiza capacitaciones mensuales al personal asistencial y administrativo, con el fin de conocer la adherencia al Plan de Gestión Integral de Residuos Generados en la Atención en Salud - PGIRASA.</t>
  </si>
  <si>
    <t>El jefe de la Unidad de Apoyo Logístico o delegado de la gestión ambiental, realiza inspecciones mensuales a los servicios asistenciales que generan residuos hospitalarios, con el fin de medir la adherencia al Plan de Gestión Integral de Residuos Generados en la Atención en Salud - PGIRASA.</t>
  </si>
  <si>
    <r>
      <t xml:space="preserve">La coordinadora de prácticas de la Unidad de Formación Docencia realiza verificación mensual del total de ingresos del personal en formación, mediante el cotejo de (solicitud formal por parte de la institución de educación superior; plataforma institucional de registro de personal en formación; y listados de asistencia del personal en formación programado para el 1er día hábil de cada mes), con el fin de evitar el ingreso de personal en formación no autorizado ni registrado en las bases de datos de la Unidad de Formación Docencia. 
</t>
    </r>
    <r>
      <rPr>
        <b/>
        <sz val="18"/>
        <color theme="1"/>
        <rFont val="Arial Narrow"/>
        <family val="2"/>
      </rPr>
      <t>(Acta de reunión mensual que refleja la verificación realizada del cotejo previamente mencionado).</t>
    </r>
  </si>
  <si>
    <r>
      <t xml:space="preserve">La jefe de Unidad de Formación y Docencia define trimestralmente  el seguimiento y evaluación a los convenios docencia servicio por medio de los comités Docencia servicio con las instituciones educativas, con el fin de administrar adecuadamente la ejecución de los convenios.
</t>
    </r>
    <r>
      <rPr>
        <b/>
        <sz val="18"/>
        <color theme="1"/>
        <rFont val="Arial Narrow"/>
        <family val="2"/>
      </rPr>
      <t>(Acta de comité relación Docencia - Servicio)</t>
    </r>
  </si>
  <si>
    <r>
      <t xml:space="preserve">La jefe de Unidad de Formación y Docencia realiza de manera semestral el control de los estudiantes por medio de la plataforma de relación docencia servicio, teniendo en cuenta los cupos aprobados a las instituciones educativas en convenio Docencia Servicio. 
</t>
    </r>
    <r>
      <rPr>
        <b/>
        <sz val="18"/>
        <color theme="1"/>
        <rFont val="Arial Narrow"/>
        <family val="2"/>
      </rPr>
      <t>(Evidencia fotográfica de la Plataforma Institucional de registro de personal en formación)</t>
    </r>
  </si>
  <si>
    <t>GAAF_16</t>
  </si>
  <si>
    <t>Imágenes Diagnósticas 
(Radiología)</t>
  </si>
  <si>
    <r>
      <t xml:space="preserve">MAPA DE RIESGOS INSTITUCIONAL 2025 V.1 - APROBADO MEDIANTE ACTA DE COMITÉ INSTITUCIONAL DE GESTIÓN Y DESEMPAÑO DEL DÍA </t>
    </r>
    <r>
      <rPr>
        <b/>
        <u/>
        <sz val="24"/>
        <color theme="1"/>
        <rFont val="Arial Narrow"/>
        <family val="2"/>
      </rPr>
      <t>27</t>
    </r>
    <r>
      <rPr>
        <b/>
        <sz val="24"/>
        <color theme="1"/>
        <rFont val="Arial Narrow"/>
        <family val="2"/>
      </rPr>
      <t xml:space="preserve"> DE </t>
    </r>
    <r>
      <rPr>
        <b/>
        <u/>
        <sz val="24"/>
        <color theme="1"/>
        <rFont val="Arial Narrow"/>
        <family val="2"/>
      </rPr>
      <t>ENERO</t>
    </r>
    <r>
      <rPr>
        <b/>
        <sz val="24"/>
        <color theme="1"/>
        <rFont val="Arial Narrow"/>
        <family val="2"/>
      </rPr>
      <t xml:space="preserve"> DE </t>
    </r>
    <r>
      <rPr>
        <b/>
        <u/>
        <sz val="24"/>
        <color theme="1"/>
        <rFont val="Arial Narrow"/>
        <family val="2"/>
      </rPr>
      <t>2025</t>
    </r>
    <r>
      <rPr>
        <b/>
        <sz val="24"/>
        <color theme="1"/>
        <rFont val="Arial Narrow"/>
        <family val="2"/>
      </rPr>
      <t xml:space="preserve">. ACTUALIZACIÓN </t>
    </r>
    <r>
      <rPr>
        <b/>
        <u/>
        <sz val="24"/>
        <color theme="1"/>
        <rFont val="Arial Narrow"/>
        <family val="2"/>
      </rPr>
      <t>21</t>
    </r>
    <r>
      <rPr>
        <b/>
        <sz val="24"/>
        <color theme="1"/>
        <rFont val="Arial Narrow"/>
        <family val="2"/>
      </rPr>
      <t xml:space="preserve"> DE </t>
    </r>
    <r>
      <rPr>
        <b/>
        <u/>
        <sz val="24"/>
        <color theme="1"/>
        <rFont val="Arial Narrow"/>
        <family val="2"/>
      </rPr>
      <t>MARZO</t>
    </r>
    <r>
      <rPr>
        <b/>
        <sz val="24"/>
        <color theme="1"/>
        <rFont val="Arial Narrow"/>
        <family val="2"/>
      </rPr>
      <t xml:space="preserve"> DE </t>
    </r>
    <r>
      <rPr>
        <b/>
        <u/>
        <sz val="24"/>
        <color theme="1"/>
        <rFont val="Arial Narrow"/>
        <family val="2"/>
      </rPr>
      <t>2025</t>
    </r>
    <r>
      <rPr>
        <b/>
        <sz val="24"/>
        <color theme="1"/>
        <rFont val="Arial Narrow"/>
        <family val="2"/>
      </rPr>
      <t xml:space="preserve"> V.2</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</si>
</sst>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93" x14ac:knownFonts="1">
    <font>
      <sz val="11"/>
      <color theme="1"/>
      <name val="Calibri"/>
      <family val="2"/>
      <scheme val="minor"/>
    </font>
    <font>
      <sz val="11"/>
      <name val="Arial Narrow"/>
      <family val="2"/>
    </font>
    <font>
      <b/>
      <sz val="11"/>
      <color indexed="53"/>
      <name val="Arial Narrow"/>
      <family val="2"/>
    </font>
    <font>
      <sz val="18"/>
      <name val="Arial"/>
      <family val="2"/>
    </font>
    <font>
      <sz val="24"/>
      <name val="Arial"/>
      <family val="2"/>
    </font>
    <font>
      <sz val="12"/>
      <color indexed="8"/>
      <name val="Arial Narrow"/>
      <family val="2"/>
    </font>
    <font>
      <b/>
      <sz val="12"/>
      <color indexed="8"/>
      <name val="Arial Narrow"/>
      <family val="2"/>
    </font>
    <font>
      <b/>
      <sz val="12"/>
      <color indexed="53"/>
      <name val="Arial Narrow"/>
      <family val="2"/>
    </font>
    <font>
      <b/>
      <sz val="12"/>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indexed="53"/>
      <name val="Arial Narrow"/>
      <family val="2"/>
    </font>
    <font>
      <b/>
      <sz val="10"/>
      <color indexed="53"/>
      <name val="Arial Narrow"/>
      <family val="2"/>
    </font>
    <font>
      <sz val="11"/>
      <color theme="1"/>
      <name val="Calibri"/>
      <family val="2"/>
      <scheme val="minor"/>
    </font>
    <font>
      <sz val="11"/>
      <color theme="0"/>
      <name val="Calibri"/>
      <family val="2"/>
      <scheme val="minor"/>
    </font>
    <font>
      <sz val="10"/>
      <color theme="1"/>
      <name val="Calibri"/>
      <family val="2"/>
      <scheme val="minor"/>
    </font>
    <font>
      <sz val="11"/>
      <color rgb="FFFF0000"/>
      <name val="Calibri"/>
      <family val="2"/>
      <scheme val="minor"/>
    </font>
    <font>
      <b/>
      <sz val="11"/>
      <color theme="1"/>
      <name val="Calibri"/>
      <family val="2"/>
      <scheme val="minor"/>
    </font>
    <font>
      <sz val="11"/>
      <color theme="1"/>
      <name val="Arial Narrow"/>
      <family val="2"/>
    </font>
    <font>
      <sz val="10"/>
      <color rgb="FF000000"/>
      <name val="Arial Narrow"/>
      <family val="2"/>
    </font>
    <font>
      <b/>
      <sz val="20"/>
      <color rgb="FF000000"/>
      <name val="Arial Narrow"/>
      <family val="2"/>
    </font>
    <font>
      <sz val="20"/>
      <color rgb="FF000000"/>
      <name val="Arial Narrow"/>
      <family val="2"/>
    </font>
    <font>
      <sz val="20"/>
      <color rgb="FFFFFFFF"/>
      <name val="Arial Narrow"/>
      <family val="2"/>
    </font>
    <font>
      <sz val="11"/>
      <name val="Calibri"/>
      <family val="2"/>
      <scheme val="minor"/>
    </font>
    <font>
      <b/>
      <sz val="11"/>
      <color theme="1"/>
      <name val="Arial Narrow"/>
      <family val="2"/>
    </font>
    <font>
      <sz val="16"/>
      <color rgb="FFFF0000"/>
      <name val="Arial Narrow"/>
      <family val="2"/>
    </font>
    <font>
      <sz val="16"/>
      <color rgb="FFFF0000"/>
      <name val="Calibri"/>
      <family val="2"/>
      <scheme val="minor"/>
    </font>
    <font>
      <sz val="16"/>
      <color rgb="FF000000"/>
      <name val="Arial Narrow"/>
      <family val="2"/>
    </font>
    <font>
      <sz val="11"/>
      <color rgb="FF030303"/>
      <name val="Arial"/>
      <family val="2"/>
    </font>
    <font>
      <b/>
      <sz val="24"/>
      <color rgb="FF000000"/>
      <name val="Arial Narrow"/>
      <family val="2"/>
    </font>
    <font>
      <sz val="26"/>
      <color rgb="FF000000"/>
      <name val="Arial Narrow"/>
      <family val="2"/>
    </font>
    <font>
      <sz val="26"/>
      <color rgb="FFFFFFFF"/>
      <name val="Arial Narrow"/>
      <family val="2"/>
    </font>
    <font>
      <b/>
      <sz val="12"/>
      <color rgb="FF000000"/>
      <name val="Calibri"/>
      <family val="2"/>
    </font>
    <font>
      <b/>
      <sz val="18"/>
      <color rgb="FF000000"/>
      <name val="Calibri"/>
      <family val="2"/>
    </font>
    <font>
      <sz val="16"/>
      <color theme="1"/>
      <name val="Calibri"/>
      <family val="2"/>
      <scheme val="minor"/>
    </font>
    <font>
      <sz val="12"/>
      <color theme="1"/>
      <name val="Calibri"/>
      <family val="2"/>
      <scheme val="minor"/>
    </font>
    <font>
      <b/>
      <sz val="12"/>
      <color rgb="FF000000"/>
      <name val="Arial Narrow"/>
      <family val="2"/>
    </font>
    <font>
      <sz val="12"/>
      <color rgb="FF000000"/>
      <name val="Arial Narrow"/>
      <family val="2"/>
    </font>
    <font>
      <b/>
      <sz val="9"/>
      <color theme="1"/>
      <name val="Arial Narrow"/>
      <family val="2"/>
    </font>
    <font>
      <b/>
      <sz val="22"/>
      <color theme="1"/>
      <name val="Arial Narrow"/>
      <family val="2"/>
    </font>
    <font>
      <b/>
      <sz val="28"/>
      <color rgb="FF000000"/>
      <name val="Calibri"/>
      <family val="2"/>
    </font>
    <font>
      <b/>
      <sz val="40"/>
      <color rgb="FF000000"/>
      <name val="Calibri"/>
      <family val="2"/>
    </font>
    <font>
      <sz val="28"/>
      <color theme="1"/>
      <name val="Calibri"/>
      <family val="2"/>
      <scheme val="minor"/>
    </font>
    <font>
      <b/>
      <sz val="36"/>
      <color rgb="FF000000"/>
      <name val="Calibri"/>
      <family val="2"/>
    </font>
    <font>
      <b/>
      <sz val="24"/>
      <color rgb="FF000000"/>
      <name val="Calibri"/>
      <family val="2"/>
    </font>
    <font>
      <b/>
      <sz val="20"/>
      <color theme="1"/>
      <name val="Calibri"/>
      <family val="2"/>
      <scheme val="minor"/>
    </font>
    <font>
      <sz val="24"/>
      <color theme="1"/>
      <name val="Arial Narrow"/>
      <family val="2"/>
    </font>
    <font>
      <sz val="18"/>
      <color theme="1"/>
      <name val="Arial Narrow"/>
      <family val="2"/>
    </font>
    <font>
      <b/>
      <sz val="18"/>
      <color theme="1"/>
      <name val="Arial Narrow"/>
      <family val="2"/>
    </font>
    <font>
      <b/>
      <sz val="26"/>
      <color theme="1"/>
      <name val="Arial Narrow"/>
      <family val="2"/>
    </font>
    <font>
      <b/>
      <sz val="14"/>
      <color rgb="FF000000"/>
      <name val="Arial Narrow"/>
      <family val="2"/>
    </font>
    <font>
      <sz val="12"/>
      <color theme="1"/>
      <name val="Arial Narrow"/>
      <family val="2"/>
    </font>
    <font>
      <b/>
      <sz val="12"/>
      <color theme="1"/>
      <name val="Arial Narrow"/>
      <family val="2"/>
    </font>
    <font>
      <u/>
      <sz val="11"/>
      <color theme="10"/>
      <name val="Calibri"/>
      <family val="2"/>
      <scheme val="minor"/>
    </font>
    <font>
      <b/>
      <sz val="18"/>
      <color rgb="FF000000"/>
      <name val="Arial Narrow"/>
      <family val="2"/>
    </font>
    <font>
      <sz val="15"/>
      <color theme="1"/>
      <name val="Arial Narrow"/>
      <family val="2"/>
    </font>
    <font>
      <b/>
      <sz val="18"/>
      <name val="Arial Narrow"/>
      <family val="2"/>
    </font>
    <font>
      <b/>
      <sz val="26"/>
      <color indexed="81"/>
      <name val="Tahoma"/>
      <family val="2"/>
    </font>
    <font>
      <sz val="26"/>
      <color indexed="81"/>
      <name val="Tahoma"/>
      <family val="2"/>
    </font>
    <font>
      <b/>
      <sz val="36"/>
      <color theme="1"/>
      <name val="Arial Narrow"/>
      <family val="2"/>
    </font>
    <font>
      <b/>
      <sz val="48"/>
      <color theme="1"/>
      <name val="Arial Narrow"/>
      <family val="2"/>
    </font>
    <font>
      <b/>
      <sz val="72"/>
      <color theme="1"/>
      <name val="Arial Narrow"/>
      <family val="2"/>
    </font>
    <font>
      <sz val="26"/>
      <color theme="1"/>
      <name val="Arial Narrow"/>
      <family val="2"/>
    </font>
    <font>
      <sz val="26"/>
      <color theme="1" tint="0.249977111117893"/>
      <name val="Arial Narrow"/>
      <family val="2"/>
    </font>
    <font>
      <b/>
      <i/>
      <sz val="26"/>
      <color theme="1"/>
      <name val="Arial Narrow"/>
      <family val="2"/>
    </font>
    <font>
      <b/>
      <sz val="10"/>
      <color theme="1"/>
      <name val="Arial Narrow"/>
      <family val="2"/>
    </font>
    <font>
      <b/>
      <sz val="24"/>
      <color theme="1"/>
      <name val="Arial Narrow"/>
      <family val="2"/>
    </font>
    <font>
      <b/>
      <sz val="20"/>
      <color theme="1"/>
      <name val="Arial Narrow"/>
      <family val="2"/>
    </font>
    <font>
      <sz val="20"/>
      <color theme="1"/>
      <name val="Arial Narrow"/>
      <family val="2"/>
    </font>
    <font>
      <b/>
      <sz val="20"/>
      <name val="Arial Narrow"/>
      <family val="2"/>
    </font>
    <font>
      <b/>
      <sz val="20"/>
      <color rgb="FFFF0000"/>
      <name val="Arial Narrow"/>
      <family val="2"/>
    </font>
    <font>
      <sz val="20"/>
      <name val="Arial Narrow"/>
      <family val="2"/>
    </font>
    <font>
      <sz val="20"/>
      <color rgb="FFFF0000"/>
      <name val="Arial Narrow"/>
      <family val="2"/>
    </font>
    <font>
      <sz val="20"/>
      <color theme="1"/>
      <name val="Arial"/>
      <family val="2"/>
    </font>
    <font>
      <b/>
      <sz val="20"/>
      <color indexed="53"/>
      <name val="Arial Narrow"/>
      <family val="2"/>
    </font>
    <font>
      <sz val="20"/>
      <color indexed="8"/>
      <name val="Arial Narrow"/>
      <family val="2"/>
    </font>
    <font>
      <b/>
      <sz val="16"/>
      <color indexed="81"/>
      <name val="Tahoma"/>
      <family val="2"/>
    </font>
    <font>
      <i/>
      <u/>
      <sz val="24"/>
      <color theme="1"/>
      <name val="Arial Narrow"/>
      <family val="2"/>
    </font>
    <font>
      <b/>
      <u/>
      <sz val="24"/>
      <color theme="1"/>
      <name val="Arial Narrow"/>
      <family val="2"/>
    </font>
    <font>
      <sz val="18"/>
      <name val="Arial Narrow"/>
      <family val="2"/>
    </font>
    <font>
      <u/>
      <sz val="18"/>
      <color theme="1"/>
      <name val="Arial Narrow"/>
      <family val="2"/>
    </font>
    <font>
      <sz val="18"/>
      <color rgb="FFFF0000"/>
      <name val="Arial Narrow"/>
      <family val="2"/>
    </font>
    <font>
      <i/>
      <sz val="18"/>
      <name val="Arial Narrow"/>
      <family val="2"/>
    </font>
    <font>
      <sz val="18"/>
      <color rgb="FF000000"/>
      <name val="Arial Narrow"/>
      <family val="2"/>
    </font>
    <font>
      <i/>
      <sz val="18"/>
      <color theme="1"/>
      <name val="Arial Narrow"/>
      <family val="2"/>
    </font>
    <font>
      <u/>
      <sz val="18"/>
      <color theme="3" tint="0.39997558519241921"/>
      <name val="Arial Narrow"/>
      <family val="2"/>
    </font>
  </fonts>
  <fills count="26">
    <fill>
      <patternFill patternType="none"/>
    </fill>
    <fill>
      <patternFill patternType="gray125"/>
    </fill>
    <fill>
      <patternFill patternType="solid">
        <fgColor theme="0"/>
        <bgColor indexed="64"/>
      </patternFill>
    </fill>
    <fill>
      <patternFill patternType="solid">
        <fgColor rgb="FFBFBFBF"/>
        <bgColor indexed="64"/>
      </patternFill>
    </fill>
    <fill>
      <patternFill patternType="solid">
        <fgColor rgb="FF92D050"/>
        <bgColor indexed="64"/>
      </patternFill>
    </fill>
    <fill>
      <patternFill patternType="solid">
        <fgColor rgb="FF00B050"/>
        <bgColor indexed="64"/>
      </patternFill>
    </fill>
    <fill>
      <patternFill patternType="solid">
        <fgColor rgb="FFFFFF66"/>
        <bgColor indexed="64"/>
      </patternFill>
    </fill>
    <fill>
      <patternFill patternType="solid">
        <fgColor rgb="FFFFC000"/>
        <bgColor indexed="64"/>
      </patternFill>
    </fill>
    <fill>
      <patternFill patternType="solid">
        <fgColor rgb="FFFF0000"/>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rgb="FFD9D9D9"/>
        <bgColor indexed="64"/>
      </patternFill>
    </fill>
    <fill>
      <patternFill patternType="solid">
        <fgColor theme="6" tint="0.39997558519241921"/>
        <bgColor indexed="64"/>
      </patternFill>
    </fill>
    <fill>
      <patternFill patternType="solid">
        <fgColor theme="8" tint="0.59999389629810485"/>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6" tint="0.79998168889431442"/>
        <bgColor indexed="64"/>
      </patternFill>
    </fill>
    <fill>
      <patternFill patternType="solid">
        <fgColor theme="4" tint="0.79998168889431442"/>
        <bgColor indexed="64"/>
      </patternFill>
    </fill>
  </fills>
  <borders count="10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top style="hair">
        <color indexed="64"/>
      </top>
      <bottom style="hair">
        <color indexed="64"/>
      </bottom>
      <diagonal/>
    </border>
    <border>
      <left/>
      <right style="double">
        <color indexed="64"/>
      </right>
      <top style="hair">
        <color indexed="64"/>
      </top>
      <bottom style="hair">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double">
        <color indexed="64"/>
      </left>
      <right/>
      <top style="double">
        <color indexed="64"/>
      </top>
      <bottom/>
      <diagonal/>
    </border>
    <border>
      <left/>
      <right style="double">
        <color indexed="64"/>
      </right>
      <top style="double">
        <color indexed="64"/>
      </top>
      <bottom style="thin">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double">
        <color indexed="64"/>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dashed">
        <color indexed="64"/>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dotted">
        <color rgb="FFF79646"/>
      </left>
      <right style="dotted">
        <color rgb="FFF79646"/>
      </right>
      <top style="dotted">
        <color rgb="FFF79646"/>
      </top>
      <bottom style="dotted">
        <color rgb="FFF79646"/>
      </bottom>
      <diagonal/>
    </border>
    <border>
      <left style="dotted">
        <color rgb="FFF79646"/>
      </left>
      <right style="dotted">
        <color rgb="FFF79646"/>
      </right>
      <top/>
      <bottom style="dotted">
        <color rgb="FFF79646"/>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medium">
        <color indexed="8"/>
      </left>
      <right/>
      <top/>
      <bottom/>
      <diagonal/>
    </border>
    <border>
      <left/>
      <right style="medium">
        <color indexed="8"/>
      </right>
      <top/>
      <bottom/>
      <diagonal/>
    </border>
    <border>
      <left/>
      <right/>
      <top style="medium">
        <color indexed="8"/>
      </top>
      <bottom/>
      <diagonal/>
    </border>
    <border>
      <left style="medium">
        <color indexed="8"/>
      </left>
      <right/>
      <top style="medium">
        <color indexed="8"/>
      </top>
      <bottom/>
      <diagonal/>
    </border>
    <border>
      <left/>
      <right style="medium">
        <color indexed="8"/>
      </right>
      <top style="medium">
        <color indexed="8"/>
      </top>
      <bottom/>
      <diagonal/>
    </border>
    <border>
      <left/>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style="double">
        <color indexed="64"/>
      </right>
      <top style="double">
        <color indexed="64"/>
      </top>
      <bottom style="double">
        <color indexed="64"/>
      </bottom>
      <diagonal/>
    </border>
    <border>
      <left style="medium">
        <color indexed="64"/>
      </left>
      <right style="double">
        <color indexed="64"/>
      </right>
      <top style="medium">
        <color indexed="64"/>
      </top>
      <bottom style="double">
        <color indexed="64"/>
      </bottom>
      <diagonal/>
    </border>
    <border>
      <left style="double">
        <color indexed="64"/>
      </left>
      <right style="double">
        <color indexed="64"/>
      </right>
      <top style="medium">
        <color indexed="64"/>
      </top>
      <bottom style="double">
        <color indexed="64"/>
      </bottom>
      <diagonal/>
    </border>
    <border>
      <left style="double">
        <color indexed="64"/>
      </left>
      <right style="medium">
        <color indexed="64"/>
      </right>
      <top style="medium">
        <color indexed="64"/>
      </top>
      <bottom style="double">
        <color indexed="64"/>
      </bottom>
      <diagonal/>
    </border>
    <border>
      <left style="medium">
        <color indexed="64"/>
      </left>
      <right style="double">
        <color indexed="64"/>
      </right>
      <top style="double">
        <color indexed="64"/>
      </top>
      <bottom style="double">
        <color indexed="64"/>
      </bottom>
      <diagonal/>
    </border>
    <border>
      <left style="double">
        <color indexed="64"/>
      </left>
      <right style="medium">
        <color indexed="64"/>
      </right>
      <top style="double">
        <color indexed="64"/>
      </top>
      <bottom style="double">
        <color indexed="64"/>
      </bottom>
      <diagonal/>
    </border>
    <border>
      <left style="medium">
        <color indexed="64"/>
      </left>
      <right style="double">
        <color indexed="64"/>
      </right>
      <top style="double">
        <color indexed="64"/>
      </top>
      <bottom style="medium">
        <color indexed="64"/>
      </bottom>
      <diagonal/>
    </border>
    <border>
      <left style="double">
        <color indexed="64"/>
      </left>
      <right style="double">
        <color indexed="64"/>
      </right>
      <top style="double">
        <color indexed="64"/>
      </top>
      <bottom style="medium">
        <color indexed="64"/>
      </bottom>
      <diagonal/>
    </border>
    <border>
      <left style="double">
        <color indexed="64"/>
      </left>
      <right style="medium">
        <color indexed="64"/>
      </right>
      <top style="double">
        <color indexed="64"/>
      </top>
      <bottom style="medium">
        <color indexed="64"/>
      </bottom>
      <diagonal/>
    </border>
    <border>
      <left style="double">
        <color indexed="64"/>
      </left>
      <right style="double">
        <color indexed="64"/>
      </right>
      <top style="double">
        <color indexed="64"/>
      </top>
      <bottom/>
      <diagonal/>
    </border>
    <border>
      <left style="medium">
        <color indexed="64"/>
      </left>
      <right style="double">
        <color indexed="64"/>
      </right>
      <top style="double">
        <color indexed="64"/>
      </top>
      <bottom/>
      <diagonal/>
    </border>
    <border>
      <left style="double">
        <color indexed="64"/>
      </left>
      <right style="double">
        <color indexed="64"/>
      </right>
      <top/>
      <bottom/>
      <diagonal/>
    </border>
    <border>
      <left style="double">
        <color indexed="64"/>
      </left>
      <right style="double">
        <color indexed="64"/>
      </right>
      <top/>
      <bottom style="double">
        <color indexed="64"/>
      </bottom>
      <diagonal/>
    </border>
    <border>
      <left style="medium">
        <color indexed="64"/>
      </left>
      <right style="double">
        <color indexed="64"/>
      </right>
      <top/>
      <bottom/>
      <diagonal/>
    </border>
    <border>
      <left style="dashed">
        <color indexed="64"/>
      </left>
      <right/>
      <top style="double">
        <color indexed="64"/>
      </top>
      <bottom style="dashed">
        <color theme="9" tint="-0.24994659260841701"/>
      </bottom>
      <diagonal/>
    </border>
    <border>
      <left/>
      <right/>
      <top style="double">
        <color indexed="64"/>
      </top>
      <bottom style="dashed">
        <color theme="9" tint="-0.24994659260841701"/>
      </bottom>
      <diagonal/>
    </border>
    <border>
      <left/>
      <right style="dashed">
        <color theme="9" tint="-0.24994659260841701"/>
      </right>
      <top style="double">
        <color indexed="64"/>
      </top>
      <bottom style="dashed">
        <color theme="9" tint="-0.24994659260841701"/>
      </bottom>
      <diagonal/>
    </border>
  </borders>
  <cellStyleXfs count="6">
    <xf numFmtId="0" fontId="0" fillId="0" borderId="0"/>
    <xf numFmtId="0" fontId="9" fillId="0" borderId="0"/>
    <xf numFmtId="0" fontId="22" fillId="0" borderId="0"/>
    <xf numFmtId="0" fontId="10" fillId="0" borderId="0"/>
    <xf numFmtId="9" fontId="20" fillId="0" borderId="0" applyFont="0" applyFill="0" applyBorder="0" applyAlignment="0" applyProtection="0"/>
    <xf numFmtId="0" fontId="60" fillId="0" borderId="0" applyNumberFormat="0" applyFill="0" applyBorder="0" applyAlignment="0" applyProtection="0"/>
  </cellStyleXfs>
  <cellXfs count="684">
    <xf numFmtId="0" fontId="0" fillId="0" borderId="0" xfId="0"/>
    <xf numFmtId="0" fontId="22" fillId="0" borderId="0" xfId="0" applyFont="1"/>
    <xf numFmtId="0" fontId="26" fillId="0" borderId="54" xfId="0" applyFont="1" applyBorder="1" applyAlignment="1">
      <alignment horizontal="left" vertical="center" wrapText="1" indent="1" readingOrder="1"/>
    </xf>
    <xf numFmtId="0" fontId="3" fillId="0" borderId="0" xfId="0" applyFont="1" applyAlignment="1">
      <alignment horizontal="center" vertical="center" wrapText="1"/>
    </xf>
    <xf numFmtId="0" fontId="27" fillId="3" borderId="0" xfId="0" applyFont="1" applyFill="1" applyAlignment="1">
      <alignment horizontal="center" vertical="center" wrapText="1" readingOrder="1"/>
    </xf>
    <xf numFmtId="0" fontId="28" fillId="4" borderId="55" xfId="0" applyFont="1" applyFill="1" applyBorder="1" applyAlignment="1">
      <alignment horizontal="center" vertical="center" wrapText="1" readingOrder="1"/>
    </xf>
    <xf numFmtId="0" fontId="28" fillId="0" borderId="55" xfId="0" applyFont="1" applyBorder="1" applyAlignment="1">
      <alignment horizontal="justify" vertical="center" wrapText="1" readingOrder="1"/>
    </xf>
    <xf numFmtId="9" fontId="28" fillId="0" borderId="55" xfId="0" applyNumberFormat="1" applyFont="1" applyBorder="1" applyAlignment="1">
      <alignment horizontal="center" vertical="center" wrapText="1" readingOrder="1"/>
    </xf>
    <xf numFmtId="0" fontId="28" fillId="5" borderId="54" xfId="0" applyFont="1" applyFill="1" applyBorder="1" applyAlignment="1">
      <alignment horizontal="center" vertical="center" wrapText="1" readingOrder="1"/>
    </xf>
    <xf numFmtId="0" fontId="28" fillId="0" borderId="54" xfId="0" applyFont="1" applyBorder="1" applyAlignment="1">
      <alignment horizontal="justify" vertical="center" wrapText="1" readingOrder="1"/>
    </xf>
    <xf numFmtId="9" fontId="28" fillId="0" borderId="54" xfId="0" applyNumberFormat="1" applyFont="1" applyBorder="1" applyAlignment="1">
      <alignment horizontal="center" vertical="center" wrapText="1" readingOrder="1"/>
    </xf>
    <xf numFmtId="0" fontId="28" fillId="6" borderId="54" xfId="0" applyFont="1" applyFill="1" applyBorder="1" applyAlignment="1">
      <alignment horizontal="center" vertical="center" wrapText="1" readingOrder="1"/>
    </xf>
    <xf numFmtId="0" fontId="28" fillId="7" borderId="54" xfId="0" applyFont="1" applyFill="1" applyBorder="1" applyAlignment="1">
      <alignment horizontal="center" vertical="center" wrapText="1" readingOrder="1"/>
    </xf>
    <xf numFmtId="0" fontId="29" fillId="8" borderId="54" xfId="0" applyFont="1" applyFill="1" applyBorder="1" applyAlignment="1">
      <alignment horizontal="center" vertical="center" wrapText="1" readingOrder="1"/>
    </xf>
    <xf numFmtId="0" fontId="30" fillId="0" borderId="0" xfId="0" applyFont="1"/>
    <xf numFmtId="0" fontId="21" fillId="0" borderId="0" xfId="0" applyFont="1"/>
    <xf numFmtId="0" fontId="32" fillId="0" borderId="0" xfId="0" applyFont="1" applyAlignment="1">
      <alignment vertical="center"/>
    </xf>
    <xf numFmtId="0" fontId="33" fillId="0" borderId="0" xfId="0" applyFont="1"/>
    <xf numFmtId="0" fontId="23" fillId="0" borderId="0" xfId="0" applyFont="1"/>
    <xf numFmtId="0" fontId="0" fillId="0" borderId="0" xfId="0" pivotButton="1"/>
    <xf numFmtId="0" fontId="34" fillId="0" borderId="0" xfId="0" applyFont="1" applyAlignment="1">
      <alignment horizontal="justify" vertical="center" wrapText="1" readingOrder="1"/>
    </xf>
    <xf numFmtId="0" fontId="35" fillId="0" borderId="0" xfId="0" applyFont="1"/>
    <xf numFmtId="0" fontId="36" fillId="3" borderId="0" xfId="0" applyFont="1" applyFill="1" applyAlignment="1">
      <alignment horizontal="center" vertical="center" wrapText="1" readingOrder="1"/>
    </xf>
    <xf numFmtId="0" fontId="37" fillId="0" borderId="55" xfId="0" applyFont="1" applyBorder="1" applyAlignment="1">
      <alignment horizontal="justify" vertical="center" wrapText="1" readingOrder="1"/>
    </xf>
    <xf numFmtId="0" fontId="37" fillId="0" borderId="54" xfId="0" applyFont="1" applyBorder="1" applyAlignment="1">
      <alignment horizontal="justify" vertical="center" wrapText="1" readingOrder="1"/>
    </xf>
    <xf numFmtId="0" fontId="37" fillId="4" borderId="55" xfId="0" applyFont="1" applyFill="1" applyBorder="1" applyAlignment="1">
      <alignment horizontal="center" vertical="center" wrapText="1" readingOrder="1"/>
    </xf>
    <xf numFmtId="0" fontId="37" fillId="5" borderId="54" xfId="0" applyFont="1" applyFill="1" applyBorder="1" applyAlignment="1">
      <alignment horizontal="center" vertical="center" wrapText="1" readingOrder="1"/>
    </xf>
    <xf numFmtId="0" fontId="37" fillId="6" borderId="54" xfId="0" applyFont="1" applyFill="1" applyBorder="1" applyAlignment="1">
      <alignment horizontal="center" vertical="center" wrapText="1" readingOrder="1"/>
    </xf>
    <xf numFmtId="0" fontId="37" fillId="7" borderId="54" xfId="0" applyFont="1" applyFill="1" applyBorder="1" applyAlignment="1">
      <alignment horizontal="center" vertical="center" wrapText="1" readingOrder="1"/>
    </xf>
    <xf numFmtId="0" fontId="38" fillId="8" borderId="54" xfId="0" applyFont="1" applyFill="1" applyBorder="1" applyAlignment="1">
      <alignment horizontal="center" vertical="center" wrapText="1" readingOrder="1"/>
    </xf>
    <xf numFmtId="0" fontId="37" fillId="0" borderId="55" xfId="0" applyFont="1" applyBorder="1" applyAlignment="1">
      <alignment horizontal="center" vertical="center" wrapText="1" readingOrder="1"/>
    </xf>
    <xf numFmtId="0" fontId="37" fillId="0" borderId="54" xfId="0" applyFont="1" applyBorder="1" applyAlignment="1">
      <alignment horizontal="center" vertical="center" wrapText="1" readingOrder="1"/>
    </xf>
    <xf numFmtId="0" fontId="39" fillId="9" borderId="1" xfId="0" applyFont="1" applyFill="1" applyBorder="1" applyAlignment="1" applyProtection="1">
      <alignment horizontal="center" vertical="center" wrapText="1" readingOrder="1"/>
      <protection hidden="1"/>
    </xf>
    <xf numFmtId="0" fontId="39" fillId="9" borderId="2" xfId="0" applyFont="1" applyFill="1" applyBorder="1" applyAlignment="1" applyProtection="1">
      <alignment horizontal="center" vertical="center" wrapText="1" readingOrder="1"/>
      <protection hidden="1"/>
    </xf>
    <xf numFmtId="0" fontId="39" fillId="9" borderId="3" xfId="0" applyFont="1" applyFill="1" applyBorder="1" applyAlignment="1" applyProtection="1">
      <alignment horizontal="center" vertical="center" wrapText="1" readingOrder="1"/>
      <protection hidden="1"/>
    </xf>
    <xf numFmtId="0" fontId="39" fillId="10" borderId="1" xfId="0" applyFont="1" applyFill="1" applyBorder="1" applyAlignment="1" applyProtection="1">
      <alignment horizontal="center" wrapText="1" readingOrder="1"/>
      <protection hidden="1"/>
    </xf>
    <xf numFmtId="0" fontId="39" fillId="10" borderId="2" xfId="0" applyFont="1" applyFill="1" applyBorder="1" applyAlignment="1" applyProtection="1">
      <alignment horizontal="center" wrapText="1" readingOrder="1"/>
      <protection hidden="1"/>
    </xf>
    <xf numFmtId="0" fontId="39" fillId="10" borderId="3" xfId="0" applyFont="1" applyFill="1" applyBorder="1" applyAlignment="1" applyProtection="1">
      <alignment horizontal="center" wrapText="1" readingOrder="1"/>
      <protection hidden="1"/>
    </xf>
    <xf numFmtId="0" fontId="39" fillId="9" borderId="4" xfId="0" applyFont="1" applyFill="1" applyBorder="1" applyAlignment="1" applyProtection="1">
      <alignment horizontal="center" vertical="center" wrapText="1" readingOrder="1"/>
      <protection hidden="1"/>
    </xf>
    <xf numFmtId="0" fontId="39" fillId="9" borderId="0" xfId="0" applyFont="1" applyFill="1" applyAlignment="1" applyProtection="1">
      <alignment horizontal="center" vertical="center" wrapText="1" readingOrder="1"/>
      <protection hidden="1"/>
    </xf>
    <xf numFmtId="0" fontId="39" fillId="9" borderId="5" xfId="0" applyFont="1" applyFill="1" applyBorder="1" applyAlignment="1" applyProtection="1">
      <alignment horizontal="center" vertical="center" wrapText="1" readingOrder="1"/>
      <protection hidden="1"/>
    </xf>
    <xf numFmtId="0" fontId="39" fillId="10" borderId="4" xfId="0" applyFont="1" applyFill="1" applyBorder="1" applyAlignment="1" applyProtection="1">
      <alignment horizontal="center" wrapText="1" readingOrder="1"/>
      <protection hidden="1"/>
    </xf>
    <xf numFmtId="0" fontId="39" fillId="10" borderId="0" xfId="0" applyFont="1" applyFill="1" applyAlignment="1" applyProtection="1">
      <alignment horizontal="center" wrapText="1" readingOrder="1"/>
      <protection hidden="1"/>
    </xf>
    <xf numFmtId="0" fontId="39" fillId="10" borderId="5" xfId="0" applyFont="1" applyFill="1" applyBorder="1" applyAlignment="1" applyProtection="1">
      <alignment horizontal="center" wrapText="1" readingOrder="1"/>
      <protection hidden="1"/>
    </xf>
    <xf numFmtId="0" fontId="39" fillId="9" borderId="6" xfId="0" applyFont="1" applyFill="1" applyBorder="1" applyAlignment="1" applyProtection="1">
      <alignment horizontal="center" vertical="center" wrapText="1" readingOrder="1"/>
      <protection hidden="1"/>
    </xf>
    <xf numFmtId="0" fontId="39" fillId="9" borderId="7" xfId="0" applyFont="1" applyFill="1" applyBorder="1" applyAlignment="1" applyProtection="1">
      <alignment horizontal="center" vertical="center" wrapText="1" readingOrder="1"/>
      <protection hidden="1"/>
    </xf>
    <xf numFmtId="0" fontId="39" fillId="9" borderId="8" xfId="0" applyFont="1" applyFill="1" applyBorder="1" applyAlignment="1" applyProtection="1">
      <alignment horizontal="center" vertical="center" wrapText="1" readingOrder="1"/>
      <protection hidden="1"/>
    </xf>
    <xf numFmtId="0" fontId="39" fillId="10" borderId="6" xfId="0" applyFont="1" applyFill="1" applyBorder="1" applyAlignment="1" applyProtection="1">
      <alignment horizontal="center" wrapText="1" readingOrder="1"/>
      <protection hidden="1"/>
    </xf>
    <xf numFmtId="0" fontId="39" fillId="10" borderId="7" xfId="0" applyFont="1" applyFill="1" applyBorder="1" applyAlignment="1" applyProtection="1">
      <alignment horizontal="center" wrapText="1" readingOrder="1"/>
      <protection hidden="1"/>
    </xf>
    <xf numFmtId="0" fontId="39" fillId="10" borderId="8" xfId="0" applyFont="1" applyFill="1" applyBorder="1" applyAlignment="1" applyProtection="1">
      <alignment horizontal="center" wrapText="1" readingOrder="1"/>
      <protection hidden="1"/>
    </xf>
    <xf numFmtId="0" fontId="39" fillId="11" borderId="1" xfId="0" applyFont="1" applyFill="1" applyBorder="1" applyAlignment="1" applyProtection="1">
      <alignment horizontal="center" wrapText="1" readingOrder="1"/>
      <protection hidden="1"/>
    </xf>
    <xf numFmtId="0" fontId="39" fillId="11" borderId="2" xfId="0" applyFont="1" applyFill="1" applyBorder="1" applyAlignment="1" applyProtection="1">
      <alignment horizontal="center" wrapText="1" readingOrder="1"/>
      <protection hidden="1"/>
    </xf>
    <xf numFmtId="0" fontId="39" fillId="11" borderId="3" xfId="0" applyFont="1" applyFill="1" applyBorder="1" applyAlignment="1" applyProtection="1">
      <alignment horizontal="center" wrapText="1" readingOrder="1"/>
      <protection hidden="1"/>
    </xf>
    <xf numFmtId="0" fontId="39" fillId="11" borderId="4" xfId="0" applyFont="1" applyFill="1" applyBorder="1" applyAlignment="1" applyProtection="1">
      <alignment horizontal="center" wrapText="1" readingOrder="1"/>
      <protection hidden="1"/>
    </xf>
    <xf numFmtId="0" fontId="39" fillId="11" borderId="0" xfId="0" applyFont="1" applyFill="1" applyAlignment="1" applyProtection="1">
      <alignment horizontal="center" wrapText="1" readingOrder="1"/>
      <protection hidden="1"/>
    </xf>
    <xf numFmtId="0" fontId="39" fillId="11" borderId="5" xfId="0" applyFont="1" applyFill="1" applyBorder="1" applyAlignment="1" applyProtection="1">
      <alignment horizontal="center" wrapText="1" readingOrder="1"/>
      <protection hidden="1"/>
    </xf>
    <xf numFmtId="0" fontId="39" fillId="11" borderId="6" xfId="0" applyFont="1" applyFill="1" applyBorder="1" applyAlignment="1" applyProtection="1">
      <alignment horizontal="center" wrapText="1" readingOrder="1"/>
      <protection hidden="1"/>
    </xf>
    <xf numFmtId="0" fontId="39" fillId="11" borderId="7" xfId="0" applyFont="1" applyFill="1" applyBorder="1" applyAlignment="1" applyProtection="1">
      <alignment horizontal="center" wrapText="1" readingOrder="1"/>
      <protection hidden="1"/>
    </xf>
    <xf numFmtId="0" fontId="39" fillId="11" borderId="8" xfId="0" applyFont="1" applyFill="1" applyBorder="1" applyAlignment="1" applyProtection="1">
      <alignment horizontal="center" wrapText="1" readingOrder="1"/>
      <protection hidden="1"/>
    </xf>
    <xf numFmtId="0" fontId="39" fillId="4" borderId="1" xfId="0" applyFont="1" applyFill="1" applyBorder="1" applyAlignment="1" applyProtection="1">
      <alignment horizontal="center" wrapText="1" readingOrder="1"/>
      <protection hidden="1"/>
    </xf>
    <xf numFmtId="0" fontId="39" fillId="4" borderId="2" xfId="0" applyFont="1" applyFill="1" applyBorder="1" applyAlignment="1" applyProtection="1">
      <alignment horizontal="center" wrapText="1" readingOrder="1"/>
      <protection hidden="1"/>
    </xf>
    <xf numFmtId="0" fontId="39" fillId="4" borderId="3" xfId="0" applyFont="1" applyFill="1" applyBorder="1" applyAlignment="1" applyProtection="1">
      <alignment horizontal="center" wrapText="1" readingOrder="1"/>
      <protection hidden="1"/>
    </xf>
    <xf numFmtId="0" fontId="39" fillId="4" borderId="4" xfId="0" applyFont="1" applyFill="1" applyBorder="1" applyAlignment="1" applyProtection="1">
      <alignment horizontal="center" wrapText="1" readingOrder="1"/>
      <protection hidden="1"/>
    </xf>
    <xf numFmtId="0" fontId="39" fillId="4" borderId="0" xfId="0" applyFont="1" applyFill="1" applyAlignment="1" applyProtection="1">
      <alignment horizontal="center" wrapText="1" readingOrder="1"/>
      <protection hidden="1"/>
    </xf>
    <xf numFmtId="0" fontId="39" fillId="4" borderId="5" xfId="0" applyFont="1" applyFill="1" applyBorder="1" applyAlignment="1" applyProtection="1">
      <alignment horizontal="center" wrapText="1" readingOrder="1"/>
      <protection hidden="1"/>
    </xf>
    <xf numFmtId="0" fontId="39" fillId="4" borderId="6" xfId="0" applyFont="1" applyFill="1" applyBorder="1" applyAlignment="1" applyProtection="1">
      <alignment horizontal="center" wrapText="1" readingOrder="1"/>
      <protection hidden="1"/>
    </xf>
    <xf numFmtId="0" fontId="39" fillId="4" borderId="7" xfId="0" applyFont="1" applyFill="1" applyBorder="1" applyAlignment="1" applyProtection="1">
      <alignment horizontal="center" wrapText="1" readingOrder="1"/>
      <protection hidden="1"/>
    </xf>
    <xf numFmtId="0" fontId="39" fillId="4" borderId="8" xfId="0" applyFont="1" applyFill="1" applyBorder="1" applyAlignment="1" applyProtection="1">
      <alignment horizontal="center" wrapText="1" readingOrder="1"/>
      <protection hidden="1"/>
    </xf>
    <xf numFmtId="0" fontId="40" fillId="11" borderId="2" xfId="0" applyFont="1" applyFill="1" applyBorder="1" applyAlignment="1" applyProtection="1">
      <alignment horizontal="center" wrapText="1" readingOrder="1"/>
      <protection hidden="1"/>
    </xf>
    <xf numFmtId="0" fontId="0" fillId="2" borderId="0" xfId="0" applyFill="1"/>
    <xf numFmtId="0" fontId="11" fillId="2" borderId="9" xfId="1" applyFont="1" applyFill="1" applyBorder="1"/>
    <xf numFmtId="0" fontId="11" fillId="2" borderId="10" xfId="1" applyFont="1" applyFill="1" applyBorder="1"/>
    <xf numFmtId="0" fontId="11" fillId="2" borderId="11" xfId="1" applyFont="1" applyFill="1" applyBorder="1"/>
    <xf numFmtId="0" fontId="41" fillId="2" borderId="0" xfId="0" applyFont="1" applyFill="1" applyAlignment="1">
      <alignment vertical="center"/>
    </xf>
    <xf numFmtId="0" fontId="22" fillId="2" borderId="0" xfId="0" applyFont="1" applyFill="1"/>
    <xf numFmtId="0" fontId="42" fillId="2" borderId="0" xfId="0" applyFont="1" applyFill="1"/>
    <xf numFmtId="0" fontId="43" fillId="2" borderId="12" xfId="0" applyFont="1" applyFill="1" applyBorder="1" applyAlignment="1">
      <alignment horizontal="center" vertical="center" wrapText="1" readingOrder="1"/>
    </xf>
    <xf numFmtId="0" fontId="44" fillId="2" borderId="12" xfId="0" applyFont="1" applyFill="1" applyBorder="1" applyAlignment="1">
      <alignment horizontal="justify" vertical="center" wrapText="1" readingOrder="1"/>
    </xf>
    <xf numFmtId="9" fontId="43" fillId="2" borderId="13" xfId="0" applyNumberFormat="1" applyFont="1" applyFill="1" applyBorder="1" applyAlignment="1">
      <alignment horizontal="center" vertical="center" wrapText="1" readingOrder="1"/>
    </xf>
    <xf numFmtId="0" fontId="43" fillId="2" borderId="14" xfId="0" applyFont="1" applyFill="1" applyBorder="1" applyAlignment="1">
      <alignment horizontal="center" vertical="center" wrapText="1" readingOrder="1"/>
    </xf>
    <xf numFmtId="0" fontId="44" fillId="2" borderId="14" xfId="0" applyFont="1" applyFill="1" applyBorder="1" applyAlignment="1">
      <alignment horizontal="justify" vertical="center" wrapText="1" readingOrder="1"/>
    </xf>
    <xf numFmtId="9" fontId="43" fillId="2" borderId="15" xfId="0" applyNumberFormat="1" applyFont="1" applyFill="1" applyBorder="1" applyAlignment="1">
      <alignment horizontal="center" vertical="center" wrapText="1" readingOrder="1"/>
    </xf>
    <xf numFmtId="0" fontId="44" fillId="2" borderId="15" xfId="0" applyFont="1" applyFill="1" applyBorder="1" applyAlignment="1">
      <alignment horizontal="center" vertical="center" wrapText="1" readingOrder="1"/>
    </xf>
    <xf numFmtId="0" fontId="43" fillId="2" borderId="16" xfId="0" applyFont="1" applyFill="1" applyBorder="1" applyAlignment="1">
      <alignment horizontal="center" vertical="center" wrapText="1" readingOrder="1"/>
    </xf>
    <xf numFmtId="0" fontId="44" fillId="2" borderId="16" xfId="0" applyFont="1" applyFill="1" applyBorder="1" applyAlignment="1">
      <alignment horizontal="justify" vertical="center" wrapText="1" readingOrder="1"/>
    </xf>
    <xf numFmtId="0" fontId="44" fillId="2" borderId="17" xfId="0" applyFont="1" applyFill="1" applyBorder="1" applyAlignment="1">
      <alignment horizontal="center" vertical="center" wrapText="1" readingOrder="1"/>
    </xf>
    <xf numFmtId="0" fontId="45" fillId="2" borderId="0" xfId="0" applyFont="1" applyFill="1"/>
    <xf numFmtId="0" fontId="43" fillId="12" borderId="18" xfId="0" applyFont="1" applyFill="1" applyBorder="1" applyAlignment="1">
      <alignment horizontal="center" vertical="center" wrapText="1" readingOrder="1"/>
    </xf>
    <xf numFmtId="0" fontId="43" fillId="12" borderId="19" xfId="0" applyFont="1" applyFill="1" applyBorder="1" applyAlignment="1">
      <alignment horizontal="center" vertical="center" wrapText="1" readingOrder="1"/>
    </xf>
    <xf numFmtId="0" fontId="21" fillId="2" borderId="0" xfId="0" applyFont="1" applyFill="1"/>
    <xf numFmtId="0" fontId="4" fillId="2" borderId="0" xfId="0" applyFont="1" applyFill="1" applyAlignment="1">
      <alignment horizontal="center" vertical="center" wrapText="1"/>
    </xf>
    <xf numFmtId="0" fontId="34" fillId="2" borderId="0" xfId="0" applyFont="1" applyFill="1" applyAlignment="1">
      <alignment horizontal="justify" vertical="center" wrapText="1" readingOrder="1"/>
    </xf>
    <xf numFmtId="0" fontId="30" fillId="2" borderId="0" xfId="0" applyFont="1" applyFill="1"/>
    <xf numFmtId="0" fontId="31" fillId="2" borderId="0" xfId="0" applyFont="1" applyFill="1" applyAlignment="1">
      <alignment horizontal="left" vertical="center"/>
    </xf>
    <xf numFmtId="0" fontId="11" fillId="2" borderId="4" xfId="1" applyFont="1" applyFill="1" applyBorder="1"/>
    <xf numFmtId="0" fontId="16" fillId="2" borderId="0" xfId="0" applyFont="1" applyFill="1" applyAlignment="1">
      <alignment horizontal="left" vertical="center" wrapText="1"/>
    </xf>
    <xf numFmtId="0" fontId="17" fillId="2" borderId="0" xfId="0" applyFont="1" applyFill="1" applyAlignment="1">
      <alignment horizontal="left" vertical="top" wrapText="1"/>
    </xf>
    <xf numFmtId="0" fontId="11" fillId="2" borderId="0" xfId="1" applyFont="1" applyFill="1"/>
    <xf numFmtId="0" fontId="11" fillId="2" borderId="5" xfId="1" applyFont="1" applyFill="1" applyBorder="1"/>
    <xf numFmtId="0" fontId="11" fillId="2" borderId="6" xfId="1" applyFont="1" applyFill="1" applyBorder="1"/>
    <xf numFmtId="0" fontId="11" fillId="2" borderId="7" xfId="1" applyFont="1" applyFill="1" applyBorder="1"/>
    <xf numFmtId="0" fontId="11" fillId="2" borderId="8" xfId="1" applyFont="1" applyFill="1" applyBorder="1"/>
    <xf numFmtId="0" fontId="15" fillId="2" borderId="0" xfId="1" applyFont="1" applyFill="1" applyAlignment="1">
      <alignment horizontal="left" vertical="center" wrapText="1"/>
    </xf>
    <xf numFmtId="0" fontId="11" fillId="2" borderId="0" xfId="1" applyFont="1" applyFill="1" applyAlignment="1">
      <alignment horizontal="left" vertical="center" wrapText="1"/>
    </xf>
    <xf numFmtId="0" fontId="11" fillId="2" borderId="0" xfId="1" quotePrefix="1" applyFont="1" applyFill="1" applyAlignment="1">
      <alignment horizontal="left" vertical="center" wrapText="1"/>
    </xf>
    <xf numFmtId="0" fontId="13" fillId="2" borderId="4" xfId="1" quotePrefix="1" applyFont="1" applyFill="1" applyBorder="1" applyAlignment="1">
      <alignment horizontal="left" vertical="top" wrapText="1"/>
    </xf>
    <xf numFmtId="0" fontId="14" fillId="2" borderId="0" xfId="1" quotePrefix="1" applyFont="1" applyFill="1" applyAlignment="1">
      <alignment horizontal="left" vertical="top" wrapText="1"/>
    </xf>
    <xf numFmtId="0" fontId="14" fillId="2" borderId="5" xfId="1" quotePrefix="1" applyFont="1" applyFill="1" applyBorder="1" applyAlignment="1">
      <alignment horizontal="left" vertical="top" wrapText="1"/>
    </xf>
    <xf numFmtId="0" fontId="0" fillId="0" borderId="52" xfId="0" applyBorder="1"/>
    <xf numFmtId="0" fontId="0" fillId="0" borderId="53" xfId="0" applyBorder="1"/>
    <xf numFmtId="0" fontId="0" fillId="0" borderId="4" xfId="0" applyBorder="1"/>
    <xf numFmtId="0" fontId="0" fillId="0" borderId="6" xfId="0" applyBorder="1"/>
    <xf numFmtId="0" fontId="0" fillId="0" borderId="52" xfId="0" applyBorder="1" applyAlignment="1">
      <alignment wrapText="1"/>
    </xf>
    <xf numFmtId="0" fontId="0" fillId="0" borderId="53" xfId="0" applyBorder="1" applyAlignment="1">
      <alignment wrapText="1"/>
    </xf>
    <xf numFmtId="0" fontId="58" fillId="2" borderId="52" xfId="0" applyFont="1" applyFill="1" applyBorder="1"/>
    <xf numFmtId="0" fontId="58" fillId="2" borderId="53" xfId="0" applyFont="1" applyFill="1" applyBorder="1"/>
    <xf numFmtId="0" fontId="24" fillId="0" borderId="0" xfId="0" applyFont="1" applyAlignment="1">
      <alignment vertical="top" wrapText="1"/>
    </xf>
    <xf numFmtId="0" fontId="0" fillId="0" borderId="0" xfId="0" applyAlignment="1">
      <alignment vertical="top" wrapText="1"/>
    </xf>
    <xf numFmtId="0" fontId="0" fillId="0" borderId="69" xfId="0" applyBorder="1" applyAlignment="1">
      <alignment vertical="top" wrapText="1"/>
    </xf>
    <xf numFmtId="0" fontId="0" fillId="0" borderId="68" xfId="0" applyBorder="1" applyAlignment="1">
      <alignment vertical="top" wrapText="1"/>
    </xf>
    <xf numFmtId="0" fontId="0" fillId="0" borderId="66" xfId="0" applyBorder="1" applyAlignment="1">
      <alignment vertical="top" wrapText="1"/>
    </xf>
    <xf numFmtId="0" fontId="0" fillId="0" borderId="72" xfId="0" applyBorder="1" applyAlignment="1">
      <alignment vertical="top" wrapText="1"/>
    </xf>
    <xf numFmtId="0" fontId="0" fillId="0" borderId="71" xfId="0" applyBorder="1" applyAlignment="1">
      <alignment vertical="top" wrapText="1"/>
    </xf>
    <xf numFmtId="0" fontId="0" fillId="0" borderId="74" xfId="0" applyBorder="1" applyAlignment="1">
      <alignment vertical="top" wrapText="1"/>
    </xf>
    <xf numFmtId="0" fontId="0" fillId="0" borderId="75" xfId="0" applyBorder="1" applyAlignment="1">
      <alignment vertical="top" wrapText="1"/>
    </xf>
    <xf numFmtId="0" fontId="24" fillId="0" borderId="0" xfId="0" applyFont="1" applyAlignment="1">
      <alignment horizontal="center" vertical="top" wrapText="1"/>
    </xf>
    <xf numFmtId="0" fontId="0" fillId="0" borderId="0" xfId="0" applyAlignment="1">
      <alignment horizontal="center" vertical="top" wrapText="1"/>
    </xf>
    <xf numFmtId="0" fontId="0" fillId="0" borderId="68" xfId="0" applyBorder="1" applyAlignment="1">
      <alignment horizontal="center" vertical="top" wrapText="1"/>
    </xf>
    <xf numFmtId="0" fontId="0" fillId="0" borderId="70" xfId="0" applyBorder="1" applyAlignment="1">
      <alignment horizontal="center" vertical="top" wrapText="1"/>
    </xf>
    <xf numFmtId="0" fontId="60" fillId="0" borderId="0" xfId="5" quotePrefix="1" applyNumberFormat="1" applyAlignment="1">
      <alignment horizontal="center" vertical="top" wrapText="1"/>
    </xf>
    <xf numFmtId="0" fontId="0" fillId="0" borderId="67" xfId="0" applyBorder="1" applyAlignment="1">
      <alignment horizontal="center" vertical="top" wrapText="1"/>
    </xf>
    <xf numFmtId="0" fontId="0" fillId="0" borderId="71" xfId="0" applyBorder="1" applyAlignment="1">
      <alignment horizontal="center" vertical="top" wrapText="1"/>
    </xf>
    <xf numFmtId="0" fontId="60" fillId="0" borderId="71" xfId="5" quotePrefix="1" applyNumberFormat="1" applyBorder="1" applyAlignment="1">
      <alignment horizontal="center" vertical="top" wrapText="1"/>
    </xf>
    <xf numFmtId="0" fontId="0" fillId="0" borderId="73" xfId="0" applyBorder="1" applyAlignment="1">
      <alignment horizontal="center" vertical="top" wrapText="1"/>
    </xf>
    <xf numFmtId="0" fontId="0" fillId="0" borderId="75" xfId="0" applyBorder="1" applyAlignment="1">
      <alignment horizontal="center" vertical="top" wrapText="1"/>
    </xf>
    <xf numFmtId="0" fontId="0" fillId="0" borderId="76" xfId="0" applyBorder="1" applyAlignment="1">
      <alignment horizontal="center" vertical="top" wrapText="1"/>
    </xf>
    <xf numFmtId="0" fontId="25" fillId="0" borderId="0" xfId="0" applyFont="1" applyProtection="1">
      <protection locked="0"/>
    </xf>
    <xf numFmtId="0" fontId="54" fillId="2" borderId="4" xfId="0" applyFont="1" applyFill="1" applyBorder="1" applyAlignment="1">
      <alignment horizontal="center"/>
    </xf>
    <xf numFmtId="0" fontId="54" fillId="2" borderId="0" xfId="0" applyFont="1" applyFill="1" applyAlignment="1">
      <alignment horizontal="center"/>
    </xf>
    <xf numFmtId="0" fontId="55" fillId="2" borderId="0" xfId="0" applyFont="1" applyFill="1" applyAlignment="1">
      <alignment horizontal="center" vertical="center" wrapText="1"/>
    </xf>
    <xf numFmtId="0" fontId="59" fillId="2" borderId="80" xfId="0" applyFont="1" applyFill="1" applyBorder="1"/>
    <xf numFmtId="0" fontId="54" fillId="2" borderId="0" xfId="0" applyFont="1" applyFill="1"/>
    <xf numFmtId="0" fontId="54" fillId="0" borderId="0" xfId="0" applyFont="1"/>
    <xf numFmtId="0" fontId="61" fillId="0" borderId="0" xfId="0" applyFont="1" applyAlignment="1">
      <alignment vertical="center" wrapText="1"/>
    </xf>
    <xf numFmtId="0" fontId="61" fillId="0" borderId="0" xfId="0" applyFont="1" applyAlignment="1">
      <alignment vertical="center"/>
    </xf>
    <xf numFmtId="0" fontId="55" fillId="0" borderId="0" xfId="0" applyFont="1" applyAlignment="1">
      <alignment vertical="center"/>
    </xf>
    <xf numFmtId="0" fontId="62" fillId="2" borderId="0" xfId="0" applyFont="1" applyFill="1"/>
    <xf numFmtId="0" fontId="62" fillId="0" borderId="0" xfId="0" applyFont="1"/>
    <xf numFmtId="0" fontId="25" fillId="2" borderId="0" xfId="0" applyFont="1" applyFill="1"/>
    <xf numFmtId="0" fontId="25" fillId="0" borderId="0" xfId="0" applyFont="1"/>
    <xf numFmtId="0" fontId="25" fillId="2" borderId="0" xfId="0" applyFont="1" applyFill="1" applyAlignment="1">
      <alignment horizontal="center" vertical="center" wrapText="1"/>
    </xf>
    <xf numFmtId="0" fontId="0" fillId="0" borderId="51" xfId="0" applyBorder="1"/>
    <xf numFmtId="0" fontId="0" fillId="0" borderId="5" xfId="0" applyBorder="1"/>
    <xf numFmtId="0" fontId="0" fillId="0" borderId="8" xfId="0" applyBorder="1"/>
    <xf numFmtId="0" fontId="56" fillId="7" borderId="49" xfId="0" applyFont="1" applyFill="1" applyBorder="1" applyAlignment="1">
      <alignment horizontal="center" vertical="center" wrapText="1"/>
    </xf>
    <xf numFmtId="0" fontId="56" fillId="19" borderId="49" xfId="0" applyFont="1" applyFill="1" applyBorder="1" applyAlignment="1">
      <alignment horizontal="center" vertical="center" wrapText="1"/>
    </xf>
    <xf numFmtId="0" fontId="56" fillId="16" borderId="49" xfId="0" applyFont="1" applyFill="1" applyBorder="1" applyAlignment="1">
      <alignment horizontal="center" vertical="center" wrapText="1"/>
    </xf>
    <xf numFmtId="0" fontId="69" fillId="2" borderId="0" xfId="0" applyFont="1" applyFill="1"/>
    <xf numFmtId="0" fontId="54" fillId="2" borderId="0" xfId="0" applyFont="1" applyFill="1" applyProtection="1">
      <protection locked="0"/>
    </xf>
    <xf numFmtId="0" fontId="54" fillId="0" borderId="0" xfId="0" applyFont="1" applyProtection="1">
      <protection locked="0"/>
    </xf>
    <xf numFmtId="0" fontId="61" fillId="0" borderId="0" xfId="0" applyFont="1" applyAlignment="1" applyProtection="1">
      <alignment vertical="center" wrapText="1"/>
      <protection locked="0"/>
    </xf>
    <xf numFmtId="0" fontId="61" fillId="0" borderId="0" xfId="0" applyFont="1" applyAlignment="1" applyProtection="1">
      <alignment vertical="center"/>
      <protection locked="0"/>
    </xf>
    <xf numFmtId="0" fontId="55" fillId="0" borderId="0" xfId="0" applyFont="1" applyAlignment="1" applyProtection="1">
      <alignment vertical="center"/>
      <protection locked="0"/>
    </xf>
    <xf numFmtId="0" fontId="25" fillId="2" borderId="0" xfId="0" applyFont="1" applyFill="1" applyProtection="1">
      <protection locked="0"/>
    </xf>
    <xf numFmtId="0" fontId="54" fillId="2" borderId="0" xfId="0" applyFont="1" applyFill="1" applyProtection="1">
      <protection hidden="1"/>
    </xf>
    <xf numFmtId="0" fontId="63" fillId="0" borderId="15" xfId="0" applyFont="1" applyBorder="1" applyAlignment="1" applyProtection="1">
      <alignment vertical="center"/>
      <protection hidden="1"/>
    </xf>
    <xf numFmtId="0" fontId="54" fillId="2" borderId="4" xfId="0" applyFont="1" applyFill="1" applyBorder="1" applyAlignment="1" applyProtection="1">
      <alignment horizontal="center"/>
      <protection hidden="1"/>
    </xf>
    <xf numFmtId="0" fontId="54" fillId="2" borderId="0" xfId="0" applyFont="1" applyFill="1" applyAlignment="1" applyProtection="1">
      <alignment horizontal="center"/>
      <protection hidden="1"/>
    </xf>
    <xf numFmtId="0" fontId="55" fillId="2" borderId="0" xfId="0" applyFont="1" applyFill="1" applyAlignment="1" applyProtection="1">
      <alignment horizontal="center" vertical="center" wrapText="1"/>
      <protection hidden="1"/>
    </xf>
    <xf numFmtId="0" fontId="25" fillId="2" borderId="0" xfId="0" applyFont="1" applyFill="1" applyAlignment="1" applyProtection="1">
      <alignment horizontal="center" vertical="center" wrapText="1"/>
      <protection locked="0"/>
    </xf>
    <xf numFmtId="0" fontId="56" fillId="18" borderId="49" xfId="0" applyFont="1" applyFill="1" applyBorder="1" applyAlignment="1" applyProtection="1">
      <alignment horizontal="center" vertical="center" wrapText="1"/>
      <protection hidden="1"/>
    </xf>
    <xf numFmtId="0" fontId="63" fillId="0" borderId="15" xfId="0" applyFont="1" applyBorder="1" applyAlignment="1">
      <alignment vertical="center"/>
    </xf>
    <xf numFmtId="0" fontId="0" fillId="0" borderId="52" xfId="0" applyFill="1" applyBorder="1"/>
    <xf numFmtId="0" fontId="24" fillId="0" borderId="80" xfId="0" applyFont="1" applyBorder="1"/>
    <xf numFmtId="0" fontId="24" fillId="0" borderId="80" xfId="0" applyFont="1" applyBorder="1" applyAlignment="1">
      <alignment vertical="center"/>
    </xf>
    <xf numFmtId="0" fontId="53" fillId="2" borderId="0" xfId="0" applyFont="1" applyFill="1" applyProtection="1">
      <protection hidden="1"/>
    </xf>
    <xf numFmtId="0" fontId="53" fillId="0" borderId="0" xfId="0" applyFont="1" applyProtection="1">
      <protection hidden="1"/>
    </xf>
    <xf numFmtId="0" fontId="53" fillId="2" borderId="0" xfId="0" applyFont="1" applyFill="1" applyAlignment="1" applyProtection="1">
      <alignment horizontal="center" vertical="center"/>
      <protection hidden="1"/>
    </xf>
    <xf numFmtId="0" fontId="53" fillId="0" borderId="0" xfId="0" applyFont="1" applyAlignment="1" applyProtection="1">
      <alignment horizontal="center" vertical="center"/>
      <protection hidden="1"/>
    </xf>
    <xf numFmtId="0" fontId="75" fillId="0" borderId="0" xfId="0" applyFont="1" applyProtection="1">
      <protection hidden="1"/>
    </xf>
    <xf numFmtId="0" fontId="75" fillId="2" borderId="0" xfId="0" applyFont="1" applyFill="1" applyProtection="1">
      <protection hidden="1"/>
    </xf>
    <xf numFmtId="0" fontId="75" fillId="2" borderId="0" xfId="0" applyFont="1" applyFill="1" applyAlignment="1" applyProtection="1">
      <alignment horizontal="center" vertical="center"/>
      <protection hidden="1"/>
    </xf>
    <xf numFmtId="0" fontId="75" fillId="2" borderId="0" xfId="0" applyFont="1" applyFill="1" applyAlignment="1" applyProtection="1">
      <alignment horizontal="center" vertical="center" wrapText="1"/>
      <protection hidden="1"/>
    </xf>
    <xf numFmtId="0" fontId="75" fillId="2" borderId="0" xfId="0" applyFont="1" applyFill="1" applyAlignment="1" applyProtection="1">
      <alignment horizontal="center"/>
      <protection hidden="1"/>
    </xf>
    <xf numFmtId="0" fontId="75" fillId="0" borderId="0" xfId="0" applyFont="1" applyAlignment="1" applyProtection="1">
      <alignment horizontal="center" vertical="center"/>
      <protection hidden="1"/>
    </xf>
    <xf numFmtId="0" fontId="75" fillId="0" borderId="90" xfId="0" applyFont="1" applyBorder="1" applyAlignment="1" applyProtection="1">
      <alignment horizontal="center" vertical="center" textRotation="90"/>
      <protection hidden="1"/>
    </xf>
    <xf numFmtId="9" fontId="75" fillId="0" borderId="90" xfId="0" applyNumberFormat="1" applyFont="1" applyBorder="1" applyAlignment="1" applyProtection="1">
      <alignment horizontal="center" vertical="center"/>
      <protection hidden="1"/>
    </xf>
    <xf numFmtId="164" fontId="75" fillId="0" borderId="90" xfId="4" applyNumberFormat="1" applyFont="1" applyBorder="1" applyAlignment="1" applyProtection="1">
      <alignment horizontal="center" vertical="center"/>
      <protection hidden="1"/>
    </xf>
    <xf numFmtId="0" fontId="74" fillId="0" borderId="90" xfId="0" applyFont="1" applyBorder="1" applyAlignment="1" applyProtection="1">
      <alignment horizontal="center" vertical="center" textRotation="90" wrapText="1"/>
      <protection hidden="1"/>
    </xf>
    <xf numFmtId="0" fontId="74" fillId="0" borderId="90" xfId="0" applyFont="1" applyBorder="1" applyAlignment="1" applyProtection="1">
      <alignment horizontal="center" vertical="center" textRotation="90"/>
      <protection hidden="1"/>
    </xf>
    <xf numFmtId="0" fontId="75" fillId="2" borderId="0" xfId="0" applyFont="1" applyFill="1" applyAlignment="1" applyProtection="1">
      <alignment vertical="center"/>
      <protection hidden="1"/>
    </xf>
    <xf numFmtId="0" fontId="75" fillId="0" borderId="0" xfId="0" applyFont="1" applyAlignment="1" applyProtection="1">
      <alignment vertical="center"/>
      <protection hidden="1"/>
    </xf>
    <xf numFmtId="0" fontId="75" fillId="2" borderId="90" xfId="0" applyFont="1" applyFill="1" applyBorder="1" applyAlignment="1" applyProtection="1">
      <alignment horizontal="center" vertical="center" textRotation="90"/>
      <protection hidden="1"/>
    </xf>
    <xf numFmtId="9" fontId="75" fillId="2" borderId="90" xfId="0" applyNumberFormat="1" applyFont="1" applyFill="1" applyBorder="1" applyAlignment="1" applyProtection="1">
      <alignment horizontal="center" vertical="center"/>
      <protection hidden="1"/>
    </xf>
    <xf numFmtId="164" fontId="75" fillId="2" borderId="90" xfId="4" applyNumberFormat="1" applyFont="1" applyFill="1" applyBorder="1" applyAlignment="1" applyProtection="1">
      <alignment horizontal="center" vertical="center"/>
      <protection hidden="1"/>
    </xf>
    <xf numFmtId="0" fontId="74" fillId="2" borderId="90" xfId="0" applyFont="1" applyFill="1" applyBorder="1" applyAlignment="1" applyProtection="1">
      <alignment horizontal="center" vertical="center" textRotation="90" wrapText="1"/>
      <protection hidden="1"/>
    </xf>
    <xf numFmtId="0" fontId="74" fillId="2" borderId="90" xfId="0" applyFont="1" applyFill="1" applyBorder="1" applyAlignment="1" applyProtection="1">
      <alignment horizontal="center" vertical="center" textRotation="90"/>
      <protection hidden="1"/>
    </xf>
    <xf numFmtId="0" fontId="75" fillId="0" borderId="50" xfId="0" applyFont="1" applyBorder="1" applyAlignment="1" applyProtection="1">
      <alignment horizontal="center" vertical="center" textRotation="90"/>
      <protection hidden="1"/>
    </xf>
    <xf numFmtId="0" fontId="75" fillId="0" borderId="0" xfId="0" applyFont="1" applyAlignment="1" applyProtection="1">
      <alignment wrapText="1"/>
      <protection hidden="1"/>
    </xf>
    <xf numFmtId="0" fontId="74" fillId="0" borderId="0" xfId="0" applyFont="1" applyAlignment="1" applyProtection="1">
      <alignment horizontal="left" vertical="center"/>
      <protection hidden="1"/>
    </xf>
    <xf numFmtId="0" fontId="75" fillId="0" borderId="0" xfId="0" applyFont="1" applyAlignment="1" applyProtection="1">
      <alignment horizontal="center" vertical="center" wrapText="1"/>
      <protection hidden="1"/>
    </xf>
    <xf numFmtId="0" fontId="75" fillId="0" borderId="0" xfId="0" applyFont="1" applyAlignment="1" applyProtection="1">
      <alignment horizontal="center"/>
      <protection hidden="1"/>
    </xf>
    <xf numFmtId="0" fontId="74" fillId="2" borderId="0" xfId="0" applyFont="1" applyFill="1" applyProtection="1">
      <protection hidden="1"/>
    </xf>
    <xf numFmtId="0" fontId="74" fillId="0" borderId="0" xfId="0" applyFont="1" applyProtection="1">
      <protection hidden="1"/>
    </xf>
    <xf numFmtId="0" fontId="73" fillId="21" borderId="90" xfId="0" applyFont="1" applyFill="1" applyBorder="1" applyAlignment="1" applyProtection="1">
      <alignment horizontal="center" vertical="center" textRotation="90"/>
      <protection hidden="1"/>
    </xf>
    <xf numFmtId="0" fontId="73" fillId="21" borderId="90" xfId="0" applyFont="1" applyFill="1" applyBorder="1" applyAlignment="1" applyProtection="1">
      <alignment horizontal="center" vertical="center" textRotation="90" wrapText="1"/>
      <protection hidden="1"/>
    </xf>
    <xf numFmtId="0" fontId="73" fillId="25" borderId="90" xfId="0" applyFont="1" applyFill="1" applyBorder="1" applyAlignment="1" applyProtection="1">
      <alignment horizontal="center" vertical="center" textRotation="90"/>
      <protection hidden="1"/>
    </xf>
    <xf numFmtId="0" fontId="54" fillId="0" borderId="90" xfId="0" applyFont="1" applyBorder="1" applyAlignment="1" applyProtection="1">
      <alignment horizontal="justify" vertical="center" wrapText="1"/>
      <protection hidden="1"/>
    </xf>
    <xf numFmtId="0" fontId="86" fillId="0" borderId="90" xfId="0" applyFont="1" applyBorder="1" applyAlignment="1" applyProtection="1">
      <alignment horizontal="justify" vertical="center" wrapText="1"/>
      <protection hidden="1"/>
    </xf>
    <xf numFmtId="0" fontId="54" fillId="0" borderId="90" xfId="0" applyFont="1" applyFill="1" applyBorder="1" applyAlignment="1" applyProtection="1">
      <alignment horizontal="justify" vertical="center" wrapText="1"/>
      <protection hidden="1"/>
    </xf>
    <xf numFmtId="0" fontId="54" fillId="0" borderId="90" xfId="0" applyFont="1" applyBorder="1" applyAlignment="1" applyProtection="1">
      <alignment horizontal="justify" vertical="center"/>
      <protection hidden="1"/>
    </xf>
    <xf numFmtId="0" fontId="90" fillId="0" borderId="90" xfId="0" applyFont="1" applyBorder="1" applyAlignment="1" applyProtection="1">
      <alignment horizontal="justify" vertical="center" wrapText="1"/>
      <protection hidden="1"/>
    </xf>
    <xf numFmtId="0" fontId="54" fillId="0" borderId="90" xfId="0" applyFont="1" applyFill="1" applyBorder="1" applyAlignment="1" applyProtection="1">
      <alignment vertical="center" wrapText="1"/>
      <protection hidden="1"/>
    </xf>
    <xf numFmtId="0" fontId="54" fillId="2" borderId="90" xfId="0" applyFont="1" applyFill="1" applyBorder="1" applyAlignment="1" applyProtection="1">
      <alignment horizontal="justify" vertical="center" wrapText="1"/>
      <protection hidden="1"/>
    </xf>
    <xf numFmtId="0" fontId="54" fillId="0" borderId="0" xfId="0" applyFont="1" applyProtection="1">
      <protection hidden="1"/>
    </xf>
    <xf numFmtId="0" fontId="74" fillId="0" borderId="100" xfId="0" applyFont="1" applyBorder="1" applyAlignment="1" applyProtection="1">
      <alignment horizontal="center" vertical="center"/>
      <protection hidden="1"/>
    </xf>
    <xf numFmtId="0" fontId="75" fillId="0" borderId="99" xfId="0" applyFont="1" applyFill="1" applyBorder="1" applyAlignment="1" applyProtection="1">
      <alignment horizontal="center" vertical="center" wrapText="1"/>
      <protection hidden="1"/>
    </xf>
    <xf numFmtId="0" fontId="75" fillId="0" borderId="99" xfId="0" applyFont="1" applyFill="1" applyBorder="1" applyAlignment="1" applyProtection="1">
      <alignment horizontal="justify" vertical="center" wrapText="1"/>
      <protection hidden="1"/>
    </xf>
    <xf numFmtId="0" fontId="78" fillId="0" borderId="99" xfId="0" applyFont="1" applyFill="1" applyBorder="1" applyAlignment="1" applyProtection="1">
      <alignment horizontal="justify" vertical="center" wrapText="1"/>
      <protection hidden="1"/>
    </xf>
    <xf numFmtId="0" fontId="76" fillId="0" borderId="99" xfId="0" applyFont="1" applyBorder="1" applyAlignment="1" applyProtection="1">
      <alignment horizontal="center" vertical="center" wrapText="1"/>
      <protection hidden="1"/>
    </xf>
    <xf numFmtId="0" fontId="75" fillId="0" borderId="99" xfId="0" applyFont="1" applyBorder="1" applyAlignment="1" applyProtection="1">
      <alignment horizontal="center" vertical="center" wrapText="1"/>
      <protection hidden="1"/>
    </xf>
    <xf numFmtId="0" fontId="75" fillId="0" borderId="99" xfId="0" applyFont="1" applyBorder="1" applyAlignment="1" applyProtection="1">
      <alignment horizontal="center" vertical="center"/>
      <protection hidden="1"/>
    </xf>
    <xf numFmtId="0" fontId="74" fillId="0" borderId="99" xfId="0" applyFont="1" applyBorder="1" applyAlignment="1" applyProtection="1">
      <alignment horizontal="center" vertical="center" wrapText="1"/>
      <protection hidden="1"/>
    </xf>
    <xf numFmtId="9" fontId="75" fillId="0" borderId="99" xfId="0" applyNumberFormat="1" applyFont="1" applyBorder="1" applyAlignment="1" applyProtection="1">
      <alignment horizontal="center" vertical="center" wrapText="1"/>
      <protection hidden="1"/>
    </xf>
    <xf numFmtId="0" fontId="74" fillId="0" borderId="99" xfId="0" applyFont="1" applyBorder="1" applyAlignment="1" applyProtection="1">
      <alignment horizontal="center" vertical="center"/>
      <protection hidden="1"/>
    </xf>
    <xf numFmtId="9" fontId="75" fillId="0" borderId="90" xfId="0" applyNumberFormat="1" applyFont="1" applyBorder="1" applyAlignment="1" applyProtection="1">
      <alignment horizontal="center" vertical="center" wrapText="1"/>
      <protection hidden="1"/>
    </xf>
    <xf numFmtId="0" fontId="74" fillId="0" borderId="94" xfId="0" applyFont="1" applyBorder="1" applyAlignment="1" applyProtection="1">
      <alignment horizontal="center" vertical="center"/>
      <protection hidden="1"/>
    </xf>
    <xf numFmtId="0" fontId="75" fillId="0" borderId="90" xfId="0" applyFont="1" applyBorder="1" applyAlignment="1" applyProtection="1">
      <alignment horizontal="center" vertical="center" wrapText="1"/>
      <protection hidden="1"/>
    </xf>
    <xf numFmtId="14" fontId="75" fillId="0" borderId="90" xfId="0" applyNumberFormat="1" applyFont="1" applyBorder="1" applyAlignment="1" applyProtection="1">
      <alignment horizontal="center" vertical="center"/>
      <protection hidden="1"/>
    </xf>
    <xf numFmtId="0" fontId="75" fillId="0" borderId="95" xfId="0" applyFont="1" applyBorder="1" applyAlignment="1" applyProtection="1">
      <alignment horizontal="center" vertical="center"/>
      <protection hidden="1"/>
    </xf>
    <xf numFmtId="0" fontId="75" fillId="0" borderId="90" xfId="0" applyFont="1" applyBorder="1" applyAlignment="1" applyProtection="1">
      <alignment horizontal="center" vertical="center"/>
      <protection hidden="1"/>
    </xf>
    <xf numFmtId="0" fontId="76" fillId="0" borderId="90" xfId="0" applyFont="1" applyBorder="1" applyAlignment="1" applyProtection="1">
      <alignment horizontal="center" vertical="center" wrapText="1"/>
      <protection hidden="1"/>
    </xf>
    <xf numFmtId="0" fontId="74" fillId="0" borderId="90" xfId="0" applyFont="1" applyBorder="1" applyAlignment="1" applyProtection="1">
      <alignment horizontal="center" vertical="center" wrapText="1"/>
      <protection hidden="1"/>
    </xf>
    <xf numFmtId="0" fontId="74" fillId="0" borderId="90" xfId="0" applyFont="1" applyBorder="1" applyAlignment="1" applyProtection="1">
      <alignment horizontal="center" vertical="center"/>
      <protection hidden="1"/>
    </xf>
    <xf numFmtId="0" fontId="75" fillId="0" borderId="90" xfId="0" applyFont="1" applyBorder="1" applyAlignment="1" applyProtection="1">
      <alignment horizontal="justify" vertical="center" wrapText="1"/>
      <protection hidden="1"/>
    </xf>
    <xf numFmtId="0" fontId="78" fillId="0" borderId="90" xfId="0" applyFont="1" applyBorder="1" applyAlignment="1" applyProtection="1">
      <alignment horizontal="justify" vertical="center" wrapText="1"/>
      <protection hidden="1"/>
    </xf>
    <xf numFmtId="0" fontId="75" fillId="2" borderId="0" xfId="0" applyFont="1" applyFill="1" applyAlignment="1" applyProtection="1">
      <alignment horizontal="left" vertical="center"/>
      <protection hidden="1"/>
    </xf>
    <xf numFmtId="0" fontId="75" fillId="0" borderId="90" xfId="0" applyFont="1" applyFill="1" applyBorder="1" applyAlignment="1" applyProtection="1">
      <alignment horizontal="center" vertical="center" wrapText="1"/>
      <protection hidden="1"/>
    </xf>
    <xf numFmtId="0" fontId="75" fillId="0" borderId="90" xfId="0" applyFont="1" applyFill="1" applyBorder="1" applyAlignment="1" applyProtection="1">
      <alignment horizontal="justify" vertical="center" wrapText="1"/>
      <protection hidden="1"/>
    </xf>
    <xf numFmtId="0" fontId="75" fillId="21" borderId="90" xfId="0" applyFont="1" applyFill="1" applyBorder="1" applyAlignment="1" applyProtection="1">
      <alignment horizontal="center" vertical="center" wrapText="1"/>
      <protection hidden="1"/>
    </xf>
    <xf numFmtId="17" fontId="75" fillId="0" borderId="90" xfId="0" applyNumberFormat="1" applyFont="1" applyBorder="1" applyAlignment="1" applyProtection="1">
      <alignment horizontal="center" vertical="center"/>
      <protection hidden="1"/>
    </xf>
    <xf numFmtId="0" fontId="74" fillId="2" borderId="90" xfId="0" applyFont="1" applyFill="1" applyBorder="1" applyAlignment="1" applyProtection="1">
      <alignment horizontal="center" vertical="center"/>
      <protection hidden="1"/>
    </xf>
    <xf numFmtId="0" fontId="75" fillId="2" borderId="90" xfId="0" applyFont="1" applyFill="1" applyBorder="1" applyAlignment="1" applyProtection="1">
      <alignment horizontal="center" vertical="center"/>
      <protection hidden="1"/>
    </xf>
    <xf numFmtId="0" fontId="75" fillId="0" borderId="90" xfId="0" applyFont="1" applyFill="1" applyBorder="1" applyAlignment="1" applyProtection="1">
      <alignment horizontal="center" vertical="center" wrapText="1"/>
      <protection hidden="1"/>
    </xf>
    <xf numFmtId="0" fontId="75" fillId="0" borderId="90" xfId="0" applyFont="1" applyBorder="1" applyAlignment="1" applyProtection="1">
      <alignment horizontal="center" vertical="center" wrapText="1"/>
      <protection hidden="1"/>
    </xf>
    <xf numFmtId="0" fontId="78" fillId="0" borderId="90" xfId="0" applyFont="1" applyBorder="1" applyAlignment="1" applyProtection="1">
      <alignment horizontal="center" vertical="center" wrapText="1"/>
      <protection hidden="1"/>
    </xf>
    <xf numFmtId="0" fontId="78" fillId="2" borderId="90" xfId="0" applyFont="1" applyFill="1" applyBorder="1" applyAlignment="1" applyProtection="1">
      <alignment horizontal="center" vertical="center"/>
      <protection hidden="1"/>
    </xf>
    <xf numFmtId="9" fontId="75" fillId="2" borderId="50" xfId="0" applyNumberFormat="1" applyFont="1" applyFill="1" applyBorder="1" applyAlignment="1" applyProtection="1">
      <alignment horizontal="center" vertical="center"/>
      <protection hidden="1"/>
    </xf>
    <xf numFmtId="0" fontId="75" fillId="0" borderId="50" xfId="0" applyFont="1" applyBorder="1" applyAlignment="1" applyProtection="1">
      <alignment horizontal="center" vertical="center" textRotation="90" wrapText="1"/>
      <protection hidden="1"/>
    </xf>
    <xf numFmtId="0" fontId="75" fillId="0" borderId="90" xfId="0" applyFont="1" applyFill="1" applyBorder="1" applyAlignment="1" applyProtection="1">
      <alignment horizontal="center" vertical="center"/>
      <protection hidden="1"/>
    </xf>
    <xf numFmtId="0" fontId="75" fillId="0" borderId="99" xfId="0" applyFont="1" applyFill="1" applyBorder="1" applyAlignment="1" applyProtection="1">
      <alignment horizontal="center" vertical="center"/>
      <protection hidden="1"/>
    </xf>
    <xf numFmtId="0" fontId="78" fillId="0" borderId="90" xfId="0" applyFont="1" applyBorder="1" applyAlignment="1" applyProtection="1">
      <alignment horizontal="justify" vertical="center" wrapText="1"/>
      <protection hidden="1"/>
    </xf>
    <xf numFmtId="0" fontId="78" fillId="0" borderId="90" xfId="0" applyFont="1" applyFill="1" applyBorder="1" applyAlignment="1" applyProtection="1">
      <alignment horizontal="justify" vertical="center" wrapText="1"/>
      <protection hidden="1"/>
    </xf>
    <xf numFmtId="0" fontId="54" fillId="2" borderId="0" xfId="0" applyFont="1" applyFill="1" applyAlignment="1" applyProtection="1">
      <alignment horizontal="justify" vertical="center"/>
      <protection hidden="1"/>
    </xf>
    <xf numFmtId="0" fontId="54" fillId="2" borderId="0" xfId="0" applyFont="1" applyFill="1" applyAlignment="1" applyProtection="1">
      <alignment horizontal="justify" vertical="center"/>
      <protection locked="0" hidden="1"/>
    </xf>
    <xf numFmtId="0" fontId="54" fillId="0" borderId="0" xfId="0" applyFont="1" applyAlignment="1" applyProtection="1">
      <alignment horizontal="justify" vertical="center"/>
      <protection locked="0" hidden="1"/>
    </xf>
    <xf numFmtId="0" fontId="61" fillId="0" borderId="0" xfId="0" applyFont="1" applyAlignment="1" applyProtection="1">
      <alignment horizontal="justify" vertical="center" wrapText="1"/>
      <protection locked="0" hidden="1"/>
    </xf>
    <xf numFmtId="0" fontId="63" fillId="0" borderId="15" xfId="0" applyFont="1" applyBorder="1" applyAlignment="1" applyProtection="1">
      <alignment horizontal="justify" vertical="center"/>
      <protection hidden="1"/>
    </xf>
    <xf numFmtId="0" fontId="61" fillId="0" borderId="0" xfId="0" applyFont="1" applyAlignment="1" applyProtection="1">
      <alignment horizontal="justify" vertical="center"/>
      <protection locked="0" hidden="1"/>
    </xf>
    <xf numFmtId="0" fontId="55" fillId="0" borderId="0" xfId="0" applyFont="1" applyAlignment="1" applyProtection="1">
      <alignment horizontal="justify" vertical="center"/>
      <protection locked="0" hidden="1"/>
    </xf>
    <xf numFmtId="0" fontId="54" fillId="2" borderId="4" xfId="0" applyFont="1" applyFill="1" applyBorder="1" applyAlignment="1" applyProtection="1">
      <alignment horizontal="justify" vertical="center"/>
      <protection hidden="1"/>
    </xf>
    <xf numFmtId="0" fontId="55" fillId="2" borderId="0" xfId="0" applyFont="1" applyFill="1" applyAlignment="1" applyProtection="1">
      <alignment horizontal="justify" vertical="center" wrapText="1"/>
      <protection hidden="1"/>
    </xf>
    <xf numFmtId="0" fontId="56" fillId="17" borderId="49" xfId="0" applyFont="1" applyFill="1" applyBorder="1" applyAlignment="1" applyProtection="1">
      <alignment horizontal="justify" vertical="center" wrapText="1"/>
      <protection hidden="1"/>
    </xf>
    <xf numFmtId="0" fontId="62" fillId="2" borderId="0" xfId="0" applyFont="1" applyFill="1" applyAlignment="1" applyProtection="1">
      <alignment horizontal="justify" vertical="center"/>
      <protection locked="0" hidden="1"/>
    </xf>
    <xf numFmtId="0" fontId="62" fillId="0" borderId="0" xfId="0" applyFont="1" applyAlignment="1" applyProtection="1">
      <alignment horizontal="justify" vertical="center"/>
      <protection locked="0" hidden="1"/>
    </xf>
    <xf numFmtId="0" fontId="25" fillId="2" borderId="0" xfId="0" applyFont="1" applyFill="1" applyAlignment="1" applyProtection="1">
      <alignment horizontal="justify" vertical="center"/>
      <protection locked="0" hidden="1"/>
    </xf>
    <xf numFmtId="0" fontId="25" fillId="0" borderId="0" xfId="0" applyFont="1" applyAlignment="1" applyProtection="1">
      <alignment horizontal="justify" vertical="center"/>
      <protection locked="0" hidden="1"/>
    </xf>
    <xf numFmtId="9" fontId="75" fillId="0" borderId="90" xfId="0" applyNumberFormat="1" applyFont="1" applyBorder="1" applyAlignment="1" applyProtection="1">
      <alignment horizontal="center" vertical="center" wrapText="1"/>
      <protection hidden="1"/>
    </xf>
    <xf numFmtId="14" fontId="75" fillId="0" borderId="90" xfId="0" applyNumberFormat="1" applyFont="1" applyBorder="1" applyAlignment="1" applyProtection="1">
      <alignment horizontal="center" vertical="center"/>
      <protection hidden="1"/>
    </xf>
    <xf numFmtId="0" fontId="75" fillId="0" borderId="90" xfId="0" applyFont="1" applyBorder="1" applyAlignment="1" applyProtection="1">
      <alignment horizontal="center" vertical="center" wrapText="1"/>
      <protection hidden="1"/>
    </xf>
    <xf numFmtId="0" fontId="75" fillId="0" borderId="95" xfId="0" applyFont="1" applyBorder="1" applyAlignment="1" applyProtection="1">
      <alignment horizontal="center" vertical="center"/>
      <protection hidden="1"/>
    </xf>
    <xf numFmtId="0" fontId="75" fillId="0" borderId="90" xfId="0" applyFont="1" applyBorder="1" applyAlignment="1" applyProtection="1">
      <alignment horizontal="center" vertical="center"/>
      <protection hidden="1"/>
    </xf>
    <xf numFmtId="0" fontId="74" fillId="0" borderId="90" xfId="0" applyFont="1" applyBorder="1" applyAlignment="1" applyProtection="1">
      <alignment horizontal="center" vertical="center"/>
      <protection hidden="1"/>
    </xf>
    <xf numFmtId="0" fontId="74" fillId="0" borderId="90" xfId="0" applyFont="1" applyBorder="1" applyAlignment="1" applyProtection="1">
      <alignment horizontal="center" vertical="center"/>
      <protection hidden="1"/>
    </xf>
    <xf numFmtId="0" fontId="74" fillId="0" borderId="94" xfId="0" applyFont="1" applyBorder="1" applyAlignment="1" applyProtection="1">
      <alignment horizontal="center" vertical="center"/>
      <protection hidden="1"/>
    </xf>
    <xf numFmtId="0" fontId="75" fillId="0" borderId="99" xfId="0" applyFont="1" applyBorder="1" applyAlignment="1" applyProtection="1">
      <alignment horizontal="center" vertical="center" wrapText="1"/>
      <protection hidden="1"/>
    </xf>
    <xf numFmtId="0" fontId="75" fillId="0" borderId="90" xfId="0" applyFont="1" applyBorder="1" applyAlignment="1" applyProtection="1">
      <alignment horizontal="center" vertical="center" wrapText="1"/>
      <protection hidden="1"/>
    </xf>
    <xf numFmtId="0" fontId="76" fillId="0" borderId="90" xfId="0" applyFont="1" applyBorder="1" applyAlignment="1" applyProtection="1">
      <alignment horizontal="center" vertical="center" wrapText="1"/>
      <protection hidden="1"/>
    </xf>
    <xf numFmtId="0" fontId="75" fillId="0" borderId="90" xfId="0" applyFont="1" applyBorder="1" applyAlignment="1" applyProtection="1">
      <alignment horizontal="center" vertical="center"/>
      <protection hidden="1"/>
    </xf>
    <xf numFmtId="0" fontId="74" fillId="0" borderId="90" xfId="0" applyFont="1" applyBorder="1" applyAlignment="1" applyProtection="1">
      <alignment horizontal="center" vertical="center" wrapText="1"/>
      <protection hidden="1"/>
    </xf>
    <xf numFmtId="9" fontId="75" fillId="0" borderId="90" xfId="0" applyNumberFormat="1" applyFont="1" applyBorder="1" applyAlignment="1" applyProtection="1">
      <alignment horizontal="center" vertical="center" wrapText="1"/>
      <protection hidden="1"/>
    </xf>
    <xf numFmtId="0" fontId="75" fillId="2" borderId="90" xfId="0" applyFont="1" applyFill="1" applyBorder="1" applyAlignment="1" applyProtection="1">
      <alignment horizontal="center" vertical="center"/>
      <protection hidden="1"/>
    </xf>
    <xf numFmtId="0" fontId="78" fillId="0" borderId="90" xfId="0" applyFont="1" applyBorder="1" applyAlignment="1" applyProtection="1">
      <alignment horizontal="justify" vertical="center" wrapText="1"/>
      <protection hidden="1"/>
    </xf>
    <xf numFmtId="0" fontId="75" fillId="21" borderId="90" xfId="0" applyFont="1" applyFill="1" applyBorder="1" applyAlignment="1" applyProtection="1">
      <alignment horizontal="center" vertical="center" wrapText="1"/>
      <protection hidden="1"/>
    </xf>
    <xf numFmtId="0" fontId="75" fillId="0" borderId="90" xfId="0" applyFont="1" applyBorder="1" applyAlignment="1" applyProtection="1">
      <alignment horizontal="justify" vertical="center" wrapText="1"/>
      <protection hidden="1"/>
    </xf>
    <xf numFmtId="14" fontId="75" fillId="0" borderId="90" xfId="0" applyNumberFormat="1" applyFont="1" applyBorder="1" applyAlignment="1" applyProtection="1">
      <alignment horizontal="center" vertical="center"/>
      <protection hidden="1"/>
    </xf>
    <xf numFmtId="0" fontId="75" fillId="0" borderId="95" xfId="0" applyFont="1" applyBorder="1" applyAlignment="1" applyProtection="1">
      <alignment horizontal="center" vertical="center"/>
      <protection hidden="1"/>
    </xf>
    <xf numFmtId="0" fontId="74" fillId="0" borderId="100" xfId="0" applyFont="1" applyBorder="1" applyAlignment="1" applyProtection="1">
      <alignment horizontal="center" vertical="center"/>
      <protection hidden="1"/>
    </xf>
    <xf numFmtId="0" fontId="17" fillId="2" borderId="20" xfId="1" applyFont="1" applyFill="1" applyBorder="1" applyAlignment="1">
      <alignment horizontal="justify" vertical="center" wrapText="1"/>
    </xf>
    <xf numFmtId="0" fontId="17" fillId="2" borderId="21" xfId="1" applyFont="1" applyFill="1" applyBorder="1" applyAlignment="1">
      <alignment horizontal="justify" vertical="center" wrapText="1"/>
    </xf>
    <xf numFmtId="0" fontId="16" fillId="2" borderId="36" xfId="0" applyFont="1" applyFill="1" applyBorder="1" applyAlignment="1">
      <alignment horizontal="left" vertical="center" wrapText="1"/>
    </xf>
    <xf numFmtId="0" fontId="16" fillId="2" borderId="37" xfId="0" applyFont="1" applyFill="1" applyBorder="1" applyAlignment="1">
      <alignment horizontal="left" vertical="center" wrapText="1"/>
    </xf>
    <xf numFmtId="0" fontId="11" fillId="2" borderId="4" xfId="1" applyFont="1" applyFill="1" applyBorder="1" applyAlignment="1">
      <alignment horizontal="left" vertical="top" wrapText="1"/>
    </xf>
    <xf numFmtId="0" fontId="11" fillId="2" borderId="0" xfId="1" applyFont="1" applyFill="1" applyAlignment="1">
      <alignment horizontal="left" vertical="top" wrapText="1"/>
    </xf>
    <xf numFmtId="0" fontId="11" fillId="2" borderId="5" xfId="1" applyFont="1" applyFill="1" applyBorder="1" applyAlignment="1">
      <alignment horizontal="left" vertical="top" wrapText="1"/>
    </xf>
    <xf numFmtId="0" fontId="16" fillId="2" borderId="30" xfId="0" applyFont="1" applyFill="1" applyBorder="1" applyAlignment="1">
      <alignment horizontal="left" vertical="center" wrapText="1"/>
    </xf>
    <xf numFmtId="0" fontId="16" fillId="2" borderId="31" xfId="0" applyFont="1" applyFill="1" applyBorder="1" applyAlignment="1">
      <alignment horizontal="left" vertical="center" wrapText="1"/>
    </xf>
    <xf numFmtId="0" fontId="16" fillId="2" borderId="38" xfId="0" applyFont="1" applyFill="1" applyBorder="1" applyAlignment="1">
      <alignment horizontal="left" vertical="center" wrapText="1"/>
    </xf>
    <xf numFmtId="0" fontId="16" fillId="2" borderId="39" xfId="0" applyFont="1" applyFill="1" applyBorder="1" applyAlignment="1">
      <alignment horizontal="left" vertical="center" wrapText="1"/>
    </xf>
    <xf numFmtId="0" fontId="17" fillId="2" borderId="40" xfId="0" applyFont="1" applyFill="1" applyBorder="1" applyAlignment="1">
      <alignment horizontal="justify" vertical="center" wrapText="1"/>
    </xf>
    <xf numFmtId="0" fontId="17" fillId="2" borderId="41" xfId="0" applyFont="1" applyFill="1" applyBorder="1" applyAlignment="1">
      <alignment horizontal="justify" vertical="center" wrapText="1"/>
    </xf>
    <xf numFmtId="0" fontId="16" fillId="2" borderId="32" xfId="3" applyFont="1" applyFill="1" applyBorder="1" applyAlignment="1">
      <alignment horizontal="left" vertical="top" wrapText="1" readingOrder="1"/>
    </xf>
    <xf numFmtId="0" fontId="16" fillId="2" borderId="33" xfId="3" applyFont="1" applyFill="1" applyBorder="1" applyAlignment="1">
      <alignment horizontal="left" vertical="top" wrapText="1" readingOrder="1"/>
    </xf>
    <xf numFmtId="0" fontId="17" fillId="2" borderId="34" xfId="1" applyFont="1" applyFill="1" applyBorder="1" applyAlignment="1">
      <alignment horizontal="justify" vertical="center" wrapText="1"/>
    </xf>
    <xf numFmtId="0" fontId="17" fillId="2" borderId="35" xfId="1" applyFont="1" applyFill="1" applyBorder="1" applyAlignment="1">
      <alignment horizontal="justify" vertical="center" wrapText="1"/>
    </xf>
    <xf numFmtId="0" fontId="12" fillId="13" borderId="22" xfId="1" applyFont="1" applyFill="1" applyBorder="1" applyAlignment="1">
      <alignment horizontal="center" vertical="center" wrapText="1"/>
    </xf>
    <xf numFmtId="0" fontId="12" fillId="13" borderId="23" xfId="1" applyFont="1" applyFill="1" applyBorder="1" applyAlignment="1">
      <alignment horizontal="center" vertical="center" wrapText="1"/>
    </xf>
    <xf numFmtId="0" fontId="12" fillId="13" borderId="24" xfId="1" applyFont="1" applyFill="1" applyBorder="1" applyAlignment="1">
      <alignment horizontal="center" vertical="center" wrapText="1"/>
    </xf>
    <xf numFmtId="0" fontId="11" fillId="0" borderId="4" xfId="1" quotePrefix="1" applyFont="1" applyBorder="1" applyAlignment="1">
      <alignment horizontal="left" vertical="center" wrapText="1"/>
    </xf>
    <xf numFmtId="0" fontId="11" fillId="0" borderId="0" xfId="1" quotePrefix="1" applyFont="1" applyAlignment="1">
      <alignment horizontal="left" vertical="center" wrapText="1"/>
    </xf>
    <xf numFmtId="0" fontId="11" fillId="0" borderId="5" xfId="1" quotePrefix="1" applyFont="1" applyBorder="1" applyAlignment="1">
      <alignment horizontal="left" vertical="center" wrapText="1"/>
    </xf>
    <xf numFmtId="0" fontId="11" fillId="0" borderId="25" xfId="1" quotePrefix="1" applyFont="1" applyBorder="1" applyAlignment="1">
      <alignment horizontal="left" vertical="center" wrapText="1"/>
    </xf>
    <xf numFmtId="0" fontId="11" fillId="0" borderId="26" xfId="1" quotePrefix="1" applyFont="1" applyBorder="1" applyAlignment="1">
      <alignment horizontal="left" vertical="center" wrapText="1"/>
    </xf>
    <xf numFmtId="0" fontId="11" fillId="0" borderId="27" xfId="1" quotePrefix="1" applyFont="1" applyBorder="1" applyAlignment="1">
      <alignment horizontal="left" vertical="center" wrapText="1"/>
    </xf>
    <xf numFmtId="0" fontId="13" fillId="2" borderId="9" xfId="1" quotePrefix="1" applyFont="1" applyFill="1" applyBorder="1" applyAlignment="1">
      <alignment horizontal="left" vertical="top" wrapText="1"/>
    </xf>
    <xf numFmtId="0" fontId="14" fillId="2" borderId="10" xfId="1" quotePrefix="1" applyFont="1" applyFill="1" applyBorder="1" applyAlignment="1">
      <alignment horizontal="left" vertical="top" wrapText="1"/>
    </xf>
    <xf numFmtId="0" fontId="14" fillId="2" borderId="11" xfId="1" quotePrefix="1" applyFont="1" applyFill="1" applyBorder="1" applyAlignment="1">
      <alignment horizontal="left" vertical="top" wrapText="1"/>
    </xf>
    <xf numFmtId="0" fontId="11" fillId="0" borderId="4" xfId="1" quotePrefix="1" applyFont="1" applyBorder="1" applyAlignment="1">
      <alignment horizontal="left" vertical="top" wrapText="1"/>
    </xf>
    <xf numFmtId="0" fontId="11" fillId="0" borderId="0" xfId="1" quotePrefix="1" applyFont="1" applyAlignment="1">
      <alignment horizontal="left" vertical="top" wrapText="1"/>
    </xf>
    <xf numFmtId="0" fontId="11" fillId="0" borderId="5" xfId="1" quotePrefix="1" applyFont="1" applyBorder="1" applyAlignment="1">
      <alignment horizontal="left" vertical="top" wrapText="1"/>
    </xf>
    <xf numFmtId="0" fontId="16" fillId="13" borderId="28" xfId="3" applyFont="1" applyFill="1" applyBorder="1" applyAlignment="1">
      <alignment horizontal="center" vertical="center" wrapText="1"/>
    </xf>
    <xf numFmtId="0" fontId="16" fillId="13" borderId="56" xfId="3" applyFont="1" applyFill="1" applyBorder="1" applyAlignment="1">
      <alignment horizontal="center" vertical="center" wrapText="1"/>
    </xf>
    <xf numFmtId="0" fontId="16" fillId="13" borderId="57" xfId="1" applyFont="1" applyFill="1" applyBorder="1" applyAlignment="1">
      <alignment horizontal="center" vertical="center"/>
    </xf>
    <xf numFmtId="0" fontId="16" fillId="13" borderId="29" xfId="1" applyFont="1" applyFill="1" applyBorder="1" applyAlignment="1">
      <alignment horizontal="center" vertical="center"/>
    </xf>
    <xf numFmtId="0" fontId="1" fillId="2" borderId="25" xfId="1" quotePrefix="1" applyFont="1" applyFill="1" applyBorder="1" applyAlignment="1">
      <alignment horizontal="justify" vertical="center" wrapText="1"/>
    </xf>
    <xf numFmtId="0" fontId="1" fillId="2" borderId="26" xfId="1" quotePrefix="1" applyFont="1" applyFill="1" applyBorder="1" applyAlignment="1">
      <alignment horizontal="justify" vertical="center" wrapText="1"/>
    </xf>
    <xf numFmtId="0" fontId="1" fillId="2" borderId="27" xfId="1" quotePrefix="1" applyFont="1" applyFill="1" applyBorder="1" applyAlignment="1">
      <alignment horizontal="justify" vertical="center" wrapText="1"/>
    </xf>
    <xf numFmtId="0" fontId="74" fillId="0" borderId="90" xfId="0" applyFont="1" applyBorder="1" applyAlignment="1" applyProtection="1">
      <alignment horizontal="center" vertical="center"/>
      <protection hidden="1"/>
    </xf>
    <xf numFmtId="0" fontId="74" fillId="0" borderId="94" xfId="0" applyFont="1" applyBorder="1" applyAlignment="1" applyProtection="1">
      <alignment horizontal="center" vertical="center"/>
      <protection hidden="1"/>
    </xf>
    <xf numFmtId="0" fontId="75" fillId="0" borderId="90" xfId="0" applyFont="1" applyFill="1" applyBorder="1" applyAlignment="1" applyProtection="1">
      <alignment horizontal="center" vertical="center"/>
      <protection hidden="1"/>
    </xf>
    <xf numFmtId="0" fontId="75" fillId="0" borderId="99" xfId="0" applyFont="1" applyBorder="1" applyAlignment="1" applyProtection="1">
      <alignment horizontal="center" vertical="center" wrapText="1"/>
      <protection hidden="1"/>
    </xf>
    <xf numFmtId="0" fontId="75" fillId="0" borderId="101" xfId="0" applyFont="1" applyBorder="1" applyAlignment="1" applyProtection="1">
      <alignment horizontal="center" vertical="center" wrapText="1"/>
      <protection hidden="1"/>
    </xf>
    <xf numFmtId="0" fontId="75" fillId="0" borderId="102" xfId="0" applyFont="1" applyBorder="1" applyAlignment="1" applyProtection="1">
      <alignment horizontal="center" vertical="center" wrapText="1"/>
      <protection hidden="1"/>
    </xf>
    <xf numFmtId="0" fontId="75" fillId="0" borderId="90" xfId="0" applyFont="1" applyBorder="1" applyAlignment="1" applyProtection="1">
      <alignment horizontal="center" vertical="center" wrapText="1"/>
      <protection hidden="1"/>
    </xf>
    <xf numFmtId="0" fontId="78" fillId="2" borderId="90" xfId="0" applyFont="1" applyFill="1" applyBorder="1" applyAlignment="1" applyProtection="1">
      <alignment horizontal="center" vertical="center"/>
      <protection hidden="1"/>
    </xf>
    <xf numFmtId="0" fontId="75" fillId="0" borderId="90" xfId="0" applyFont="1" applyFill="1" applyBorder="1" applyAlignment="1" applyProtection="1">
      <alignment horizontal="center" vertical="center" wrapText="1"/>
      <protection hidden="1"/>
    </xf>
    <xf numFmtId="0" fontId="75" fillId="0" borderId="90" xfId="0" applyFont="1" applyFill="1" applyBorder="1" applyAlignment="1" applyProtection="1">
      <alignment horizontal="justify" vertical="center" wrapText="1"/>
      <protection hidden="1"/>
    </xf>
    <xf numFmtId="0" fontId="78" fillId="0" borderId="90" xfId="0" applyFont="1" applyFill="1" applyBorder="1" applyAlignment="1" applyProtection="1">
      <alignment horizontal="justify" vertical="center" wrapText="1"/>
      <protection hidden="1"/>
    </xf>
    <xf numFmtId="0" fontId="76" fillId="0" borderId="90" xfId="0" applyFont="1" applyBorder="1" applyAlignment="1" applyProtection="1">
      <alignment horizontal="center" vertical="center" wrapText="1"/>
      <protection hidden="1"/>
    </xf>
    <xf numFmtId="0" fontId="75" fillId="0" borderId="90" xfId="0" applyFont="1" applyBorder="1" applyAlignment="1" applyProtection="1">
      <alignment horizontal="center" vertical="center"/>
      <protection hidden="1"/>
    </xf>
    <xf numFmtId="0" fontId="74" fillId="0" borderId="90" xfId="0" applyFont="1" applyBorder="1" applyAlignment="1" applyProtection="1">
      <alignment horizontal="center" vertical="center" wrapText="1"/>
      <protection hidden="1"/>
    </xf>
    <xf numFmtId="9" fontId="75" fillId="0" borderId="90" xfId="0" applyNumberFormat="1" applyFont="1" applyBorder="1" applyAlignment="1" applyProtection="1">
      <alignment horizontal="center" vertical="center" wrapText="1"/>
      <protection hidden="1"/>
    </xf>
    <xf numFmtId="0" fontId="75" fillId="2" borderId="90" xfId="0" applyFont="1" applyFill="1" applyBorder="1" applyAlignment="1" applyProtection="1">
      <alignment horizontal="justify" vertical="center" wrapText="1"/>
      <protection hidden="1"/>
    </xf>
    <xf numFmtId="0" fontId="76" fillId="2" borderId="90" xfId="0" applyFont="1" applyFill="1" applyBorder="1" applyAlignment="1" applyProtection="1">
      <alignment horizontal="center" vertical="center" wrapText="1"/>
      <protection hidden="1"/>
    </xf>
    <xf numFmtId="0" fontId="75" fillId="2" borderId="90" xfId="0" applyFont="1" applyFill="1" applyBorder="1" applyAlignment="1" applyProtection="1">
      <alignment horizontal="center" vertical="center" wrapText="1"/>
      <protection hidden="1"/>
    </xf>
    <xf numFmtId="0" fontId="75" fillId="2" borderId="90" xfId="0" applyFont="1" applyFill="1" applyBorder="1" applyAlignment="1" applyProtection="1">
      <alignment horizontal="center" vertical="center"/>
      <protection hidden="1"/>
    </xf>
    <xf numFmtId="0" fontId="74" fillId="2" borderId="90" xfId="0" applyFont="1" applyFill="1" applyBorder="1" applyAlignment="1" applyProtection="1">
      <alignment horizontal="center" vertical="center" wrapText="1"/>
      <protection hidden="1"/>
    </xf>
    <xf numFmtId="9" fontId="75" fillId="2" borderId="90" xfId="0" applyNumberFormat="1" applyFont="1" applyFill="1" applyBorder="1" applyAlignment="1" applyProtection="1">
      <alignment horizontal="center" vertical="center" wrapText="1"/>
      <protection hidden="1"/>
    </xf>
    <xf numFmtId="0" fontId="74" fillId="2" borderId="90" xfId="0" applyFont="1" applyFill="1" applyBorder="1" applyAlignment="1" applyProtection="1">
      <alignment horizontal="center" vertical="center"/>
      <protection hidden="1"/>
    </xf>
    <xf numFmtId="0" fontId="75" fillId="21" borderId="90" xfId="0" applyFont="1" applyFill="1" applyBorder="1" applyAlignment="1" applyProtection="1">
      <alignment horizontal="center" vertical="center" wrapText="1"/>
      <protection hidden="1"/>
    </xf>
    <xf numFmtId="0" fontId="78" fillId="0" borderId="90" xfId="0" applyFont="1" applyBorder="1" applyAlignment="1" applyProtection="1">
      <alignment horizontal="justify" vertical="center" wrapText="1"/>
      <protection hidden="1"/>
    </xf>
    <xf numFmtId="0" fontId="75" fillId="0" borderId="90" xfId="0" applyFont="1" applyBorder="1" applyAlignment="1" applyProtection="1">
      <alignment horizontal="justify" vertical="center" wrapText="1"/>
      <protection hidden="1"/>
    </xf>
    <xf numFmtId="17" fontId="75" fillId="0" borderId="90" xfId="0" applyNumberFormat="1" applyFont="1" applyBorder="1" applyAlignment="1" applyProtection="1">
      <alignment horizontal="center" vertical="center"/>
      <protection hidden="1"/>
    </xf>
    <xf numFmtId="14" fontId="75" fillId="0" borderId="90" xfId="0" applyNumberFormat="1" applyFont="1" applyBorder="1" applyAlignment="1" applyProtection="1">
      <alignment horizontal="center" vertical="center"/>
      <protection hidden="1"/>
    </xf>
    <xf numFmtId="0" fontId="75" fillId="0" borderId="95" xfId="0" applyFont="1" applyBorder="1" applyAlignment="1" applyProtection="1">
      <alignment horizontal="center" vertical="center"/>
      <protection hidden="1"/>
    </xf>
    <xf numFmtId="14" fontId="75" fillId="0" borderId="90" xfId="0" applyNumberFormat="1" applyFont="1" applyBorder="1" applyAlignment="1" applyProtection="1">
      <alignment horizontal="center" vertical="center" wrapText="1"/>
      <protection hidden="1"/>
    </xf>
    <xf numFmtId="0" fontId="80" fillId="2" borderId="90" xfId="0" applyFont="1" applyFill="1" applyBorder="1" applyAlignment="1" applyProtection="1">
      <alignment horizontal="center" vertical="center" wrapText="1"/>
      <protection hidden="1"/>
    </xf>
    <xf numFmtId="14" fontId="80" fillId="0" borderId="90" xfId="0" applyNumberFormat="1" applyFont="1" applyBorder="1" applyAlignment="1" applyProtection="1">
      <alignment horizontal="center" vertical="center" wrapText="1"/>
      <protection hidden="1"/>
    </xf>
    <xf numFmtId="14" fontId="80" fillId="0" borderId="90" xfId="0" applyNumberFormat="1" applyFont="1" applyBorder="1" applyAlignment="1" applyProtection="1">
      <alignment horizontal="center" vertical="center"/>
      <protection hidden="1"/>
    </xf>
    <xf numFmtId="0" fontId="80" fillId="0" borderId="90" xfId="0" applyFont="1" applyBorder="1" applyAlignment="1" applyProtection="1">
      <alignment horizontal="center" vertical="center" wrapText="1"/>
      <protection hidden="1"/>
    </xf>
    <xf numFmtId="0" fontId="80" fillId="0" borderId="95" xfId="0" applyFont="1" applyBorder="1" applyAlignment="1" applyProtection="1">
      <alignment horizontal="center" vertical="center"/>
      <protection hidden="1"/>
    </xf>
    <xf numFmtId="49" fontId="75" fillId="0" borderId="90" xfId="0" applyNumberFormat="1" applyFont="1" applyBorder="1" applyAlignment="1" applyProtection="1">
      <alignment horizontal="center" vertical="center"/>
      <protection hidden="1"/>
    </xf>
    <xf numFmtId="49" fontId="75" fillId="0" borderId="90" xfId="0" applyNumberFormat="1" applyFont="1" applyBorder="1" applyAlignment="1" applyProtection="1">
      <alignment horizontal="center" vertical="center" wrapText="1"/>
      <protection hidden="1"/>
    </xf>
    <xf numFmtId="0" fontId="75" fillId="0" borderId="99" xfId="0" applyFont="1" applyFill="1" applyBorder="1" applyAlignment="1" applyProtection="1">
      <alignment horizontal="center" vertical="center"/>
      <protection hidden="1"/>
    </xf>
    <xf numFmtId="0" fontId="75" fillId="0" borderId="102" xfId="0" applyFont="1" applyFill="1" applyBorder="1" applyAlignment="1" applyProtection="1">
      <alignment horizontal="center" vertical="center"/>
      <protection hidden="1"/>
    </xf>
    <xf numFmtId="9" fontId="75" fillId="0" borderId="99" xfId="0" applyNumberFormat="1" applyFont="1" applyBorder="1" applyAlignment="1" applyProtection="1">
      <alignment horizontal="center" vertical="center" wrapText="1"/>
      <protection hidden="1"/>
    </xf>
    <xf numFmtId="9" fontId="75" fillId="0" borderId="101" xfId="0" applyNumberFormat="1" applyFont="1" applyBorder="1" applyAlignment="1" applyProtection="1">
      <alignment horizontal="center" vertical="center" wrapText="1"/>
      <protection hidden="1"/>
    </xf>
    <xf numFmtId="0" fontId="74" fillId="0" borderId="99" xfId="0" applyFont="1" applyBorder="1" applyAlignment="1" applyProtection="1">
      <alignment horizontal="center" vertical="center" wrapText="1"/>
      <protection hidden="1"/>
    </xf>
    <xf numFmtId="0" fontId="74" fillId="0" borderId="101" xfId="0" applyFont="1" applyBorder="1" applyAlignment="1" applyProtection="1">
      <alignment horizontal="center" vertical="center" wrapText="1"/>
      <protection hidden="1"/>
    </xf>
    <xf numFmtId="0" fontId="74" fillId="0" borderId="99" xfId="0" applyFont="1" applyBorder="1" applyAlignment="1" applyProtection="1">
      <alignment horizontal="center" vertical="center"/>
      <protection hidden="1"/>
    </xf>
    <xf numFmtId="0" fontId="74" fillId="0" borderId="101" xfId="0" applyFont="1" applyBorder="1" applyAlignment="1" applyProtection="1">
      <alignment horizontal="center" vertical="center"/>
      <protection hidden="1"/>
    </xf>
    <xf numFmtId="0" fontId="75" fillId="2" borderId="97" xfId="0" applyFont="1" applyFill="1" applyBorder="1" applyAlignment="1" applyProtection="1">
      <alignment horizontal="left" vertical="center" wrapText="1"/>
      <protection hidden="1"/>
    </xf>
    <xf numFmtId="0" fontId="75" fillId="2" borderId="98" xfId="0" applyFont="1" applyFill="1" applyBorder="1" applyAlignment="1" applyProtection="1">
      <alignment horizontal="left" vertical="center" wrapText="1"/>
      <protection hidden="1"/>
    </xf>
    <xf numFmtId="0" fontId="73" fillId="22" borderId="90" xfId="0" applyFont="1" applyFill="1" applyBorder="1" applyAlignment="1" applyProtection="1">
      <alignment horizontal="center" vertical="center"/>
      <protection hidden="1"/>
    </xf>
    <xf numFmtId="0" fontId="73" fillId="22" borderId="90" xfId="0" applyFont="1" applyFill="1" applyBorder="1" applyAlignment="1" applyProtection="1">
      <alignment horizontal="center" vertical="center" wrapText="1"/>
      <protection hidden="1"/>
    </xf>
    <xf numFmtId="0" fontId="73" fillId="15" borderId="90" xfId="0" applyFont="1" applyFill="1" applyBorder="1" applyAlignment="1" applyProtection="1">
      <alignment horizontal="center" vertical="center" wrapText="1"/>
      <protection hidden="1"/>
    </xf>
    <xf numFmtId="0" fontId="73" fillId="15" borderId="90" xfId="0" applyFont="1" applyFill="1" applyBorder="1" applyAlignment="1" applyProtection="1">
      <alignment horizontal="center" vertical="center"/>
      <protection hidden="1"/>
    </xf>
    <xf numFmtId="0" fontId="76" fillId="0" borderId="92" xfId="0" applyFont="1" applyBorder="1" applyAlignment="1" applyProtection="1">
      <alignment horizontal="center" vertical="center"/>
      <protection hidden="1"/>
    </xf>
    <xf numFmtId="0" fontId="76" fillId="0" borderId="93" xfId="0" applyFont="1" applyBorder="1" applyAlignment="1" applyProtection="1">
      <alignment horizontal="center" vertical="center"/>
      <protection hidden="1"/>
    </xf>
    <xf numFmtId="0" fontId="76" fillId="0" borderId="90" xfId="0" applyFont="1" applyBorder="1" applyAlignment="1" applyProtection="1">
      <alignment horizontal="center" vertical="center"/>
      <protection hidden="1"/>
    </xf>
    <xf numFmtId="0" fontId="76" fillId="0" borderId="95" xfId="0" applyFont="1" applyBorder="1" applyAlignment="1" applyProtection="1">
      <alignment horizontal="center" vertical="center"/>
      <protection hidden="1"/>
    </xf>
    <xf numFmtId="0" fontId="76" fillId="0" borderId="97" xfId="0" applyFont="1" applyBorder="1" applyAlignment="1" applyProtection="1">
      <alignment horizontal="center" vertical="center"/>
      <protection hidden="1"/>
    </xf>
    <xf numFmtId="0" fontId="76" fillId="0" borderId="98" xfId="0" applyFont="1" applyBorder="1" applyAlignment="1" applyProtection="1">
      <alignment horizontal="center" vertical="center"/>
      <protection hidden="1"/>
    </xf>
    <xf numFmtId="0" fontId="74" fillId="0" borderId="92" xfId="0" applyFont="1" applyBorder="1" applyAlignment="1" applyProtection="1">
      <alignment horizontal="center" vertical="center"/>
      <protection hidden="1"/>
    </xf>
    <xf numFmtId="0" fontId="74" fillId="0" borderId="97" xfId="0" applyFont="1" applyBorder="1" applyAlignment="1" applyProtection="1">
      <alignment horizontal="center" vertical="center" wrapText="1"/>
      <protection hidden="1"/>
    </xf>
    <xf numFmtId="0" fontId="75" fillId="0" borderId="94" xfId="0" applyFont="1" applyBorder="1" applyAlignment="1" applyProtection="1">
      <alignment horizontal="center" vertical="center"/>
      <protection hidden="1"/>
    </xf>
    <xf numFmtId="0" fontId="75" fillId="0" borderId="96" xfId="0" applyFont="1" applyBorder="1" applyAlignment="1" applyProtection="1">
      <alignment horizontal="center" vertical="center"/>
      <protection hidden="1"/>
    </xf>
    <xf numFmtId="0" fontId="75" fillId="0" borderId="97" xfId="0" applyFont="1" applyBorder="1" applyAlignment="1" applyProtection="1">
      <alignment horizontal="center" vertical="center"/>
      <protection hidden="1"/>
    </xf>
    <xf numFmtId="0" fontId="74" fillId="0" borderId="91" xfId="0" applyFont="1" applyBorder="1" applyAlignment="1" applyProtection="1">
      <alignment horizontal="center" vertical="center" wrapText="1"/>
      <protection hidden="1"/>
    </xf>
    <xf numFmtId="0" fontId="74" fillId="0" borderId="92" xfId="0" applyFont="1" applyBorder="1" applyAlignment="1" applyProtection="1">
      <alignment horizontal="center" vertical="center" wrapText="1"/>
      <protection hidden="1"/>
    </xf>
    <xf numFmtId="0" fontId="75" fillId="0" borderId="104" xfId="0" applyFont="1" applyBorder="1" applyAlignment="1" applyProtection="1">
      <alignment horizontal="left" vertical="center" wrapText="1"/>
      <protection hidden="1"/>
    </xf>
    <xf numFmtId="0" fontId="75" fillId="0" borderId="105" xfId="0" applyFont="1" applyBorder="1" applyAlignment="1" applyProtection="1">
      <alignment horizontal="left" vertical="center" wrapText="1"/>
      <protection hidden="1"/>
    </xf>
    <xf numFmtId="0" fontId="75" fillId="0" borderId="106" xfId="0" applyFont="1" applyBorder="1" applyAlignment="1" applyProtection="1">
      <alignment horizontal="left" vertical="center" wrapText="1"/>
      <protection hidden="1"/>
    </xf>
    <xf numFmtId="0" fontId="78" fillId="0" borderId="90" xfId="0" applyFont="1" applyBorder="1" applyAlignment="1" applyProtection="1">
      <alignment horizontal="center" vertical="center" wrapText="1"/>
      <protection hidden="1"/>
    </xf>
    <xf numFmtId="0" fontId="73" fillId="15" borderId="91" xfId="0" applyFont="1" applyFill="1" applyBorder="1" applyAlignment="1" applyProtection="1">
      <alignment horizontal="center" vertical="center"/>
      <protection hidden="1"/>
    </xf>
    <xf numFmtId="0" fontId="73" fillId="15" borderId="92" xfId="0" applyFont="1" applyFill="1" applyBorder="1" applyAlignment="1" applyProtection="1">
      <alignment horizontal="center" vertical="center"/>
      <protection hidden="1"/>
    </xf>
    <xf numFmtId="0" fontId="73" fillId="22" borderId="92" xfId="0" applyFont="1" applyFill="1" applyBorder="1" applyAlignment="1" applyProtection="1">
      <alignment horizontal="center" vertical="center"/>
      <protection hidden="1"/>
    </xf>
    <xf numFmtId="0" fontId="73" fillId="25" borderId="92" xfId="0" applyFont="1" applyFill="1" applyBorder="1" applyAlignment="1" applyProtection="1">
      <alignment horizontal="center" vertical="center"/>
      <protection hidden="1"/>
    </xf>
    <xf numFmtId="0" fontId="74" fillId="2" borderId="91" xfId="0" applyFont="1" applyFill="1" applyBorder="1" applyAlignment="1" applyProtection="1">
      <alignment horizontal="left" vertical="center"/>
      <protection hidden="1"/>
    </xf>
    <xf numFmtId="0" fontId="74" fillId="2" borderId="92" xfId="0" applyFont="1" applyFill="1" applyBorder="1" applyAlignment="1" applyProtection="1">
      <alignment horizontal="left" vertical="center"/>
      <protection hidden="1"/>
    </xf>
    <xf numFmtId="0" fontId="74" fillId="2" borderId="94" xfId="0" applyFont="1" applyFill="1" applyBorder="1" applyAlignment="1" applyProtection="1">
      <alignment horizontal="left" vertical="center" wrapText="1"/>
      <protection hidden="1"/>
    </xf>
    <xf numFmtId="0" fontId="74" fillId="2" borderId="90" xfId="0" applyFont="1" applyFill="1" applyBorder="1" applyAlignment="1" applyProtection="1">
      <alignment horizontal="left" vertical="center" wrapText="1"/>
      <protection hidden="1"/>
    </xf>
    <xf numFmtId="0" fontId="74" fillId="2" borderId="96" xfId="0" applyFont="1" applyFill="1" applyBorder="1" applyAlignment="1" applyProtection="1">
      <alignment horizontal="left" vertical="center"/>
      <protection hidden="1"/>
    </xf>
    <xf numFmtId="0" fontId="74" fillId="2" borderId="97" xfId="0" applyFont="1" applyFill="1" applyBorder="1" applyAlignment="1" applyProtection="1">
      <alignment horizontal="left" vertical="center"/>
      <protection hidden="1"/>
    </xf>
    <xf numFmtId="0" fontId="73" fillId="2" borderId="92" xfId="0" applyFont="1" applyFill="1" applyBorder="1" applyAlignment="1" applyProtection="1">
      <alignment horizontal="left" vertical="center"/>
      <protection hidden="1"/>
    </xf>
    <xf numFmtId="0" fontId="73" fillId="2" borderId="93" xfId="0" applyFont="1" applyFill="1" applyBorder="1" applyAlignment="1" applyProtection="1">
      <alignment horizontal="left" vertical="center"/>
      <protection hidden="1"/>
    </xf>
    <xf numFmtId="0" fontId="75" fillId="2" borderId="90" xfId="0" applyFont="1" applyFill="1" applyBorder="1" applyAlignment="1" applyProtection="1">
      <alignment horizontal="left" vertical="center" wrapText="1"/>
      <protection hidden="1"/>
    </xf>
    <xf numFmtId="0" fontId="75" fillId="2" borderId="95" xfId="0" applyFont="1" applyFill="1" applyBorder="1" applyAlignment="1" applyProtection="1">
      <alignment horizontal="left" vertical="center" wrapText="1"/>
      <protection hidden="1"/>
    </xf>
    <xf numFmtId="0" fontId="73" fillId="15" borderId="94" xfId="0" applyFont="1" applyFill="1" applyBorder="1" applyAlignment="1" applyProtection="1">
      <alignment horizontal="center" vertical="center" textRotation="90"/>
      <protection hidden="1"/>
    </xf>
    <xf numFmtId="0" fontId="73" fillId="21" borderId="90" xfId="0" applyFont="1" applyFill="1" applyBorder="1" applyAlignment="1" applyProtection="1">
      <alignment horizontal="center" vertical="center" wrapText="1"/>
      <protection hidden="1"/>
    </xf>
    <xf numFmtId="0" fontId="73" fillId="21" borderId="90" xfId="0" applyFont="1" applyFill="1" applyBorder="1" applyAlignment="1" applyProtection="1">
      <alignment horizontal="center" vertical="center"/>
      <protection hidden="1"/>
    </xf>
    <xf numFmtId="0" fontId="75" fillId="2" borderId="0" xfId="0" applyFont="1" applyFill="1" applyAlignment="1" applyProtection="1">
      <alignment horizontal="left" vertical="center"/>
      <protection hidden="1"/>
    </xf>
    <xf numFmtId="0" fontId="73" fillId="24" borderId="90" xfId="0" applyFont="1" applyFill="1" applyBorder="1" applyAlignment="1" applyProtection="1">
      <alignment horizontal="center" vertical="center" textRotation="90" wrapText="1"/>
      <protection hidden="1"/>
    </xf>
    <xf numFmtId="0" fontId="73" fillId="25" borderId="90" xfId="0" applyFont="1" applyFill="1" applyBorder="1" applyAlignment="1" applyProtection="1">
      <alignment horizontal="center" vertical="center" wrapText="1"/>
      <protection hidden="1"/>
    </xf>
    <xf numFmtId="0" fontId="73" fillId="24" borderId="92" xfId="0" applyFont="1" applyFill="1" applyBorder="1" applyAlignment="1" applyProtection="1">
      <alignment horizontal="center" vertical="center"/>
      <protection hidden="1"/>
    </xf>
    <xf numFmtId="0" fontId="73" fillId="23" borderId="90" xfId="0" applyFont="1" applyFill="1" applyBorder="1" applyAlignment="1" applyProtection="1">
      <alignment horizontal="center" vertical="center" wrapText="1"/>
      <protection hidden="1"/>
    </xf>
    <xf numFmtId="0" fontId="73" fillId="23" borderId="92" xfId="0" applyFont="1" applyFill="1" applyBorder="1" applyAlignment="1" applyProtection="1">
      <alignment horizontal="center" vertical="center"/>
      <protection hidden="1"/>
    </xf>
    <xf numFmtId="0" fontId="73" fillId="23" borderId="93" xfId="0" applyFont="1" applyFill="1" applyBorder="1" applyAlignment="1" applyProtection="1">
      <alignment horizontal="center" vertical="center"/>
      <protection hidden="1"/>
    </xf>
    <xf numFmtId="0" fontId="77" fillId="2" borderId="0" xfId="0" applyFont="1" applyFill="1" applyAlignment="1" applyProtection="1">
      <alignment horizontal="left"/>
      <protection hidden="1"/>
    </xf>
    <xf numFmtId="0" fontId="73" fillId="23" borderId="95" xfId="0" applyFont="1" applyFill="1" applyBorder="1" applyAlignment="1" applyProtection="1">
      <alignment horizontal="center" vertical="center" wrapText="1"/>
      <protection hidden="1"/>
    </xf>
    <xf numFmtId="0" fontId="73" fillId="25" borderId="90" xfId="0" applyFont="1" applyFill="1" applyBorder="1" applyAlignment="1" applyProtection="1">
      <alignment horizontal="center" vertical="center" textRotation="90" wrapText="1"/>
      <protection hidden="1"/>
    </xf>
    <xf numFmtId="0" fontId="74" fillId="0" borderId="100" xfId="0" applyFont="1" applyBorder="1" applyAlignment="1" applyProtection="1">
      <alignment horizontal="center" vertical="center"/>
      <protection hidden="1"/>
    </xf>
    <xf numFmtId="0" fontId="74" fillId="0" borderId="103" xfId="0" applyFont="1" applyBorder="1" applyAlignment="1" applyProtection="1">
      <alignment horizontal="center" vertical="center"/>
      <protection hidden="1"/>
    </xf>
    <xf numFmtId="0" fontId="75" fillId="2" borderId="99" xfId="0" applyFont="1" applyFill="1" applyBorder="1" applyAlignment="1" applyProtection="1">
      <alignment horizontal="center" vertical="center"/>
      <protection hidden="1"/>
    </xf>
    <xf numFmtId="0" fontId="75" fillId="2" borderId="101" xfId="0" applyFont="1" applyFill="1" applyBorder="1" applyAlignment="1" applyProtection="1">
      <alignment horizontal="center" vertical="center"/>
      <protection hidden="1"/>
    </xf>
    <xf numFmtId="0" fontId="78" fillId="0" borderId="99" xfId="0" applyFont="1" applyBorder="1" applyAlignment="1" applyProtection="1">
      <alignment horizontal="center" vertical="center" wrapText="1"/>
      <protection hidden="1"/>
    </xf>
    <xf numFmtId="0" fontId="78" fillId="0" borderId="101" xfId="0" applyFont="1" applyBorder="1" applyAlignment="1" applyProtection="1">
      <alignment horizontal="center" vertical="center" wrapText="1"/>
      <protection hidden="1"/>
    </xf>
    <xf numFmtId="0" fontId="76" fillId="0" borderId="99" xfId="0" applyFont="1" applyBorder="1" applyAlignment="1" applyProtection="1">
      <alignment horizontal="center" vertical="center" wrapText="1"/>
      <protection hidden="1"/>
    </xf>
    <xf numFmtId="0" fontId="76" fillId="0" borderId="101" xfId="0" applyFont="1" applyBorder="1" applyAlignment="1" applyProtection="1">
      <alignment horizontal="center" vertical="center" wrapText="1"/>
      <protection hidden="1"/>
    </xf>
    <xf numFmtId="0" fontId="75" fillId="0" borderId="99" xfId="0" applyFont="1" applyBorder="1" applyAlignment="1" applyProtection="1">
      <alignment horizontal="center" vertical="center"/>
      <protection hidden="1"/>
    </xf>
    <xf numFmtId="0" fontId="75" fillId="0" borderId="101" xfId="0" applyFont="1" applyBorder="1" applyAlignment="1" applyProtection="1">
      <alignment horizontal="center" vertical="center"/>
      <protection hidden="1"/>
    </xf>
    <xf numFmtId="0" fontId="70" fillId="20" borderId="49" xfId="0" applyFont="1" applyFill="1" applyBorder="1" applyAlignment="1" applyProtection="1">
      <alignment horizontal="justify" vertical="center" wrapText="1"/>
      <protection locked="0" hidden="1"/>
    </xf>
    <xf numFmtId="14" fontId="67" fillId="17" borderId="49" xfId="0" applyNumberFormat="1" applyFont="1" applyFill="1" applyBorder="1" applyAlignment="1" applyProtection="1">
      <alignment horizontal="justify" vertical="center" wrapText="1"/>
      <protection hidden="1"/>
    </xf>
    <xf numFmtId="0" fontId="56" fillId="20" borderId="49" xfId="0" applyFont="1" applyFill="1" applyBorder="1" applyAlignment="1" applyProtection="1">
      <alignment horizontal="justify" vertical="center" wrapText="1"/>
      <protection hidden="1"/>
    </xf>
    <xf numFmtId="0" fontId="69" fillId="20" borderId="49" xfId="0" applyFont="1" applyFill="1" applyBorder="1" applyAlignment="1" applyProtection="1">
      <alignment horizontal="justify" vertical="center" wrapText="1"/>
      <protection hidden="1"/>
    </xf>
    <xf numFmtId="0" fontId="69" fillId="20" borderId="49" xfId="0" applyFont="1" applyFill="1" applyBorder="1" applyAlignment="1" applyProtection="1">
      <alignment horizontal="justify" vertical="center" wrapText="1"/>
      <protection locked="0" hidden="1"/>
    </xf>
    <xf numFmtId="0" fontId="55" fillId="0" borderId="77" xfId="0" applyFont="1" applyBorder="1" applyAlignment="1" applyProtection="1">
      <alignment horizontal="justify" vertical="center" wrapText="1"/>
      <protection hidden="1"/>
    </xf>
    <xf numFmtId="0" fontId="55" fillId="0" borderId="78" xfId="0" applyFont="1" applyBorder="1" applyAlignment="1" applyProtection="1">
      <alignment horizontal="justify" vertical="center" wrapText="1"/>
      <protection hidden="1"/>
    </xf>
    <xf numFmtId="0" fontId="63" fillId="0" borderId="79" xfId="0" applyFont="1" applyBorder="1" applyAlignment="1" applyProtection="1">
      <alignment horizontal="justify" vertical="center" wrapText="1"/>
      <protection hidden="1"/>
    </xf>
    <xf numFmtId="0" fontId="63" fillId="0" borderId="15" xfId="0" applyFont="1" applyBorder="1" applyAlignment="1" applyProtection="1">
      <alignment horizontal="justify" vertical="center" wrapText="1"/>
      <protection hidden="1"/>
    </xf>
    <xf numFmtId="0" fontId="55" fillId="0" borderId="47" xfId="0" applyFont="1" applyBorder="1" applyAlignment="1" applyProtection="1">
      <alignment horizontal="justify" vertical="center" wrapText="1"/>
      <protection hidden="1"/>
    </xf>
    <xf numFmtId="0" fontId="55" fillId="0" borderId="14" xfId="0" applyFont="1" applyBorder="1" applyAlignment="1" applyProtection="1">
      <alignment horizontal="justify" vertical="center" wrapText="1"/>
      <protection hidden="1"/>
    </xf>
    <xf numFmtId="0" fontId="55" fillId="0" borderId="48" xfId="0" applyFont="1" applyBorder="1" applyAlignment="1" applyProtection="1">
      <alignment horizontal="justify" vertical="center" wrapText="1"/>
      <protection hidden="1"/>
    </xf>
    <xf numFmtId="0" fontId="55" fillId="0" borderId="16" xfId="0" applyFont="1" applyBorder="1" applyAlignment="1" applyProtection="1">
      <alignment horizontal="justify" vertical="center" wrapText="1"/>
      <protection hidden="1"/>
    </xf>
    <xf numFmtId="0" fontId="55" fillId="0" borderId="17" xfId="0" applyFont="1" applyBorder="1" applyAlignment="1" applyProtection="1">
      <alignment horizontal="justify" vertical="center" wrapText="1"/>
      <protection hidden="1"/>
    </xf>
    <xf numFmtId="14" fontId="68" fillId="17" borderId="49" xfId="0" applyNumberFormat="1" applyFont="1" applyFill="1" applyBorder="1" applyAlignment="1" applyProtection="1">
      <alignment horizontal="justify" vertical="center" wrapText="1"/>
      <protection hidden="1"/>
    </xf>
    <xf numFmtId="0" fontId="68" fillId="17" borderId="49" xfId="0" applyFont="1" applyFill="1" applyBorder="1" applyAlignment="1" applyProtection="1">
      <alignment horizontal="justify" vertical="center" wrapText="1"/>
      <protection hidden="1"/>
    </xf>
    <xf numFmtId="0" fontId="56" fillId="17" borderId="49" xfId="0" applyFont="1" applyFill="1" applyBorder="1" applyAlignment="1" applyProtection="1">
      <alignment horizontal="justify" vertical="center" wrapText="1"/>
      <protection hidden="1"/>
    </xf>
    <xf numFmtId="0" fontId="55" fillId="0" borderId="81" xfId="0" applyFont="1" applyBorder="1" applyAlignment="1" applyProtection="1">
      <alignment horizontal="justify" vertical="center"/>
      <protection hidden="1"/>
    </xf>
    <xf numFmtId="0" fontId="55" fillId="0" borderId="10" xfId="0" applyFont="1" applyBorder="1" applyAlignment="1" applyProtection="1">
      <alignment horizontal="justify" vertical="center"/>
      <protection hidden="1"/>
    </xf>
    <xf numFmtId="0" fontId="55" fillId="0" borderId="82" xfId="0" applyFont="1" applyBorder="1" applyAlignment="1" applyProtection="1">
      <alignment horizontal="justify" vertical="center"/>
      <protection hidden="1"/>
    </xf>
    <xf numFmtId="0" fontId="55" fillId="0" borderId="83" xfId="0" applyFont="1" applyBorder="1" applyAlignment="1" applyProtection="1">
      <alignment horizontal="justify" vertical="center"/>
      <protection hidden="1"/>
    </xf>
    <xf numFmtId="0" fontId="55" fillId="0" borderId="26" xfId="0" applyFont="1" applyBorder="1" applyAlignment="1" applyProtection="1">
      <alignment horizontal="justify" vertical="center"/>
      <protection hidden="1"/>
    </xf>
    <xf numFmtId="0" fontId="55" fillId="0" borderId="84" xfId="0" applyFont="1" applyBorder="1" applyAlignment="1" applyProtection="1">
      <alignment horizontal="justify" vertical="center"/>
      <protection hidden="1"/>
    </xf>
    <xf numFmtId="0" fontId="55" fillId="0" borderId="85" xfId="0" applyFont="1" applyBorder="1" applyAlignment="1" applyProtection="1">
      <alignment horizontal="justify" vertical="center"/>
      <protection hidden="1"/>
    </xf>
    <xf numFmtId="0" fontId="55" fillId="0" borderId="23" xfId="0" applyFont="1" applyBorder="1" applyAlignment="1" applyProtection="1">
      <alignment horizontal="justify" vertical="center"/>
      <protection hidden="1"/>
    </xf>
    <xf numFmtId="0" fontId="55" fillId="0" borderId="86" xfId="0" applyFont="1" applyBorder="1" applyAlignment="1" applyProtection="1">
      <alignment horizontal="justify" vertical="center"/>
      <protection hidden="1"/>
    </xf>
    <xf numFmtId="0" fontId="55" fillId="0" borderId="87" xfId="0" applyFont="1" applyBorder="1" applyAlignment="1" applyProtection="1">
      <alignment horizontal="justify" vertical="center" wrapText="1"/>
      <protection hidden="1"/>
    </xf>
    <xf numFmtId="0" fontId="55" fillId="0" borderId="88" xfId="0" applyFont="1" applyBorder="1" applyAlignment="1" applyProtection="1">
      <alignment horizontal="justify" vertical="center" wrapText="1"/>
      <protection hidden="1"/>
    </xf>
    <xf numFmtId="0" fontId="55" fillId="0" borderId="89" xfId="0" applyFont="1" applyBorder="1" applyAlignment="1" applyProtection="1">
      <alignment horizontal="justify" vertical="center" wrapText="1"/>
      <protection hidden="1"/>
    </xf>
    <xf numFmtId="0" fontId="55" fillId="0" borderId="87" xfId="0" applyFont="1" applyBorder="1" applyAlignment="1" applyProtection="1">
      <alignment horizontal="justify" vertical="center"/>
      <protection hidden="1"/>
    </xf>
    <xf numFmtId="0" fontId="55" fillId="0" borderId="88" xfId="0" applyFont="1" applyBorder="1" applyAlignment="1" applyProtection="1">
      <alignment horizontal="justify" vertical="center"/>
      <protection hidden="1"/>
    </xf>
    <xf numFmtId="0" fontId="55" fillId="0" borderId="89" xfId="0" applyFont="1" applyBorder="1" applyAlignment="1" applyProtection="1">
      <alignment horizontal="justify" vertical="center"/>
      <protection hidden="1"/>
    </xf>
    <xf numFmtId="0" fontId="70" fillId="20" borderId="49" xfId="0" applyFont="1" applyFill="1" applyBorder="1" applyAlignment="1" applyProtection="1">
      <alignment horizontal="center" wrapText="1"/>
      <protection locked="0" hidden="1"/>
    </xf>
    <xf numFmtId="0" fontId="56" fillId="20" borderId="49" xfId="0" applyFont="1" applyFill="1" applyBorder="1" applyAlignment="1" applyProtection="1">
      <alignment horizontal="center" vertical="center" wrapText="1"/>
      <protection hidden="1"/>
    </xf>
    <xf numFmtId="0" fontId="69" fillId="20" borderId="49" xfId="0" applyFont="1" applyFill="1" applyBorder="1" applyAlignment="1" applyProtection="1">
      <alignment horizontal="center" vertical="center" wrapText="1"/>
      <protection hidden="1"/>
    </xf>
    <xf numFmtId="0" fontId="69" fillId="20" borderId="49" xfId="0" applyFont="1" applyFill="1" applyBorder="1" applyAlignment="1" applyProtection="1">
      <alignment horizontal="center" vertical="center" wrapText="1"/>
      <protection locked="0"/>
    </xf>
    <xf numFmtId="0" fontId="69" fillId="20" borderId="49" xfId="0" applyFont="1" applyFill="1" applyBorder="1" applyAlignment="1" applyProtection="1">
      <alignment horizontal="center" vertical="center" wrapText="1"/>
      <protection locked="0" hidden="1"/>
    </xf>
    <xf numFmtId="0" fontId="55" fillId="0" borderId="85" xfId="0" applyFont="1" applyBorder="1" applyAlignment="1" applyProtection="1">
      <alignment horizontal="center" vertical="center"/>
      <protection hidden="1"/>
    </xf>
    <xf numFmtId="0" fontId="55" fillId="0" borderId="23" xfId="0" applyFont="1" applyBorder="1" applyAlignment="1" applyProtection="1">
      <alignment horizontal="center" vertical="center"/>
      <protection hidden="1"/>
    </xf>
    <xf numFmtId="0" fontId="55" fillId="0" borderId="86" xfId="0" applyFont="1" applyBorder="1" applyAlignment="1" applyProtection="1">
      <alignment horizontal="center" vertical="center"/>
      <protection hidden="1"/>
    </xf>
    <xf numFmtId="0" fontId="55" fillId="0" borderId="81" xfId="0" applyFont="1" applyBorder="1" applyAlignment="1" applyProtection="1">
      <alignment horizontal="center" vertical="center"/>
      <protection hidden="1"/>
    </xf>
    <xf numFmtId="0" fontId="55" fillId="0" borderId="10" xfId="0" applyFont="1" applyBorder="1" applyAlignment="1" applyProtection="1">
      <alignment horizontal="center" vertical="center"/>
      <protection hidden="1"/>
    </xf>
    <xf numFmtId="0" fontId="55" fillId="0" borderId="82" xfId="0" applyFont="1" applyBorder="1" applyAlignment="1" applyProtection="1">
      <alignment horizontal="center" vertical="center"/>
      <protection hidden="1"/>
    </xf>
    <xf numFmtId="0" fontId="55" fillId="0" borderId="83" xfId="0" applyFont="1" applyBorder="1" applyAlignment="1" applyProtection="1">
      <alignment horizontal="center" vertical="center"/>
      <protection hidden="1"/>
    </xf>
    <xf numFmtId="0" fontId="55" fillId="0" borderId="26" xfId="0" applyFont="1" applyBorder="1" applyAlignment="1" applyProtection="1">
      <alignment horizontal="center" vertical="center"/>
      <protection hidden="1"/>
    </xf>
    <xf numFmtId="0" fontId="55" fillId="0" borderId="84" xfId="0" applyFont="1" applyBorder="1" applyAlignment="1" applyProtection="1">
      <alignment horizontal="center" vertical="center"/>
      <protection hidden="1"/>
    </xf>
    <xf numFmtId="0" fontId="55" fillId="0" borderId="87" xfId="0" applyFont="1" applyBorder="1" applyAlignment="1" applyProtection="1">
      <alignment horizontal="center" vertical="center"/>
      <protection hidden="1"/>
    </xf>
    <xf numFmtId="0" fontId="55" fillId="0" borderId="88" xfId="0" applyFont="1" applyBorder="1" applyAlignment="1" applyProtection="1">
      <alignment horizontal="center" vertical="center"/>
      <protection hidden="1"/>
    </xf>
    <xf numFmtId="0" fontId="55" fillId="0" borderId="89" xfId="0" applyFont="1" applyBorder="1" applyAlignment="1" applyProtection="1">
      <alignment horizontal="center" vertical="center"/>
      <protection hidden="1"/>
    </xf>
    <xf numFmtId="0" fontId="55" fillId="0" borderId="87" xfId="0" applyFont="1" applyBorder="1" applyAlignment="1" applyProtection="1">
      <alignment horizontal="center" vertical="center" wrapText="1"/>
      <protection hidden="1"/>
    </xf>
    <xf numFmtId="0" fontId="55" fillId="0" borderId="88" xfId="0" applyFont="1" applyBorder="1" applyAlignment="1" applyProtection="1">
      <alignment horizontal="center" vertical="center" wrapText="1"/>
      <protection hidden="1"/>
    </xf>
    <xf numFmtId="0" fontId="55" fillId="0" borderId="89" xfId="0" applyFont="1" applyBorder="1" applyAlignment="1" applyProtection="1">
      <alignment horizontal="center" vertical="center" wrapText="1"/>
      <protection hidden="1"/>
    </xf>
    <xf numFmtId="0" fontId="55" fillId="0" borderId="77" xfId="0" applyFont="1" applyBorder="1" applyAlignment="1" applyProtection="1">
      <alignment horizontal="center" vertical="center" wrapText="1"/>
      <protection hidden="1"/>
    </xf>
    <xf numFmtId="0" fontId="55" fillId="0" borderId="78" xfId="0" applyFont="1" applyBorder="1" applyAlignment="1" applyProtection="1">
      <alignment horizontal="center" vertical="center" wrapText="1"/>
      <protection hidden="1"/>
    </xf>
    <xf numFmtId="0" fontId="63" fillId="0" borderId="79" xfId="0" applyFont="1" applyBorder="1" applyAlignment="1" applyProtection="1">
      <alignment horizontal="left" vertical="center" wrapText="1"/>
      <protection hidden="1"/>
    </xf>
    <xf numFmtId="0" fontId="63" fillId="0" borderId="15" xfId="0" applyFont="1" applyBorder="1" applyAlignment="1" applyProtection="1">
      <alignment horizontal="left" vertical="center" wrapText="1"/>
      <protection hidden="1"/>
    </xf>
    <xf numFmtId="0" fontId="55" fillId="0" borderId="47" xfId="0" applyFont="1" applyBorder="1" applyAlignment="1" applyProtection="1">
      <alignment horizontal="center" vertical="center" wrapText="1"/>
      <protection hidden="1"/>
    </xf>
    <xf numFmtId="0" fontId="55" fillId="0" borderId="14" xfId="0" applyFont="1" applyBorder="1" applyAlignment="1" applyProtection="1">
      <alignment horizontal="center" vertical="center" wrapText="1"/>
      <protection hidden="1"/>
    </xf>
    <xf numFmtId="0" fontId="55" fillId="0" borderId="48" xfId="0" applyFont="1" applyBorder="1" applyAlignment="1" applyProtection="1">
      <alignment horizontal="center" vertical="center" wrapText="1"/>
      <protection hidden="1"/>
    </xf>
    <xf numFmtId="0" fontId="55" fillId="0" borderId="16" xfId="0" applyFont="1" applyBorder="1" applyAlignment="1" applyProtection="1">
      <alignment horizontal="center" vertical="center" wrapText="1"/>
      <protection hidden="1"/>
    </xf>
    <xf numFmtId="0" fontId="55" fillId="0" borderId="17" xfId="0" applyFont="1" applyBorder="1" applyAlignment="1" applyProtection="1">
      <alignment horizontal="center" vertical="center" wrapText="1"/>
      <protection hidden="1"/>
    </xf>
    <xf numFmtId="14" fontId="68" fillId="18" borderId="49" xfId="0" applyNumberFormat="1" applyFont="1" applyFill="1" applyBorder="1" applyAlignment="1" applyProtection="1">
      <alignment horizontal="center" vertical="center" wrapText="1"/>
      <protection hidden="1"/>
    </xf>
    <xf numFmtId="0" fontId="68" fillId="18" borderId="49" xfId="0" applyFont="1" applyFill="1" applyBorder="1" applyAlignment="1" applyProtection="1">
      <alignment horizontal="center" vertical="center"/>
      <protection hidden="1"/>
    </xf>
    <xf numFmtId="0" fontId="56" fillId="18" borderId="49" xfId="0" applyFont="1" applyFill="1" applyBorder="1" applyAlignment="1" applyProtection="1">
      <alignment horizontal="center" vertical="center" wrapText="1"/>
      <protection hidden="1"/>
    </xf>
    <xf numFmtId="14" fontId="67" fillId="18" borderId="49" xfId="0" applyNumberFormat="1" applyFont="1" applyFill="1" applyBorder="1" applyAlignment="1" applyProtection="1">
      <alignment horizontal="center" vertical="center" wrapText="1"/>
      <protection hidden="1"/>
    </xf>
    <xf numFmtId="0" fontId="56" fillId="20" borderId="49" xfId="0" applyFont="1" applyFill="1" applyBorder="1" applyAlignment="1">
      <alignment horizontal="center" vertical="center" wrapText="1"/>
    </xf>
    <xf numFmtId="0" fontId="69" fillId="20" borderId="49" xfId="0" applyFont="1" applyFill="1" applyBorder="1" applyAlignment="1">
      <alignment horizontal="center" vertical="center" wrapText="1"/>
    </xf>
    <xf numFmtId="0" fontId="56" fillId="7" borderId="49" xfId="0" applyFont="1" applyFill="1" applyBorder="1" applyAlignment="1">
      <alignment horizontal="center" vertical="center" wrapText="1"/>
    </xf>
    <xf numFmtId="0" fontId="55" fillId="0" borderId="85" xfId="0" applyFont="1" applyBorder="1" applyAlignment="1">
      <alignment horizontal="center" vertical="center"/>
    </xf>
    <xf numFmtId="0" fontId="55" fillId="0" borderId="23" xfId="0" applyFont="1" applyBorder="1" applyAlignment="1">
      <alignment horizontal="center" vertical="center"/>
    </xf>
    <xf numFmtId="0" fontId="55" fillId="0" borderId="86" xfId="0" applyFont="1" applyBorder="1" applyAlignment="1">
      <alignment horizontal="center" vertical="center"/>
    </xf>
    <xf numFmtId="0" fontId="55" fillId="0" borderId="81" xfId="0" applyFont="1" applyBorder="1" applyAlignment="1">
      <alignment horizontal="center" vertical="center"/>
    </xf>
    <xf numFmtId="0" fontId="55" fillId="0" borderId="10" xfId="0" applyFont="1" applyBorder="1" applyAlignment="1">
      <alignment horizontal="center" vertical="center"/>
    </xf>
    <xf numFmtId="0" fontId="55" fillId="0" borderId="82" xfId="0" applyFont="1" applyBorder="1" applyAlignment="1">
      <alignment horizontal="center" vertical="center"/>
    </xf>
    <xf numFmtId="0" fontId="55" fillId="0" borderId="83" xfId="0" applyFont="1" applyBorder="1" applyAlignment="1">
      <alignment horizontal="center" vertical="center"/>
    </xf>
    <xf numFmtId="0" fontId="55" fillId="0" borderId="26" xfId="0" applyFont="1" applyBorder="1" applyAlignment="1">
      <alignment horizontal="center" vertical="center"/>
    </xf>
    <xf numFmtId="0" fontId="55" fillId="0" borderId="84" xfId="0" applyFont="1" applyBorder="1" applyAlignment="1">
      <alignment horizontal="center" vertical="center"/>
    </xf>
    <xf numFmtId="0" fontId="55" fillId="0" borderId="87" xfId="0" applyFont="1" applyBorder="1" applyAlignment="1">
      <alignment horizontal="center" vertical="center"/>
    </xf>
    <xf numFmtId="0" fontId="55" fillId="0" borderId="88" xfId="0" applyFont="1" applyBorder="1" applyAlignment="1">
      <alignment horizontal="center" vertical="center"/>
    </xf>
    <xf numFmtId="0" fontId="55" fillId="0" borderId="89" xfId="0" applyFont="1" applyBorder="1" applyAlignment="1">
      <alignment horizontal="center" vertical="center"/>
    </xf>
    <xf numFmtId="0" fontId="55" fillId="0" borderId="87" xfId="0" applyFont="1" applyBorder="1" applyAlignment="1">
      <alignment horizontal="center" vertical="center" wrapText="1"/>
    </xf>
    <xf numFmtId="0" fontId="55" fillId="0" borderId="88" xfId="0" applyFont="1" applyBorder="1" applyAlignment="1">
      <alignment horizontal="center" vertical="center" wrapText="1"/>
    </xf>
    <xf numFmtId="0" fontId="55" fillId="0" borderId="89" xfId="0" applyFont="1" applyBorder="1" applyAlignment="1">
      <alignment horizontal="center" vertical="center" wrapText="1"/>
    </xf>
    <xf numFmtId="0" fontId="55" fillId="0" borderId="77" xfId="0" applyFont="1" applyBorder="1" applyAlignment="1">
      <alignment horizontal="center" vertical="center" wrapText="1"/>
    </xf>
    <xf numFmtId="0" fontId="55" fillId="0" borderId="78" xfId="0" applyFont="1" applyBorder="1" applyAlignment="1">
      <alignment horizontal="center" vertical="center" wrapText="1"/>
    </xf>
    <xf numFmtId="0" fontId="63" fillId="0" borderId="79" xfId="0" applyFont="1" applyBorder="1" applyAlignment="1">
      <alignment horizontal="left" vertical="center" wrapText="1"/>
    </xf>
    <xf numFmtId="0" fontId="63" fillId="0" borderId="15" xfId="0" applyFont="1" applyBorder="1" applyAlignment="1">
      <alignment horizontal="left" vertical="center" wrapText="1"/>
    </xf>
    <xf numFmtId="0" fontId="55" fillId="0" borderId="47" xfId="0" applyFont="1" applyBorder="1" applyAlignment="1">
      <alignment horizontal="center" vertical="center" wrapText="1"/>
    </xf>
    <xf numFmtId="0" fontId="55" fillId="0" borderId="14" xfId="0" applyFont="1" applyBorder="1" applyAlignment="1">
      <alignment horizontal="center" vertical="center" wrapText="1"/>
    </xf>
    <xf numFmtId="0" fontId="55" fillId="0" borderId="48" xfId="0" applyFont="1" applyBorder="1" applyAlignment="1">
      <alignment horizontal="center" vertical="center" wrapText="1"/>
    </xf>
    <xf numFmtId="0" fontId="55" fillId="0" borderId="16" xfId="0" applyFont="1" applyBorder="1" applyAlignment="1">
      <alignment horizontal="center" vertical="center" wrapText="1"/>
    </xf>
    <xf numFmtId="0" fontId="55" fillId="0" borderId="17" xfId="0" applyFont="1" applyBorder="1" applyAlignment="1">
      <alignment horizontal="center" vertical="center" wrapText="1"/>
    </xf>
    <xf numFmtId="14" fontId="68" fillId="7" borderId="49" xfId="0" applyNumberFormat="1" applyFont="1" applyFill="1" applyBorder="1" applyAlignment="1">
      <alignment horizontal="center" vertical="center" wrapText="1"/>
    </xf>
    <xf numFmtId="0" fontId="68" fillId="7" borderId="49" xfId="0" applyFont="1" applyFill="1" applyBorder="1" applyAlignment="1">
      <alignment horizontal="center" vertical="center"/>
    </xf>
    <xf numFmtId="14" fontId="67" fillId="7" borderId="49" xfId="0" applyNumberFormat="1" applyFont="1" applyFill="1" applyBorder="1" applyAlignment="1">
      <alignment horizontal="center" vertical="center" wrapText="1"/>
    </xf>
    <xf numFmtId="0" fontId="49" fillId="0" borderId="1" xfId="0" applyFont="1" applyBorder="1" applyAlignment="1">
      <alignment horizontal="center" vertical="center" wrapText="1"/>
    </xf>
    <xf numFmtId="0" fontId="49" fillId="0" borderId="2" xfId="0" applyFont="1" applyBorder="1" applyAlignment="1">
      <alignment horizontal="center" vertical="center"/>
    </xf>
    <xf numFmtId="0" fontId="49" fillId="0" borderId="3" xfId="0" applyFont="1" applyBorder="1" applyAlignment="1">
      <alignment horizontal="center" vertical="center"/>
    </xf>
    <xf numFmtId="0" fontId="49" fillId="0" borderId="4" xfId="0" applyFont="1" applyBorder="1" applyAlignment="1">
      <alignment horizontal="center" vertical="center"/>
    </xf>
    <xf numFmtId="0" fontId="49" fillId="0" borderId="0" xfId="0" applyFont="1" applyAlignment="1">
      <alignment horizontal="center" vertical="center"/>
    </xf>
    <xf numFmtId="0" fontId="49" fillId="0" borderId="5" xfId="0" applyFont="1" applyBorder="1" applyAlignment="1">
      <alignment horizontal="center" vertical="center"/>
    </xf>
    <xf numFmtId="0" fontId="49" fillId="0" borderId="6" xfId="0" applyFont="1" applyBorder="1" applyAlignment="1">
      <alignment horizontal="center" vertical="center"/>
    </xf>
    <xf numFmtId="0" fontId="49" fillId="0" borderId="7" xfId="0" applyFont="1" applyBorder="1" applyAlignment="1">
      <alignment horizontal="center" vertical="center"/>
    </xf>
    <xf numFmtId="0" fontId="49" fillId="0" borderId="8" xfId="0" applyFont="1" applyBorder="1" applyAlignment="1">
      <alignment horizontal="center" vertical="center"/>
    </xf>
    <xf numFmtId="0" fontId="47" fillId="9" borderId="0" xfId="0" applyFont="1" applyFill="1" applyAlignment="1" applyProtection="1">
      <alignment horizontal="center" vertical="center" wrapText="1" readingOrder="1"/>
      <protection hidden="1"/>
    </xf>
    <xf numFmtId="0" fontId="47" fillId="9" borderId="5" xfId="0" applyFont="1" applyFill="1" applyBorder="1" applyAlignment="1" applyProtection="1">
      <alignment horizontal="center" vertical="center" wrapText="1" readingOrder="1"/>
      <protection hidden="1"/>
    </xf>
    <xf numFmtId="0" fontId="48" fillId="14" borderId="0" xfId="0" applyFont="1" applyFill="1" applyAlignment="1">
      <alignment horizontal="center" vertical="center" textRotation="90" wrapText="1" readingOrder="1"/>
    </xf>
    <xf numFmtId="0" fontId="48" fillId="14" borderId="5" xfId="0" applyFont="1" applyFill="1" applyBorder="1" applyAlignment="1">
      <alignment horizontal="center" vertical="center" textRotation="90" wrapText="1" readingOrder="1"/>
    </xf>
    <xf numFmtId="0" fontId="47" fillId="11" borderId="2" xfId="0" applyFont="1" applyFill="1" applyBorder="1" applyAlignment="1" applyProtection="1">
      <alignment horizontal="center" wrapText="1" readingOrder="1"/>
      <protection hidden="1"/>
    </xf>
    <xf numFmtId="0" fontId="47" fillId="11" borderId="0" xfId="0" applyFont="1" applyFill="1" applyAlignment="1" applyProtection="1">
      <alignment horizontal="center" wrapText="1" readingOrder="1"/>
      <protection hidden="1"/>
    </xf>
    <xf numFmtId="0" fontId="47" fillId="11" borderId="3" xfId="0" applyFont="1" applyFill="1" applyBorder="1" applyAlignment="1" applyProtection="1">
      <alignment horizontal="center" wrapText="1" readingOrder="1"/>
      <protection hidden="1"/>
    </xf>
    <xf numFmtId="0" fontId="47" fillId="11" borderId="5" xfId="0" applyFont="1" applyFill="1" applyBorder="1" applyAlignment="1" applyProtection="1">
      <alignment horizontal="center" wrapText="1" readingOrder="1"/>
      <protection hidden="1"/>
    </xf>
    <xf numFmtId="0" fontId="47" fillId="11" borderId="4" xfId="0" applyFont="1" applyFill="1" applyBorder="1" applyAlignment="1" applyProtection="1">
      <alignment horizontal="center" wrapText="1" readingOrder="1"/>
      <protection hidden="1"/>
    </xf>
    <xf numFmtId="0" fontId="47" fillId="11" borderId="1" xfId="0" applyFont="1" applyFill="1" applyBorder="1" applyAlignment="1" applyProtection="1">
      <alignment horizontal="center" wrapText="1" readingOrder="1"/>
      <protection hidden="1"/>
    </xf>
    <xf numFmtId="0" fontId="50" fillId="10" borderId="58" xfId="0" applyFont="1" applyFill="1" applyBorder="1" applyAlignment="1">
      <alignment horizontal="center" vertical="center" wrapText="1" readingOrder="1"/>
    </xf>
    <xf numFmtId="0" fontId="50" fillId="10" borderId="59" xfId="0" applyFont="1" applyFill="1" applyBorder="1" applyAlignment="1">
      <alignment horizontal="center" vertical="center" wrapText="1" readingOrder="1"/>
    </xf>
    <xf numFmtId="0" fontId="50" fillId="10" borderId="60" xfId="0" applyFont="1" applyFill="1" applyBorder="1" applyAlignment="1">
      <alignment horizontal="center" vertical="center" wrapText="1" readingOrder="1"/>
    </xf>
    <xf numFmtId="0" fontId="50" fillId="10" borderId="61" xfId="0" applyFont="1" applyFill="1" applyBorder="1" applyAlignment="1">
      <alignment horizontal="center" vertical="center" wrapText="1" readingOrder="1"/>
    </xf>
    <xf numFmtId="0" fontId="50" fillId="10" borderId="0" xfId="0" applyFont="1" applyFill="1" applyAlignment="1">
      <alignment horizontal="center" vertical="center" wrapText="1" readingOrder="1"/>
    </xf>
    <xf numFmtId="0" fontId="50" fillId="10" borderId="62" xfId="0" applyFont="1" applyFill="1" applyBorder="1" applyAlignment="1">
      <alignment horizontal="center" vertical="center" wrapText="1" readingOrder="1"/>
    </xf>
    <xf numFmtId="0" fontId="50" fillId="10" borderId="63" xfId="0" applyFont="1" applyFill="1" applyBorder="1" applyAlignment="1">
      <alignment horizontal="center" vertical="center" wrapText="1" readingOrder="1"/>
    </xf>
    <xf numFmtId="0" fontId="50" fillId="10" borderId="64" xfId="0" applyFont="1" applyFill="1" applyBorder="1" applyAlignment="1">
      <alignment horizontal="center" vertical="center" wrapText="1" readingOrder="1"/>
    </xf>
    <xf numFmtId="0" fontId="50" fillId="10" borderId="65" xfId="0" applyFont="1" applyFill="1" applyBorder="1" applyAlignment="1">
      <alignment horizontal="center" vertical="center" wrapText="1" readingOrder="1"/>
    </xf>
    <xf numFmtId="0" fontId="50" fillId="9" borderId="58" xfId="0" applyFont="1" applyFill="1" applyBorder="1" applyAlignment="1">
      <alignment horizontal="center" vertical="center" wrapText="1" readingOrder="1"/>
    </xf>
    <xf numFmtId="0" fontId="50" fillId="9" borderId="59" xfId="0" applyFont="1" applyFill="1" applyBorder="1" applyAlignment="1">
      <alignment horizontal="center" vertical="center" wrapText="1" readingOrder="1"/>
    </xf>
    <xf numFmtId="0" fontId="50" fillId="9" borderId="60" xfId="0" applyFont="1" applyFill="1" applyBorder="1" applyAlignment="1">
      <alignment horizontal="center" vertical="center" wrapText="1" readingOrder="1"/>
    </xf>
    <xf numFmtId="0" fontId="50" fillId="9" borderId="61" xfId="0" applyFont="1" applyFill="1" applyBorder="1" applyAlignment="1">
      <alignment horizontal="center" vertical="center" wrapText="1" readingOrder="1"/>
    </xf>
    <xf numFmtId="0" fontId="50" fillId="9" borderId="0" xfId="0" applyFont="1" applyFill="1" applyAlignment="1">
      <alignment horizontal="center" vertical="center" wrapText="1" readingOrder="1"/>
    </xf>
    <xf numFmtId="0" fontId="50" fillId="9" borderId="62" xfId="0" applyFont="1" applyFill="1" applyBorder="1" applyAlignment="1">
      <alignment horizontal="center" vertical="center" wrapText="1" readingOrder="1"/>
    </xf>
    <xf numFmtId="0" fontId="50" fillId="9" borderId="63" xfId="0" applyFont="1" applyFill="1" applyBorder="1" applyAlignment="1">
      <alignment horizontal="center" vertical="center" wrapText="1" readingOrder="1"/>
    </xf>
    <xf numFmtId="0" fontId="50" fillId="9" borderId="64" xfId="0" applyFont="1" applyFill="1" applyBorder="1" applyAlignment="1">
      <alignment horizontal="center" vertical="center" wrapText="1" readingOrder="1"/>
    </xf>
    <xf numFmtId="0" fontId="50" fillId="9" borderId="65" xfId="0" applyFont="1" applyFill="1" applyBorder="1" applyAlignment="1">
      <alignment horizontal="center" vertical="center" wrapText="1" readingOrder="1"/>
    </xf>
    <xf numFmtId="0" fontId="50" fillId="11" borderId="58" xfId="0" applyFont="1" applyFill="1" applyBorder="1" applyAlignment="1">
      <alignment horizontal="center" vertical="center" wrapText="1" readingOrder="1"/>
    </xf>
    <xf numFmtId="0" fontId="50" fillId="11" borderId="59" xfId="0" applyFont="1" applyFill="1" applyBorder="1" applyAlignment="1">
      <alignment horizontal="center" vertical="center" wrapText="1" readingOrder="1"/>
    </xf>
    <xf numFmtId="0" fontId="50" fillId="11" borderId="60" xfId="0" applyFont="1" applyFill="1" applyBorder="1" applyAlignment="1">
      <alignment horizontal="center" vertical="center" wrapText="1" readingOrder="1"/>
    </xf>
    <xf numFmtId="0" fontId="50" fillId="11" borderId="61" xfId="0" applyFont="1" applyFill="1" applyBorder="1" applyAlignment="1">
      <alignment horizontal="center" vertical="center" wrapText="1" readingOrder="1"/>
    </xf>
    <xf numFmtId="0" fontId="50" fillId="11" borderId="0" xfId="0" applyFont="1" applyFill="1" applyAlignment="1">
      <alignment horizontal="center" vertical="center" wrapText="1" readingOrder="1"/>
    </xf>
    <xf numFmtId="0" fontId="50" fillId="11" borderId="62" xfId="0" applyFont="1" applyFill="1" applyBorder="1" applyAlignment="1">
      <alignment horizontal="center" vertical="center" wrapText="1" readingOrder="1"/>
    </xf>
    <xf numFmtId="0" fontId="50" fillId="11" borderId="63" xfId="0" applyFont="1" applyFill="1" applyBorder="1" applyAlignment="1">
      <alignment horizontal="center" vertical="center" wrapText="1" readingOrder="1"/>
    </xf>
    <xf numFmtId="0" fontId="50" fillId="11" borderId="64" xfId="0" applyFont="1" applyFill="1" applyBorder="1" applyAlignment="1">
      <alignment horizontal="center" vertical="center" wrapText="1" readingOrder="1"/>
    </xf>
    <xf numFmtId="0" fontId="50" fillId="11" borderId="65" xfId="0" applyFont="1" applyFill="1" applyBorder="1" applyAlignment="1">
      <alignment horizontal="center" vertical="center" wrapText="1" readingOrder="1"/>
    </xf>
    <xf numFmtId="0" fontId="50" fillId="4" borderId="58" xfId="0" applyFont="1" applyFill="1" applyBorder="1" applyAlignment="1">
      <alignment horizontal="center" vertical="center" wrapText="1" readingOrder="1"/>
    </xf>
    <xf numFmtId="0" fontId="50" fillId="4" borderId="59" xfId="0" applyFont="1" applyFill="1" applyBorder="1" applyAlignment="1">
      <alignment horizontal="center" vertical="center" wrapText="1" readingOrder="1"/>
    </xf>
    <xf numFmtId="0" fontId="50" fillId="4" borderId="60" xfId="0" applyFont="1" applyFill="1" applyBorder="1" applyAlignment="1">
      <alignment horizontal="center" vertical="center" wrapText="1" readingOrder="1"/>
    </xf>
    <xf numFmtId="0" fontId="50" fillId="4" borderId="61" xfId="0" applyFont="1" applyFill="1" applyBorder="1" applyAlignment="1">
      <alignment horizontal="center" vertical="center" wrapText="1" readingOrder="1"/>
    </xf>
    <xf numFmtId="0" fontId="50" fillId="4" borderId="0" xfId="0" applyFont="1" applyFill="1" applyAlignment="1">
      <alignment horizontal="center" vertical="center" wrapText="1" readingOrder="1"/>
    </xf>
    <xf numFmtId="0" fontId="50" fillId="4" borderId="62" xfId="0" applyFont="1" applyFill="1" applyBorder="1" applyAlignment="1">
      <alignment horizontal="center" vertical="center" wrapText="1" readingOrder="1"/>
    </xf>
    <xf numFmtId="0" fontId="50" fillId="4" borderId="63" xfId="0" applyFont="1" applyFill="1" applyBorder="1" applyAlignment="1">
      <alignment horizontal="center" vertical="center" wrapText="1" readingOrder="1"/>
    </xf>
    <xf numFmtId="0" fontId="50" fillId="4" borderId="64" xfId="0" applyFont="1" applyFill="1" applyBorder="1" applyAlignment="1">
      <alignment horizontal="center" vertical="center" wrapText="1" readingOrder="1"/>
    </xf>
    <xf numFmtId="0" fontId="50" fillId="4" borderId="65" xfId="0" applyFont="1" applyFill="1" applyBorder="1" applyAlignment="1">
      <alignment horizontal="center" vertical="center" wrapText="1" readingOrder="1"/>
    </xf>
    <xf numFmtId="0" fontId="47" fillId="9" borderId="1" xfId="0" applyFont="1" applyFill="1" applyBorder="1" applyAlignment="1" applyProtection="1">
      <alignment horizontal="center" vertical="center" wrapText="1" readingOrder="1"/>
      <protection hidden="1"/>
    </xf>
    <xf numFmtId="0" fontId="47" fillId="9" borderId="2" xfId="0" applyFont="1" applyFill="1" applyBorder="1" applyAlignment="1" applyProtection="1">
      <alignment horizontal="center" vertical="center" wrapText="1" readingOrder="1"/>
      <protection hidden="1"/>
    </xf>
    <xf numFmtId="0" fontId="47" fillId="9" borderId="4" xfId="0" applyFont="1" applyFill="1" applyBorder="1" applyAlignment="1" applyProtection="1">
      <alignment horizontal="center" vertical="center" wrapText="1" readingOrder="1"/>
      <protection hidden="1"/>
    </xf>
    <xf numFmtId="0" fontId="47" fillId="9" borderId="3" xfId="0" applyFont="1" applyFill="1" applyBorder="1" applyAlignment="1" applyProtection="1">
      <alignment horizontal="center" vertical="center" wrapText="1" readingOrder="1"/>
      <protection hidden="1"/>
    </xf>
    <xf numFmtId="0" fontId="48" fillId="14" borderId="0" xfId="0" applyFont="1" applyFill="1" applyAlignment="1">
      <alignment horizontal="center" vertical="center" wrapText="1" readingOrder="1"/>
    </xf>
    <xf numFmtId="0" fontId="49" fillId="0" borderId="2" xfId="0" applyFont="1" applyBorder="1" applyAlignment="1">
      <alignment horizontal="center" vertical="center" wrapText="1"/>
    </xf>
    <xf numFmtId="0" fontId="47" fillId="9" borderId="6" xfId="0" applyFont="1" applyFill="1" applyBorder="1" applyAlignment="1" applyProtection="1">
      <alignment horizontal="center" vertical="center" wrapText="1" readingOrder="1"/>
      <protection hidden="1"/>
    </xf>
    <xf numFmtId="0" fontId="47" fillId="9" borderId="7" xfId="0" applyFont="1" applyFill="1" applyBorder="1" applyAlignment="1" applyProtection="1">
      <alignment horizontal="center" vertical="center" wrapText="1" readingOrder="1"/>
      <protection hidden="1"/>
    </xf>
    <xf numFmtId="0" fontId="47" fillId="9" borderId="8" xfId="0" applyFont="1" applyFill="1" applyBorder="1" applyAlignment="1" applyProtection="1">
      <alignment horizontal="center" vertical="center" wrapText="1" readingOrder="1"/>
      <protection hidden="1"/>
    </xf>
    <xf numFmtId="0" fontId="47" fillId="10" borderId="4" xfId="0" applyFont="1" applyFill="1" applyBorder="1" applyAlignment="1" applyProtection="1">
      <alignment horizontal="center" wrapText="1" readingOrder="1"/>
      <protection hidden="1"/>
    </xf>
    <xf numFmtId="0" fontId="47" fillId="10" borderId="0" xfId="0" applyFont="1" applyFill="1" applyAlignment="1" applyProtection="1">
      <alignment horizontal="center" wrapText="1" readingOrder="1"/>
      <protection hidden="1"/>
    </xf>
    <xf numFmtId="0" fontId="47" fillId="10" borderId="5" xfId="0" applyFont="1" applyFill="1" applyBorder="1" applyAlignment="1" applyProtection="1">
      <alignment horizontal="center" wrapText="1" readingOrder="1"/>
      <protection hidden="1"/>
    </xf>
    <xf numFmtId="0" fontId="47" fillId="10" borderId="6" xfId="0" applyFont="1" applyFill="1" applyBorder="1" applyAlignment="1" applyProtection="1">
      <alignment horizontal="center" wrapText="1" readingOrder="1"/>
      <protection hidden="1"/>
    </xf>
    <xf numFmtId="0" fontId="47" fillId="10" borderId="7" xfId="0" applyFont="1" applyFill="1" applyBorder="1" applyAlignment="1" applyProtection="1">
      <alignment horizontal="center" wrapText="1" readingOrder="1"/>
      <protection hidden="1"/>
    </xf>
    <xf numFmtId="0" fontId="47" fillId="10" borderId="8" xfId="0" applyFont="1" applyFill="1" applyBorder="1" applyAlignment="1" applyProtection="1">
      <alignment horizontal="center" wrapText="1" readingOrder="1"/>
      <protection hidden="1"/>
    </xf>
    <xf numFmtId="0" fontId="47" fillId="10" borderId="1" xfId="0" applyFont="1" applyFill="1" applyBorder="1" applyAlignment="1" applyProtection="1">
      <alignment horizontal="center" wrapText="1" readingOrder="1"/>
      <protection hidden="1"/>
    </xf>
    <xf numFmtId="0" fontId="47" fillId="10" borderId="2" xfId="0" applyFont="1" applyFill="1" applyBorder="1" applyAlignment="1" applyProtection="1">
      <alignment horizontal="center" wrapText="1" readingOrder="1"/>
      <protection hidden="1"/>
    </xf>
    <xf numFmtId="0" fontId="47" fillId="10" borderId="3" xfId="0" applyFont="1" applyFill="1" applyBorder="1" applyAlignment="1" applyProtection="1">
      <alignment horizontal="center" wrapText="1" readingOrder="1"/>
      <protection hidden="1"/>
    </xf>
    <xf numFmtId="0" fontId="47" fillId="11" borderId="6" xfId="0" applyFont="1" applyFill="1" applyBorder="1" applyAlignment="1" applyProtection="1">
      <alignment horizontal="center" wrapText="1" readingOrder="1"/>
      <protection hidden="1"/>
    </xf>
    <xf numFmtId="0" fontId="47" fillId="11" borderId="7" xfId="0" applyFont="1" applyFill="1" applyBorder="1" applyAlignment="1" applyProtection="1">
      <alignment horizontal="center" wrapText="1" readingOrder="1"/>
      <protection hidden="1"/>
    </xf>
    <xf numFmtId="0" fontId="47" fillId="11" borderId="8" xfId="0" applyFont="1" applyFill="1" applyBorder="1" applyAlignment="1" applyProtection="1">
      <alignment horizontal="center" wrapText="1" readingOrder="1"/>
      <protection hidden="1"/>
    </xf>
    <xf numFmtId="0" fontId="47" fillId="4" borderId="0" xfId="0" applyFont="1" applyFill="1" applyAlignment="1" applyProtection="1">
      <alignment horizontal="center" wrapText="1" readingOrder="1"/>
      <protection hidden="1"/>
    </xf>
    <xf numFmtId="0" fontId="47" fillId="4" borderId="5" xfId="0" applyFont="1" applyFill="1" applyBorder="1" applyAlignment="1" applyProtection="1">
      <alignment horizontal="center" wrapText="1" readingOrder="1"/>
      <protection hidden="1"/>
    </xf>
    <xf numFmtId="0" fontId="47" fillId="4" borderId="4" xfId="0" applyFont="1" applyFill="1" applyBorder="1" applyAlignment="1" applyProtection="1">
      <alignment horizontal="center" wrapText="1" readingOrder="1"/>
      <protection hidden="1"/>
    </xf>
    <xf numFmtId="0" fontId="47" fillId="4" borderId="6" xfId="0" applyFont="1" applyFill="1" applyBorder="1" applyAlignment="1" applyProtection="1">
      <alignment horizontal="center" wrapText="1" readingOrder="1"/>
      <protection hidden="1"/>
    </xf>
    <xf numFmtId="0" fontId="47" fillId="4" borderId="7" xfId="0" applyFont="1" applyFill="1" applyBorder="1" applyAlignment="1" applyProtection="1">
      <alignment horizontal="center" wrapText="1" readingOrder="1"/>
      <protection hidden="1"/>
    </xf>
    <xf numFmtId="0" fontId="47" fillId="4" borderId="8" xfId="0" applyFont="1" applyFill="1" applyBorder="1" applyAlignment="1" applyProtection="1">
      <alignment horizontal="center" wrapText="1" readingOrder="1"/>
      <protection hidden="1"/>
    </xf>
    <xf numFmtId="0" fontId="47" fillId="4" borderId="1" xfId="0" applyFont="1" applyFill="1" applyBorder="1" applyAlignment="1" applyProtection="1">
      <alignment horizontal="center" wrapText="1" readingOrder="1"/>
      <protection hidden="1"/>
    </xf>
    <xf numFmtId="0" fontId="47" fillId="4" borderId="2" xfId="0" applyFont="1" applyFill="1" applyBorder="1" applyAlignment="1" applyProtection="1">
      <alignment horizontal="center" wrapText="1" readingOrder="1"/>
      <protection hidden="1"/>
    </xf>
    <xf numFmtId="0" fontId="47" fillId="4" borderId="3" xfId="0" applyFont="1" applyFill="1" applyBorder="1" applyAlignment="1" applyProtection="1">
      <alignment horizontal="center" wrapText="1" readingOrder="1"/>
      <protection hidden="1"/>
    </xf>
    <xf numFmtId="0" fontId="46" fillId="0" borderId="0" xfId="0" applyFont="1" applyAlignment="1">
      <alignment horizontal="center" vertical="center" wrapText="1"/>
    </xf>
    <xf numFmtId="0" fontId="52" fillId="0" borderId="1" xfId="0" applyFont="1" applyBorder="1" applyAlignment="1">
      <alignment horizontal="center" vertical="center" wrapText="1"/>
    </xf>
    <xf numFmtId="0" fontId="52" fillId="0" borderId="2" xfId="0" applyFont="1" applyBorder="1" applyAlignment="1">
      <alignment horizontal="center" vertical="center"/>
    </xf>
    <xf numFmtId="0" fontId="52" fillId="0" borderId="3" xfId="0" applyFont="1" applyBorder="1" applyAlignment="1">
      <alignment horizontal="center" vertical="center"/>
    </xf>
    <xf numFmtId="0" fontId="52" fillId="0" borderId="4" xfId="0" applyFont="1" applyBorder="1" applyAlignment="1">
      <alignment horizontal="center" vertical="center" wrapText="1"/>
    </xf>
    <xf numFmtId="0" fontId="52" fillId="0" borderId="0" xfId="0" applyFont="1" applyAlignment="1">
      <alignment horizontal="center" vertical="center"/>
    </xf>
    <xf numFmtId="0" fontId="52" fillId="0" borderId="5" xfId="0" applyFont="1" applyBorder="1" applyAlignment="1">
      <alignment horizontal="center" vertical="center"/>
    </xf>
    <xf numFmtId="0" fontId="52" fillId="0" borderId="4" xfId="0" applyFont="1" applyBorder="1" applyAlignment="1">
      <alignment horizontal="center" vertical="center"/>
    </xf>
    <xf numFmtId="0" fontId="52" fillId="0" borderId="6" xfId="0" applyFont="1" applyBorder="1" applyAlignment="1">
      <alignment horizontal="center" vertical="center"/>
    </xf>
    <xf numFmtId="0" fontId="52" fillId="0" borderId="7" xfId="0" applyFont="1" applyBorder="1" applyAlignment="1">
      <alignment horizontal="center" vertical="center"/>
    </xf>
    <xf numFmtId="0" fontId="52" fillId="0" borderId="8" xfId="0" applyFont="1" applyBorder="1" applyAlignment="1">
      <alignment horizontal="center" vertical="center"/>
    </xf>
    <xf numFmtId="0" fontId="51" fillId="10" borderId="58" xfId="0" applyFont="1" applyFill="1" applyBorder="1" applyAlignment="1">
      <alignment horizontal="center" vertical="center" wrapText="1" readingOrder="1"/>
    </xf>
    <xf numFmtId="0" fontId="51" fillId="10" borderId="59" xfId="0" applyFont="1" applyFill="1" applyBorder="1" applyAlignment="1">
      <alignment horizontal="center" vertical="center" wrapText="1" readingOrder="1"/>
    </xf>
    <xf numFmtId="0" fontId="51" fillId="10" borderId="60" xfId="0" applyFont="1" applyFill="1" applyBorder="1" applyAlignment="1">
      <alignment horizontal="center" vertical="center" wrapText="1" readingOrder="1"/>
    </xf>
    <xf numFmtId="0" fontId="51" fillId="10" borderId="61" xfId="0" applyFont="1" applyFill="1" applyBorder="1" applyAlignment="1">
      <alignment horizontal="center" vertical="center" wrapText="1" readingOrder="1"/>
    </xf>
    <xf numFmtId="0" fontId="51" fillId="10" borderId="0" xfId="0" applyFont="1" applyFill="1" applyAlignment="1">
      <alignment horizontal="center" vertical="center" wrapText="1" readingOrder="1"/>
    </xf>
    <xf numFmtId="0" fontId="51" fillId="10" borderId="62" xfId="0" applyFont="1" applyFill="1" applyBorder="1" applyAlignment="1">
      <alignment horizontal="center" vertical="center" wrapText="1" readingOrder="1"/>
    </xf>
    <xf numFmtId="0" fontId="51" fillId="10" borderId="63" xfId="0" applyFont="1" applyFill="1" applyBorder="1" applyAlignment="1">
      <alignment horizontal="center" vertical="center" wrapText="1" readingOrder="1"/>
    </xf>
    <xf numFmtId="0" fontId="51" fillId="10" borderId="64" xfId="0" applyFont="1" applyFill="1" applyBorder="1" applyAlignment="1">
      <alignment horizontal="center" vertical="center" wrapText="1" readingOrder="1"/>
    </xf>
    <xf numFmtId="0" fontId="51" fillId="10" borderId="65" xfId="0" applyFont="1" applyFill="1" applyBorder="1" applyAlignment="1">
      <alignment horizontal="center" vertical="center" wrapText="1" readingOrder="1"/>
    </xf>
    <xf numFmtId="0" fontId="53" fillId="0" borderId="0" xfId="0" applyFont="1" applyAlignment="1">
      <alignment horizontal="center" vertical="center" wrapText="1"/>
    </xf>
    <xf numFmtId="0" fontId="54" fillId="0" borderId="0" xfId="0" applyFont="1" applyAlignment="1">
      <alignment horizontal="center" vertical="center" wrapText="1"/>
    </xf>
    <xf numFmtId="0" fontId="51" fillId="4" borderId="58" xfId="0" applyFont="1" applyFill="1" applyBorder="1" applyAlignment="1">
      <alignment horizontal="center" vertical="center" wrapText="1" readingOrder="1"/>
    </xf>
    <xf numFmtId="0" fontId="51" fillId="4" borderId="59" xfId="0" applyFont="1" applyFill="1" applyBorder="1" applyAlignment="1">
      <alignment horizontal="center" vertical="center" wrapText="1" readingOrder="1"/>
    </xf>
    <xf numFmtId="0" fontId="51" fillId="4" borderId="60" xfId="0" applyFont="1" applyFill="1" applyBorder="1" applyAlignment="1">
      <alignment horizontal="center" vertical="center" wrapText="1" readingOrder="1"/>
    </xf>
    <xf numFmtId="0" fontId="51" fillId="4" borderId="61" xfId="0" applyFont="1" applyFill="1" applyBorder="1" applyAlignment="1">
      <alignment horizontal="center" vertical="center" wrapText="1" readingOrder="1"/>
    </xf>
    <xf numFmtId="0" fontId="51" fillId="4" borderId="0" xfId="0" applyFont="1" applyFill="1" applyAlignment="1">
      <alignment horizontal="center" vertical="center" wrapText="1" readingOrder="1"/>
    </xf>
    <xf numFmtId="0" fontId="51" fillId="4" borderId="62" xfId="0" applyFont="1" applyFill="1" applyBorder="1" applyAlignment="1">
      <alignment horizontal="center" vertical="center" wrapText="1" readingOrder="1"/>
    </xf>
    <xf numFmtId="0" fontId="51" fillId="4" borderId="63" xfId="0" applyFont="1" applyFill="1" applyBorder="1" applyAlignment="1">
      <alignment horizontal="center" vertical="center" wrapText="1" readingOrder="1"/>
    </xf>
    <xf numFmtId="0" fontId="51" fillId="4" borderId="64" xfId="0" applyFont="1" applyFill="1" applyBorder="1" applyAlignment="1">
      <alignment horizontal="center" vertical="center" wrapText="1" readingOrder="1"/>
    </xf>
    <xf numFmtId="0" fontId="51" fillId="4" borderId="65" xfId="0" applyFont="1" applyFill="1" applyBorder="1" applyAlignment="1">
      <alignment horizontal="center" vertical="center" wrapText="1" readingOrder="1"/>
    </xf>
    <xf numFmtId="0" fontId="51" fillId="9" borderId="58" xfId="0" applyFont="1" applyFill="1" applyBorder="1" applyAlignment="1">
      <alignment horizontal="center" vertical="center" wrapText="1" readingOrder="1"/>
    </xf>
    <xf numFmtId="0" fontId="51" fillId="9" borderId="59" xfId="0" applyFont="1" applyFill="1" applyBorder="1" applyAlignment="1">
      <alignment horizontal="center" vertical="center" wrapText="1" readingOrder="1"/>
    </xf>
    <xf numFmtId="0" fontId="51" fillId="9" borderId="60" xfId="0" applyFont="1" applyFill="1" applyBorder="1" applyAlignment="1">
      <alignment horizontal="center" vertical="center" wrapText="1" readingOrder="1"/>
    </xf>
    <xf numFmtId="0" fontId="51" fillId="9" borderId="61" xfId="0" applyFont="1" applyFill="1" applyBorder="1" applyAlignment="1">
      <alignment horizontal="center" vertical="center" wrapText="1" readingOrder="1"/>
    </xf>
    <xf numFmtId="0" fontId="51" fillId="9" borderId="0" xfId="0" applyFont="1" applyFill="1" applyAlignment="1">
      <alignment horizontal="center" vertical="center" wrapText="1" readingOrder="1"/>
    </xf>
    <xf numFmtId="0" fontId="51" fillId="9" borderId="62" xfId="0" applyFont="1" applyFill="1" applyBorder="1" applyAlignment="1">
      <alignment horizontal="center" vertical="center" wrapText="1" readingOrder="1"/>
    </xf>
    <xf numFmtId="0" fontId="51" fillId="9" borderId="63" xfId="0" applyFont="1" applyFill="1" applyBorder="1" applyAlignment="1">
      <alignment horizontal="center" vertical="center" wrapText="1" readingOrder="1"/>
    </xf>
    <xf numFmtId="0" fontId="51" fillId="9" borderId="64" xfId="0" applyFont="1" applyFill="1" applyBorder="1" applyAlignment="1">
      <alignment horizontal="center" vertical="center" wrapText="1" readingOrder="1"/>
    </xf>
    <xf numFmtId="0" fontId="51" fillId="9" borderId="65" xfId="0" applyFont="1" applyFill="1" applyBorder="1" applyAlignment="1">
      <alignment horizontal="center" vertical="center" wrapText="1" readingOrder="1"/>
    </xf>
    <xf numFmtId="0" fontId="51" fillId="11" borderId="58" xfId="0" applyFont="1" applyFill="1" applyBorder="1" applyAlignment="1">
      <alignment horizontal="center" vertical="center" wrapText="1" readingOrder="1"/>
    </xf>
    <xf numFmtId="0" fontId="51" fillId="11" borderId="59" xfId="0" applyFont="1" applyFill="1" applyBorder="1" applyAlignment="1">
      <alignment horizontal="center" vertical="center" wrapText="1" readingOrder="1"/>
    </xf>
    <xf numFmtId="0" fontId="51" fillId="11" borderId="60" xfId="0" applyFont="1" applyFill="1" applyBorder="1" applyAlignment="1">
      <alignment horizontal="center" vertical="center" wrapText="1" readingOrder="1"/>
    </xf>
    <xf numFmtId="0" fontId="51" fillId="11" borderId="61" xfId="0" applyFont="1" applyFill="1" applyBorder="1" applyAlignment="1">
      <alignment horizontal="center" vertical="center" wrapText="1" readingOrder="1"/>
    </xf>
    <xf numFmtId="0" fontId="51" fillId="11" borderId="0" xfId="0" applyFont="1" applyFill="1" applyAlignment="1">
      <alignment horizontal="center" vertical="center" wrapText="1" readingOrder="1"/>
    </xf>
    <xf numFmtId="0" fontId="51" fillId="11" borderId="62" xfId="0" applyFont="1" applyFill="1" applyBorder="1" applyAlignment="1">
      <alignment horizontal="center" vertical="center" wrapText="1" readingOrder="1"/>
    </xf>
    <xf numFmtId="0" fontId="51" fillId="11" borderId="63" xfId="0" applyFont="1" applyFill="1" applyBorder="1" applyAlignment="1">
      <alignment horizontal="center" vertical="center" wrapText="1" readingOrder="1"/>
    </xf>
    <xf numFmtId="0" fontId="51" fillId="11" borderId="64" xfId="0" applyFont="1" applyFill="1" applyBorder="1" applyAlignment="1">
      <alignment horizontal="center" vertical="center" wrapText="1" readingOrder="1"/>
    </xf>
    <xf numFmtId="0" fontId="51" fillId="11" borderId="65" xfId="0" applyFont="1" applyFill="1" applyBorder="1" applyAlignment="1">
      <alignment horizontal="center" vertical="center" wrapText="1" readingOrder="1"/>
    </xf>
    <xf numFmtId="0" fontId="52" fillId="0" borderId="2" xfId="0" applyFont="1" applyBorder="1" applyAlignment="1">
      <alignment horizontal="center" vertical="center" wrapText="1"/>
    </xf>
    <xf numFmtId="0" fontId="55" fillId="0" borderId="0" xfId="0" applyFont="1" applyAlignment="1">
      <alignment horizontal="center" vertical="center"/>
    </xf>
    <xf numFmtId="14" fontId="67" fillId="19" borderId="49" xfId="0" applyNumberFormat="1" applyFont="1" applyFill="1" applyBorder="1" applyAlignment="1">
      <alignment horizontal="center" vertical="center" wrapText="1"/>
    </xf>
    <xf numFmtId="14" fontId="68" fillId="19" borderId="49" xfId="0" applyNumberFormat="1" applyFont="1" applyFill="1" applyBorder="1" applyAlignment="1">
      <alignment horizontal="center" vertical="center" wrapText="1"/>
    </xf>
    <xf numFmtId="0" fontId="68" fillId="19" borderId="49" xfId="0" applyFont="1" applyFill="1" applyBorder="1" applyAlignment="1">
      <alignment horizontal="center" vertical="center"/>
    </xf>
    <xf numFmtId="0" fontId="56" fillId="19" borderId="49" xfId="0" applyFont="1" applyFill="1" applyBorder="1" applyAlignment="1">
      <alignment horizontal="center" vertical="center" wrapText="1"/>
    </xf>
    <xf numFmtId="14" fontId="67" fillId="16" borderId="49" xfId="0" applyNumberFormat="1" applyFont="1" applyFill="1" applyBorder="1" applyAlignment="1">
      <alignment horizontal="center" vertical="center" wrapText="1"/>
    </xf>
    <xf numFmtId="14" fontId="68" fillId="16" borderId="49" xfId="0" applyNumberFormat="1" applyFont="1" applyFill="1" applyBorder="1" applyAlignment="1">
      <alignment horizontal="center" vertical="center" wrapText="1"/>
    </xf>
    <xf numFmtId="0" fontId="68" fillId="16" borderId="49" xfId="0" applyFont="1" applyFill="1" applyBorder="1" applyAlignment="1">
      <alignment horizontal="center" vertical="center"/>
    </xf>
    <xf numFmtId="0" fontId="66" fillId="16" borderId="49" xfId="0" applyFont="1" applyFill="1" applyBorder="1" applyAlignment="1">
      <alignment horizontal="center" vertical="center" wrapText="1"/>
    </xf>
    <xf numFmtId="0" fontId="56" fillId="16" borderId="49" xfId="0" applyFont="1" applyFill="1" applyBorder="1" applyAlignment="1">
      <alignment horizontal="center" vertical="center" wrapText="1"/>
    </xf>
    <xf numFmtId="0" fontId="56" fillId="0" borderId="0" xfId="0" applyFont="1" applyAlignment="1">
      <alignment horizontal="center" vertical="center"/>
    </xf>
    <xf numFmtId="0" fontId="57" fillId="12" borderId="42" xfId="0" applyFont="1" applyFill="1" applyBorder="1" applyAlignment="1">
      <alignment horizontal="center" vertical="center" wrapText="1" readingOrder="1"/>
    </xf>
    <xf numFmtId="0" fontId="57" fillId="12" borderId="43" xfId="0" applyFont="1" applyFill="1" applyBorder="1" applyAlignment="1">
      <alignment horizontal="center" vertical="center" wrapText="1" readingOrder="1"/>
    </xf>
    <xf numFmtId="0" fontId="57" fillId="12" borderId="44" xfId="0" applyFont="1" applyFill="1" applyBorder="1" applyAlignment="1">
      <alignment horizontal="center" vertical="center" wrapText="1" readingOrder="1"/>
    </xf>
    <xf numFmtId="0" fontId="58" fillId="2" borderId="0" xfId="0" applyFont="1" applyFill="1" applyAlignment="1">
      <alignment horizontal="justify" vertical="center" wrapText="1"/>
    </xf>
    <xf numFmtId="0" fontId="43" fillId="12" borderId="45" xfId="0" applyFont="1" applyFill="1" applyBorder="1" applyAlignment="1">
      <alignment horizontal="center" vertical="center" wrapText="1" readingOrder="1"/>
    </xf>
    <xf numFmtId="0" fontId="43" fillId="12" borderId="18" xfId="0" applyFont="1" applyFill="1" applyBorder="1" applyAlignment="1">
      <alignment horizontal="center" vertical="center" wrapText="1" readingOrder="1"/>
    </xf>
    <xf numFmtId="0" fontId="43" fillId="2" borderId="46" xfId="0" applyFont="1" applyFill="1" applyBorder="1" applyAlignment="1">
      <alignment horizontal="center" vertical="center" wrapText="1" readingOrder="1"/>
    </xf>
    <xf numFmtId="0" fontId="43" fillId="2" borderId="47" xfId="0" applyFont="1" applyFill="1" applyBorder="1" applyAlignment="1">
      <alignment horizontal="center" vertical="center" wrapText="1" readingOrder="1"/>
    </xf>
    <xf numFmtId="0" fontId="43" fillId="2" borderId="12" xfId="0" applyFont="1" applyFill="1" applyBorder="1" applyAlignment="1">
      <alignment horizontal="center" vertical="center" wrapText="1" readingOrder="1"/>
    </xf>
    <xf numFmtId="0" fontId="43" fillId="2" borderId="14" xfId="0" applyFont="1" applyFill="1" applyBorder="1" applyAlignment="1">
      <alignment horizontal="center" vertical="center" wrapText="1" readingOrder="1"/>
    </xf>
    <xf numFmtId="0" fontId="43" fillId="2" borderId="48" xfId="0" applyFont="1" applyFill="1" applyBorder="1" applyAlignment="1">
      <alignment horizontal="center" vertical="center" wrapText="1" readingOrder="1"/>
    </xf>
    <xf numFmtId="0" fontId="43" fillId="2" borderId="16" xfId="0" applyFont="1" applyFill="1" applyBorder="1" applyAlignment="1">
      <alignment horizontal="center" vertical="center" wrapText="1" readingOrder="1"/>
    </xf>
  </cellXfs>
  <cellStyles count="6">
    <cellStyle name="Hipervínculo" xfId="5" builtinId="8"/>
    <cellStyle name="Normal" xfId="0" builtinId="0"/>
    <cellStyle name="Normal - Style1 2" xfId="1"/>
    <cellStyle name="Normal 2" xfId="2"/>
    <cellStyle name="Normal 2 2" xfId="3"/>
    <cellStyle name="Porcentaje" xfId="4" builtinId="5"/>
  </cellStyles>
  <dxfs count="184">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0" defaultTableStyle="TableStyleMedium2" defaultPivotStyle="PivotStyleLight16"/>
  <colors>
    <mruColors>
      <color rgb="FFD0FEE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26" Type="http://schemas.openxmlformats.org/officeDocument/2006/relationships/pivotCacheDefinition" Target="pivotCache/pivotCacheDefinition1.xml"/><Relationship Id="rId3" Type="http://schemas.openxmlformats.org/officeDocument/2006/relationships/worksheet" Target="worksheets/sheet3.xml"/><Relationship Id="rId21" Type="http://schemas.openxmlformats.org/officeDocument/2006/relationships/externalLink" Target="externalLinks/externalLink6.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externalLink" Target="externalLinks/externalLink10.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externalLink" Target="externalLinks/externalLink5.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9.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8.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7.xml"/><Relationship Id="rId27" Type="http://schemas.openxmlformats.org/officeDocument/2006/relationships/theme" Target="theme/theme1.xml"/><Relationship Id="rId30"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1029567</xdr:colOff>
      <xdr:row>1</xdr:row>
      <xdr:rowOff>100582</xdr:rowOff>
    </xdr:from>
    <xdr:to>
      <xdr:col>3</xdr:col>
      <xdr:colOff>2170957</xdr:colOff>
      <xdr:row>4</xdr:row>
      <xdr:rowOff>484909</xdr:rowOff>
    </xdr:to>
    <xdr:pic>
      <xdr:nvPicPr>
        <xdr:cNvPr id="3" name="Imagen 2">
          <a:extLst>
            <a:ext uri="{FF2B5EF4-FFF2-40B4-BE49-F238E27FC236}">
              <a16:creationId xmlns="" xmlns:a16="http://schemas.microsoft.com/office/drawing/2014/main" id="{00000000-0008-0000-0100-000003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7615" b="13197"/>
        <a:stretch/>
      </xdr:blipFill>
      <xdr:spPr bwMode="auto">
        <a:xfrm>
          <a:off x="2189885" y="966491"/>
          <a:ext cx="3005570" cy="14926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2643187</xdr:colOff>
      <xdr:row>2</xdr:row>
      <xdr:rowOff>238127</xdr:rowOff>
    </xdr:from>
    <xdr:to>
      <xdr:col>0</xdr:col>
      <xdr:colOff>5052579</xdr:colOff>
      <xdr:row>5</xdr:row>
      <xdr:rowOff>357620</xdr:rowOff>
    </xdr:to>
    <xdr:pic>
      <xdr:nvPicPr>
        <xdr:cNvPr id="4" name="Imagen 3">
          <a:extLst>
            <a:ext uri="{FF2B5EF4-FFF2-40B4-BE49-F238E27FC236}">
              <a16:creationId xmlns=""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187" y="1452565"/>
          <a:ext cx="2409392" cy="14053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2500312</xdr:colOff>
      <xdr:row>2</xdr:row>
      <xdr:rowOff>214313</xdr:rowOff>
    </xdr:from>
    <xdr:to>
      <xdr:col>1</xdr:col>
      <xdr:colOff>150786</xdr:colOff>
      <xdr:row>5</xdr:row>
      <xdr:rowOff>428624</xdr:rowOff>
    </xdr:to>
    <xdr:pic>
      <xdr:nvPicPr>
        <xdr:cNvPr id="4" name="Imagen 3">
          <a:extLst>
            <a:ext uri="{FF2B5EF4-FFF2-40B4-BE49-F238E27FC236}">
              <a16:creationId xmlns=""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0312" y="1404938"/>
          <a:ext cx="3060674" cy="17859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2595563</xdr:colOff>
      <xdr:row>2</xdr:row>
      <xdr:rowOff>31931</xdr:rowOff>
    </xdr:from>
    <xdr:to>
      <xdr:col>0</xdr:col>
      <xdr:colOff>5235575</xdr:colOff>
      <xdr:row>5</xdr:row>
      <xdr:rowOff>276654</xdr:rowOff>
    </xdr:to>
    <xdr:pic>
      <xdr:nvPicPr>
        <xdr:cNvPr id="4" name="Imagen 3">
          <a:extLst>
            <a:ext uri="{FF2B5EF4-FFF2-40B4-BE49-F238E27FC236}">
              <a16:creationId xmlns=""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95563" y="1270181"/>
          <a:ext cx="2635249" cy="15305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0</xdr:col>
      <xdr:colOff>5090680</xdr:colOff>
      <xdr:row>4</xdr:row>
      <xdr:rowOff>381000</xdr:rowOff>
    </xdr:to>
    <xdr:pic>
      <xdr:nvPicPr>
        <xdr:cNvPr id="2" name="Imagen 1">
          <a:extLst>
            <a:ext uri="{FF2B5EF4-FFF2-40B4-BE49-F238E27FC236}">
              <a16:creationId xmlns=""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09392" cy="12334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1</xdr:col>
      <xdr:colOff>1471180</xdr:colOff>
      <xdr:row>5</xdr:row>
      <xdr:rowOff>219075</xdr:rowOff>
    </xdr:to>
    <xdr:pic>
      <xdr:nvPicPr>
        <xdr:cNvPr id="2" name="Imagen 1">
          <a:extLst>
            <a:ext uri="{FF2B5EF4-FFF2-40B4-BE49-F238E27FC236}">
              <a16:creationId xmlns=""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14155" cy="15097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icolas.corredor\Documents\HOMIL%20-NCR\ADMINISTRACI&#211;N%20DE%20RIESGOS\2021\Mapa%20de%20Riesgos%202021\Formato%20Mapa%20de%20Riesgos%20V.5\FT%20-%20Mapa%20de%20Riesgos%20Institucional%20HOMIL%20V.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Tecnolog&#237;as_de_la_informaci&#243;n_2024.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HOMIL%20-NCR\ADMINISTRACI&#211;N%20DE%20RIESGOS\2023\Mapa%20de%20Riesgos%20por%20proceso%202023\Mapa_de_Riesgos_Tecnolog&#237;as_de_la_Informaci&#243;n_202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Luisa.Moreno\Downloads\Mapa_de_Riesgos_Gesti&#243;n_de_Apoyo_Asistencial_y_Famac&#233;utico_2023%20(2).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RIESGOS%202024\2024\Mapa_de_Riesgos_por_Proceso_2024\MR_Gesti&#243;n_Log&#237;stica.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nicolas.corredor\Downloads\MR_Gesti&#243;n_de_Adquisiciones_2024%2019012024%20final.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Gesti&#243;n_Financiera_2024.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Documentos\HOMIL%20-NCR\ADMINISTRACI&#211;N%20DE%20RIESGOS\2024\RIESGOS%202024\Mapa_de_Riesgos_por_Proceso_2024\MR_Evaluaci&#243;n_mejoramiento_y_seguimiento_2024.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Mi%20unidad/HOMIL%20-NCR/ADMINISTRACI&#211;N%20DE%20RIESGOS/2024/RIESGOS%202024/Mapa_de_Riesgos_por_Proceso_2024/MR_Gesti&#243;n_Humana_2024.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nicolas.corredor\OneDrive%20-%20Hospital%20Militar%20Central\HOMIL%20-NCR\ADMINISTRACI&#211;N%20DE%20RIESGOS\2023\Mapa%20de%20Riesgos%20por%20proceso%202023\Mapa_de_Riesgos_Gesti&#243;n_Financiera_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sheetData>
      <sheetData sheetId="9" refreshError="1"/>
      <sheetData sheetId="10" refreshError="1"/>
      <sheetData sheetId="11" refreshError="1"/>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row r="221">
          <cell r="B221" t="e">
            <v>#NAME?</v>
          </cell>
        </row>
      </sheetData>
      <sheetData sheetId="11"/>
      <sheetData sheetId="12"/>
      <sheetData sheetId="13"/>
      <sheetData sheetId="1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ndres Marin" refreshedDate="44186.276661689815" createdVersion="4" refreshedVersion="4" minRefreshableVersion="3" recordCount="1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09:E221"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id="1" name="Tabla1" displayName="Tabla1" ref="B209:C219" totalsRowShown="0" headerRowDxfId="3" dataDxfId="2">
  <autoFilter ref="B209:C219"/>
  <tableColumns count="2">
    <tableColumn id="1" name="Criterios" dataDxfId="1"/>
    <tableColumn id="2" name="Subcriterios"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9.bin"/><Relationship Id="rId4" Type="http://schemas.openxmlformats.org/officeDocument/2006/relationships/comments" Target="../comments5.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10.bin"/><Relationship Id="rId4" Type="http://schemas.openxmlformats.org/officeDocument/2006/relationships/comments" Target="../comments6.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11.bin"/><Relationship Id="rId1" Type="http://schemas.openxmlformats.org/officeDocument/2006/relationships/pivotTable" Target="../pivotTables/pivotTable1.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B1:H45"/>
  <sheetViews>
    <sheetView zoomScaleNormal="100" workbookViewId="0">
      <selection activeCell="B7" sqref="B7:H7"/>
    </sheetView>
  </sheetViews>
  <sheetFormatPr baseColWidth="10" defaultColWidth="11.42578125" defaultRowHeight="15" x14ac:dyDescent="0.25"/>
  <cols>
    <col min="1" max="1" width="2.85546875" style="69" customWidth="1"/>
    <col min="2" max="3" width="24.7109375" style="69" customWidth="1"/>
    <col min="4" max="4" width="16" style="69" customWidth="1"/>
    <col min="5" max="5" width="24.7109375" style="69" customWidth="1"/>
    <col min="6" max="6" width="27.7109375" style="69" customWidth="1"/>
    <col min="7" max="8" width="24.7109375" style="69" customWidth="1"/>
    <col min="9" max="16384" width="11.42578125" style="69"/>
  </cols>
  <sheetData>
    <row r="1" spans="2:8" ht="15.75" thickBot="1" x14ac:dyDescent="0.3"/>
    <row r="2" spans="2:8" ht="18" x14ac:dyDescent="0.25">
      <c r="B2" s="305" t="s">
        <v>0</v>
      </c>
      <c r="C2" s="306"/>
      <c r="D2" s="306"/>
      <c r="E2" s="306"/>
      <c r="F2" s="306"/>
      <c r="G2" s="306"/>
      <c r="H2" s="307"/>
    </row>
    <row r="3" spans="2:8" x14ac:dyDescent="0.25">
      <c r="B3" s="70"/>
      <c r="C3" s="71"/>
      <c r="D3" s="71"/>
      <c r="E3" s="71"/>
      <c r="F3" s="71"/>
      <c r="G3" s="71"/>
      <c r="H3" s="72"/>
    </row>
    <row r="4" spans="2:8" ht="63" customHeight="1" x14ac:dyDescent="0.25">
      <c r="B4" s="308" t="s">
        <v>1</v>
      </c>
      <c r="C4" s="309"/>
      <c r="D4" s="309"/>
      <c r="E4" s="309"/>
      <c r="F4" s="309"/>
      <c r="G4" s="309"/>
      <c r="H4" s="310"/>
    </row>
    <row r="5" spans="2:8" ht="63" customHeight="1" x14ac:dyDescent="0.25">
      <c r="B5" s="311"/>
      <c r="C5" s="312"/>
      <c r="D5" s="312"/>
      <c r="E5" s="312"/>
      <c r="F5" s="312"/>
      <c r="G5" s="312"/>
      <c r="H5" s="313"/>
    </row>
    <row r="6" spans="2:8" ht="16.5" x14ac:dyDescent="0.25">
      <c r="B6" s="314" t="s">
        <v>2</v>
      </c>
      <c r="C6" s="315"/>
      <c r="D6" s="315"/>
      <c r="E6" s="315"/>
      <c r="F6" s="315"/>
      <c r="G6" s="315"/>
      <c r="H6" s="316"/>
    </row>
    <row r="7" spans="2:8" ht="95.25" customHeight="1" x14ac:dyDescent="0.25">
      <c r="B7" s="324" t="s">
        <v>3</v>
      </c>
      <c r="C7" s="325"/>
      <c r="D7" s="325"/>
      <c r="E7" s="325"/>
      <c r="F7" s="325"/>
      <c r="G7" s="325"/>
      <c r="H7" s="326"/>
    </row>
    <row r="8" spans="2:8" ht="16.5" x14ac:dyDescent="0.25">
      <c r="B8" s="105"/>
      <c r="C8" s="106"/>
      <c r="D8" s="106"/>
      <c r="E8" s="106"/>
      <c r="F8" s="106"/>
      <c r="G8" s="106"/>
      <c r="H8" s="107"/>
    </row>
    <row r="9" spans="2:8" ht="16.5" customHeight="1" x14ac:dyDescent="0.25">
      <c r="B9" s="317" t="s">
        <v>4</v>
      </c>
      <c r="C9" s="318"/>
      <c r="D9" s="318"/>
      <c r="E9" s="318"/>
      <c r="F9" s="318"/>
      <c r="G9" s="318"/>
      <c r="H9" s="319"/>
    </row>
    <row r="10" spans="2:8" ht="44.25" customHeight="1" x14ac:dyDescent="0.25">
      <c r="B10" s="317"/>
      <c r="C10" s="318"/>
      <c r="D10" s="318"/>
      <c r="E10" s="318"/>
      <c r="F10" s="318"/>
      <c r="G10" s="318"/>
      <c r="H10" s="319"/>
    </row>
    <row r="11" spans="2:8" ht="15.75" thickBot="1" x14ac:dyDescent="0.3">
      <c r="B11" s="94"/>
      <c r="C11" s="97"/>
      <c r="D11" s="102"/>
      <c r="E11" s="103"/>
      <c r="F11" s="103"/>
      <c r="G11" s="104"/>
      <c r="H11" s="98"/>
    </row>
    <row r="12" spans="2:8" ht="15.75" thickTop="1" x14ac:dyDescent="0.25">
      <c r="B12" s="94"/>
      <c r="C12" s="320" t="s">
        <v>5</v>
      </c>
      <c r="D12" s="321"/>
      <c r="E12" s="322" t="s">
        <v>6</v>
      </c>
      <c r="F12" s="323"/>
      <c r="G12" s="97"/>
      <c r="H12" s="98"/>
    </row>
    <row r="13" spans="2:8" ht="35.25" customHeight="1" x14ac:dyDescent="0.25">
      <c r="B13" s="94"/>
      <c r="C13" s="301" t="s">
        <v>7</v>
      </c>
      <c r="D13" s="302"/>
      <c r="E13" s="303" t="s">
        <v>8</v>
      </c>
      <c r="F13" s="304"/>
      <c r="G13" s="97"/>
      <c r="H13" s="98"/>
    </row>
    <row r="14" spans="2:8" ht="17.25" customHeight="1" x14ac:dyDescent="0.25">
      <c r="B14" s="94"/>
      <c r="C14" s="301" t="s">
        <v>9</v>
      </c>
      <c r="D14" s="302"/>
      <c r="E14" s="303" t="s">
        <v>10</v>
      </c>
      <c r="F14" s="304"/>
      <c r="G14" s="97"/>
      <c r="H14" s="98"/>
    </row>
    <row r="15" spans="2:8" ht="19.5" customHeight="1" x14ac:dyDescent="0.25">
      <c r="B15" s="94"/>
      <c r="C15" s="301" t="s">
        <v>11</v>
      </c>
      <c r="D15" s="302"/>
      <c r="E15" s="303" t="s">
        <v>12</v>
      </c>
      <c r="F15" s="304"/>
      <c r="G15" s="97"/>
      <c r="H15" s="98"/>
    </row>
    <row r="16" spans="2:8" ht="69.75" customHeight="1" x14ac:dyDescent="0.25">
      <c r="B16" s="94"/>
      <c r="C16" s="301" t="s">
        <v>13</v>
      </c>
      <c r="D16" s="302"/>
      <c r="E16" s="303" t="s">
        <v>14</v>
      </c>
      <c r="F16" s="304"/>
      <c r="G16" s="97"/>
      <c r="H16" s="98"/>
    </row>
    <row r="17" spans="2:8" ht="34.5" customHeight="1" x14ac:dyDescent="0.25">
      <c r="B17" s="94"/>
      <c r="C17" s="290" t="s">
        <v>15</v>
      </c>
      <c r="D17" s="291"/>
      <c r="E17" s="288" t="s">
        <v>16</v>
      </c>
      <c r="F17" s="289"/>
      <c r="G17" s="97"/>
      <c r="H17" s="98"/>
    </row>
    <row r="18" spans="2:8" ht="27.75" customHeight="1" x14ac:dyDescent="0.25">
      <c r="B18" s="94"/>
      <c r="C18" s="290" t="s">
        <v>17</v>
      </c>
      <c r="D18" s="291"/>
      <c r="E18" s="288" t="s">
        <v>18</v>
      </c>
      <c r="F18" s="289"/>
      <c r="G18" s="97"/>
      <c r="H18" s="98"/>
    </row>
    <row r="19" spans="2:8" ht="28.5" customHeight="1" x14ac:dyDescent="0.25">
      <c r="B19" s="94"/>
      <c r="C19" s="290" t="s">
        <v>19</v>
      </c>
      <c r="D19" s="291"/>
      <c r="E19" s="288" t="s">
        <v>20</v>
      </c>
      <c r="F19" s="289"/>
      <c r="G19" s="97"/>
      <c r="H19" s="98"/>
    </row>
    <row r="20" spans="2:8" ht="72.75" customHeight="1" x14ac:dyDescent="0.25">
      <c r="B20" s="94"/>
      <c r="C20" s="290" t="s">
        <v>21</v>
      </c>
      <c r="D20" s="291"/>
      <c r="E20" s="288" t="s">
        <v>22</v>
      </c>
      <c r="F20" s="289"/>
      <c r="G20" s="97"/>
      <c r="H20" s="98"/>
    </row>
    <row r="21" spans="2:8" ht="64.5" customHeight="1" x14ac:dyDescent="0.25">
      <c r="B21" s="94"/>
      <c r="C21" s="290" t="s">
        <v>23</v>
      </c>
      <c r="D21" s="291"/>
      <c r="E21" s="288" t="s">
        <v>24</v>
      </c>
      <c r="F21" s="289"/>
      <c r="G21" s="97"/>
      <c r="H21" s="98"/>
    </row>
    <row r="22" spans="2:8" ht="71.25" customHeight="1" x14ac:dyDescent="0.25">
      <c r="B22" s="94"/>
      <c r="C22" s="290" t="s">
        <v>25</v>
      </c>
      <c r="D22" s="291"/>
      <c r="E22" s="288" t="s">
        <v>26</v>
      </c>
      <c r="F22" s="289"/>
      <c r="G22" s="97"/>
      <c r="H22" s="98"/>
    </row>
    <row r="23" spans="2:8" ht="55.5" customHeight="1" x14ac:dyDescent="0.25">
      <c r="B23" s="94"/>
      <c r="C23" s="295" t="s">
        <v>27</v>
      </c>
      <c r="D23" s="296"/>
      <c r="E23" s="288" t="s">
        <v>28</v>
      </c>
      <c r="F23" s="289"/>
      <c r="G23" s="97"/>
      <c r="H23" s="98"/>
    </row>
    <row r="24" spans="2:8" ht="42" customHeight="1" x14ac:dyDescent="0.25">
      <c r="B24" s="94"/>
      <c r="C24" s="295" t="s">
        <v>29</v>
      </c>
      <c r="D24" s="296"/>
      <c r="E24" s="288" t="s">
        <v>30</v>
      </c>
      <c r="F24" s="289"/>
      <c r="G24" s="97"/>
      <c r="H24" s="98"/>
    </row>
    <row r="25" spans="2:8" ht="59.25" customHeight="1" x14ac:dyDescent="0.25">
      <c r="B25" s="94"/>
      <c r="C25" s="295" t="s">
        <v>31</v>
      </c>
      <c r="D25" s="296"/>
      <c r="E25" s="288" t="s">
        <v>32</v>
      </c>
      <c r="F25" s="289"/>
      <c r="G25" s="97"/>
      <c r="H25" s="98"/>
    </row>
    <row r="26" spans="2:8" ht="23.25" customHeight="1" x14ac:dyDescent="0.25">
      <c r="B26" s="94"/>
      <c r="C26" s="295" t="s">
        <v>33</v>
      </c>
      <c r="D26" s="296"/>
      <c r="E26" s="288" t="s">
        <v>34</v>
      </c>
      <c r="F26" s="289"/>
      <c r="G26" s="97"/>
      <c r="H26" s="98"/>
    </row>
    <row r="27" spans="2:8" ht="30.75" customHeight="1" x14ac:dyDescent="0.25">
      <c r="B27" s="94"/>
      <c r="C27" s="295" t="s">
        <v>35</v>
      </c>
      <c r="D27" s="296"/>
      <c r="E27" s="288" t="s">
        <v>36</v>
      </c>
      <c r="F27" s="289"/>
      <c r="G27" s="97"/>
      <c r="H27" s="98"/>
    </row>
    <row r="28" spans="2:8" ht="35.25" customHeight="1" x14ac:dyDescent="0.25">
      <c r="B28" s="94"/>
      <c r="C28" s="295" t="s">
        <v>37</v>
      </c>
      <c r="D28" s="296"/>
      <c r="E28" s="288" t="s">
        <v>38</v>
      </c>
      <c r="F28" s="289"/>
      <c r="G28" s="97"/>
      <c r="H28" s="98"/>
    </row>
    <row r="29" spans="2:8" ht="33" customHeight="1" x14ac:dyDescent="0.25">
      <c r="B29" s="94"/>
      <c r="C29" s="295" t="s">
        <v>37</v>
      </c>
      <c r="D29" s="296"/>
      <c r="E29" s="288" t="s">
        <v>38</v>
      </c>
      <c r="F29" s="289"/>
      <c r="G29" s="97"/>
      <c r="H29" s="98"/>
    </row>
    <row r="30" spans="2:8" ht="30" customHeight="1" x14ac:dyDescent="0.25">
      <c r="B30" s="94"/>
      <c r="C30" s="295" t="s">
        <v>39</v>
      </c>
      <c r="D30" s="296"/>
      <c r="E30" s="288" t="s">
        <v>40</v>
      </c>
      <c r="F30" s="289"/>
      <c r="G30" s="97"/>
      <c r="H30" s="98"/>
    </row>
    <row r="31" spans="2:8" ht="35.25" customHeight="1" x14ac:dyDescent="0.25">
      <c r="B31" s="94"/>
      <c r="C31" s="295" t="s">
        <v>41</v>
      </c>
      <c r="D31" s="296"/>
      <c r="E31" s="288" t="s">
        <v>42</v>
      </c>
      <c r="F31" s="289"/>
      <c r="G31" s="97"/>
      <c r="H31" s="98"/>
    </row>
    <row r="32" spans="2:8" ht="31.5" customHeight="1" x14ac:dyDescent="0.25">
      <c r="B32" s="94"/>
      <c r="C32" s="295" t="s">
        <v>43</v>
      </c>
      <c r="D32" s="296"/>
      <c r="E32" s="288" t="s">
        <v>44</v>
      </c>
      <c r="F32" s="289"/>
      <c r="G32" s="97"/>
      <c r="H32" s="98"/>
    </row>
    <row r="33" spans="2:8" ht="35.25" customHeight="1" x14ac:dyDescent="0.25">
      <c r="B33" s="94"/>
      <c r="C33" s="295" t="s">
        <v>45</v>
      </c>
      <c r="D33" s="296"/>
      <c r="E33" s="288" t="s">
        <v>46</v>
      </c>
      <c r="F33" s="289"/>
      <c r="G33" s="97"/>
      <c r="H33" s="98"/>
    </row>
    <row r="34" spans="2:8" ht="59.25" customHeight="1" x14ac:dyDescent="0.25">
      <c r="B34" s="94"/>
      <c r="C34" s="295" t="s">
        <v>47</v>
      </c>
      <c r="D34" s="296"/>
      <c r="E34" s="288" t="s">
        <v>48</v>
      </c>
      <c r="F34" s="289"/>
      <c r="G34" s="97"/>
      <c r="H34" s="98"/>
    </row>
    <row r="35" spans="2:8" ht="29.25" customHeight="1" x14ac:dyDescent="0.25">
      <c r="B35" s="94"/>
      <c r="C35" s="295" t="s">
        <v>49</v>
      </c>
      <c r="D35" s="296"/>
      <c r="E35" s="288" t="s">
        <v>50</v>
      </c>
      <c r="F35" s="289"/>
      <c r="G35" s="97"/>
      <c r="H35" s="98"/>
    </row>
    <row r="36" spans="2:8" ht="82.5" customHeight="1" x14ac:dyDescent="0.25">
      <c r="B36" s="94"/>
      <c r="C36" s="295" t="s">
        <v>51</v>
      </c>
      <c r="D36" s="296"/>
      <c r="E36" s="288" t="s">
        <v>52</v>
      </c>
      <c r="F36" s="289"/>
      <c r="G36" s="97"/>
      <c r="H36" s="98"/>
    </row>
    <row r="37" spans="2:8" ht="46.5" customHeight="1" x14ac:dyDescent="0.25">
      <c r="B37" s="94"/>
      <c r="C37" s="295" t="s">
        <v>53</v>
      </c>
      <c r="D37" s="296"/>
      <c r="E37" s="288" t="s">
        <v>54</v>
      </c>
      <c r="F37" s="289"/>
      <c r="G37" s="97"/>
      <c r="H37" s="98"/>
    </row>
    <row r="38" spans="2:8" ht="6.75" customHeight="1" thickBot="1" x14ac:dyDescent="0.3">
      <c r="B38" s="94"/>
      <c r="C38" s="297"/>
      <c r="D38" s="298"/>
      <c r="E38" s="299"/>
      <c r="F38" s="300"/>
      <c r="G38" s="97"/>
      <c r="H38" s="98"/>
    </row>
    <row r="39" spans="2:8" ht="15.75" thickTop="1" x14ac:dyDescent="0.25">
      <c r="B39" s="94"/>
      <c r="C39" s="95"/>
      <c r="D39" s="95"/>
      <c r="E39" s="96"/>
      <c r="F39" s="96"/>
      <c r="G39" s="97"/>
      <c r="H39" s="98"/>
    </row>
    <row r="40" spans="2:8" ht="21" customHeight="1" x14ac:dyDescent="0.25">
      <c r="B40" s="292" t="s">
        <v>55</v>
      </c>
      <c r="C40" s="293"/>
      <c r="D40" s="293"/>
      <c r="E40" s="293"/>
      <c r="F40" s="293"/>
      <c r="G40" s="293"/>
      <c r="H40" s="294"/>
    </row>
    <row r="41" spans="2:8" ht="20.25" customHeight="1" x14ac:dyDescent="0.25">
      <c r="B41" s="292" t="s">
        <v>56</v>
      </c>
      <c r="C41" s="293"/>
      <c r="D41" s="293"/>
      <c r="E41" s="293"/>
      <c r="F41" s="293"/>
      <c r="G41" s="293"/>
      <c r="H41" s="294"/>
    </row>
    <row r="42" spans="2:8" ht="20.25" customHeight="1" x14ac:dyDescent="0.25">
      <c r="B42" s="292" t="s">
        <v>57</v>
      </c>
      <c r="C42" s="293"/>
      <c r="D42" s="293"/>
      <c r="E42" s="293"/>
      <c r="F42" s="293"/>
      <c r="G42" s="293"/>
      <c r="H42" s="294"/>
    </row>
    <row r="43" spans="2:8" ht="20.25" customHeight="1" x14ac:dyDescent="0.25">
      <c r="B43" s="292" t="s">
        <v>58</v>
      </c>
      <c r="C43" s="293"/>
      <c r="D43" s="293"/>
      <c r="E43" s="293"/>
      <c r="F43" s="293"/>
      <c r="G43" s="293"/>
      <c r="H43" s="294"/>
    </row>
    <row r="44" spans="2:8" x14ac:dyDescent="0.25">
      <c r="B44" s="292" t="s">
        <v>59</v>
      </c>
      <c r="C44" s="293"/>
      <c r="D44" s="293"/>
      <c r="E44" s="293"/>
      <c r="F44" s="293"/>
      <c r="G44" s="293"/>
      <c r="H44" s="294"/>
    </row>
    <row r="45" spans="2:8" ht="15.75" thickBot="1" x14ac:dyDescent="0.3">
      <c r="B45" s="99"/>
      <c r="C45" s="100"/>
      <c r="D45" s="100"/>
      <c r="E45" s="100"/>
      <c r="F45" s="100"/>
      <c r="G45" s="100"/>
      <c r="H45" s="101"/>
    </row>
  </sheetData>
  <mergeCells count="64">
    <mergeCell ref="B2:H2"/>
    <mergeCell ref="B4:H5"/>
    <mergeCell ref="B6:H6"/>
    <mergeCell ref="B9:H10"/>
    <mergeCell ref="C12:D12"/>
    <mergeCell ref="E12:F12"/>
    <mergeCell ref="B7:H7"/>
    <mergeCell ref="C13:D13"/>
    <mergeCell ref="E13:F13"/>
    <mergeCell ref="C17:D17"/>
    <mergeCell ref="E17:F17"/>
    <mergeCell ref="C21:D21"/>
    <mergeCell ref="C18:D18"/>
    <mergeCell ref="C19:D19"/>
    <mergeCell ref="C20:D20"/>
    <mergeCell ref="E18:F18"/>
    <mergeCell ref="C16:D16"/>
    <mergeCell ref="E16:F16"/>
    <mergeCell ref="C14:D14"/>
    <mergeCell ref="E14:F14"/>
    <mergeCell ref="C15:D15"/>
    <mergeCell ref="E15:F15"/>
    <mergeCell ref="E19:F19"/>
    <mergeCell ref="E20:F20"/>
    <mergeCell ref="E21:F21"/>
    <mergeCell ref="B42:H42"/>
    <mergeCell ref="B43:H43"/>
    <mergeCell ref="E30:F30"/>
    <mergeCell ref="E33:F33"/>
    <mergeCell ref="C34:D34"/>
    <mergeCell ref="C35:D35"/>
    <mergeCell ref="E35:F35"/>
    <mergeCell ref="C25:D25"/>
    <mergeCell ref="E36:F36"/>
    <mergeCell ref="B41:H41"/>
    <mergeCell ref="C38:D38"/>
    <mergeCell ref="E38:F38"/>
    <mergeCell ref="C37:D37"/>
    <mergeCell ref="C26:D26"/>
    <mergeCell ref="B44:H44"/>
    <mergeCell ref="E23:F23"/>
    <mergeCell ref="C23:D23"/>
    <mergeCell ref="C24:D24"/>
    <mergeCell ref="E24:F24"/>
    <mergeCell ref="C36:D36"/>
    <mergeCell ref="E26:F26"/>
    <mergeCell ref="E34:F34"/>
    <mergeCell ref="C32:D32"/>
    <mergeCell ref="C31:D31"/>
    <mergeCell ref="E31:F31"/>
    <mergeCell ref="E32:F32"/>
    <mergeCell ref="C27:D27"/>
    <mergeCell ref="E27:F27"/>
    <mergeCell ref="C33:D33"/>
    <mergeCell ref="C30:D30"/>
    <mergeCell ref="E22:F22"/>
    <mergeCell ref="C22:D22"/>
    <mergeCell ref="E37:F37"/>
    <mergeCell ref="B40:H40"/>
    <mergeCell ref="C29:D29"/>
    <mergeCell ref="E29:F29"/>
    <mergeCell ref="E25:F25"/>
    <mergeCell ref="C28:D28"/>
    <mergeCell ref="E28:F28"/>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tabColor rgb="FF002060"/>
  </sheetPr>
  <dimension ref="A1:BX257"/>
  <sheetViews>
    <sheetView tabSelected="1" view="pageBreakPreview" topLeftCell="A11" zoomScale="55" zoomScaleNormal="40" zoomScaleSheetLayoutView="55" zoomScalePageLayoutView="10" workbookViewId="0">
      <selection activeCell="H13" sqref="H13:H14"/>
    </sheetView>
  </sheetViews>
  <sheetFormatPr baseColWidth="10" defaultColWidth="11.42578125" defaultRowHeight="69" customHeight="1" x14ac:dyDescent="0.35"/>
  <cols>
    <col min="1" max="1" width="8.42578125" style="184" customWidth="1"/>
    <col min="2" max="2" width="22.28515625" style="181" customWidth="1"/>
    <col min="3" max="3" width="27.85546875" style="200" customWidth="1"/>
    <col min="4" max="4" width="40.140625" style="200" customWidth="1"/>
    <col min="5" max="5" width="28.28515625" style="184" customWidth="1"/>
    <col min="6" max="6" width="40.5703125" style="184" customWidth="1"/>
    <col min="7" max="7" width="50.42578125" style="184" customWidth="1"/>
    <col min="8" max="8" width="71.42578125" style="179" customWidth="1"/>
    <col min="9" max="12" width="18.42578125" style="179" customWidth="1"/>
    <col min="13" max="13" width="30.5703125" style="201" customWidth="1"/>
    <col min="14" max="14" width="32.85546875" style="201" customWidth="1"/>
    <col min="15" max="15" width="24.5703125" style="179" customWidth="1"/>
    <col min="16" max="16" width="27.85546875" style="179" customWidth="1"/>
    <col min="17" max="17" width="11.5703125" style="179" customWidth="1"/>
    <col min="18" max="18" width="34.5703125" style="179" customWidth="1"/>
    <col min="19" max="19" width="34.5703125" style="179" hidden="1" customWidth="1"/>
    <col min="20" max="20" width="27.85546875" style="179" customWidth="1"/>
    <col min="21" max="21" width="10" style="179" customWidth="1"/>
    <col min="22" max="22" width="27.85546875" style="179" customWidth="1"/>
    <col min="23" max="23" width="11.85546875" style="203" customWidth="1"/>
    <col min="24" max="24" width="178" style="214" customWidth="1"/>
    <col min="25" max="25" width="21.85546875" style="179" customWidth="1"/>
    <col min="26" max="31" width="8.42578125" style="179" customWidth="1"/>
    <col min="32" max="32" width="14.85546875" style="179" customWidth="1"/>
    <col min="33" max="38" width="16.7109375" style="179" customWidth="1"/>
    <col min="39" max="39" width="56.140625" style="179" customWidth="1"/>
    <col min="40" max="40" width="31.7109375" style="179" customWidth="1"/>
    <col min="41" max="41" width="36.85546875" style="179" customWidth="1"/>
    <col min="42" max="42" width="31.42578125" style="179" customWidth="1"/>
    <col min="43" max="44" width="35.140625" style="179" customWidth="1"/>
    <col min="45" max="16384" width="11.42578125" style="179"/>
  </cols>
  <sheetData>
    <row r="1" spans="1:76" ht="67.5" customHeight="1" thickBot="1" x14ac:dyDescent="0.4">
      <c r="A1" s="388" t="s">
        <v>60</v>
      </c>
      <c r="B1" s="389"/>
      <c r="C1" s="389"/>
      <c r="D1" s="389"/>
      <c r="E1" s="389"/>
      <c r="F1" s="389"/>
      <c r="G1" s="389"/>
      <c r="H1" s="383" t="s">
        <v>61</v>
      </c>
      <c r="I1" s="383"/>
      <c r="J1" s="383"/>
      <c r="K1" s="383"/>
      <c r="L1" s="383"/>
      <c r="M1" s="383"/>
      <c r="N1" s="383"/>
      <c r="O1" s="383"/>
      <c r="P1" s="383"/>
      <c r="Q1" s="383"/>
      <c r="R1" s="383"/>
      <c r="S1" s="383"/>
      <c r="T1" s="383"/>
      <c r="U1" s="383"/>
      <c r="V1" s="383"/>
      <c r="W1" s="383"/>
      <c r="X1" s="383"/>
      <c r="Y1" s="383"/>
      <c r="Z1" s="383"/>
      <c r="AA1" s="383"/>
      <c r="AB1" s="383"/>
      <c r="AC1" s="383"/>
      <c r="AD1" s="383"/>
      <c r="AE1" s="383"/>
      <c r="AF1" s="383"/>
      <c r="AG1" s="383"/>
      <c r="AH1" s="383"/>
      <c r="AI1" s="383"/>
      <c r="AJ1" s="383"/>
      <c r="AK1" s="383"/>
      <c r="AL1" s="383"/>
      <c r="AM1" s="383"/>
      <c r="AN1" s="383"/>
      <c r="AO1" s="383"/>
      <c r="AP1" s="377" t="s">
        <v>62</v>
      </c>
      <c r="AQ1" s="377"/>
      <c r="AR1" s="378"/>
    </row>
    <row r="2" spans="1:76" ht="27" thickTop="1" thickBot="1" x14ac:dyDescent="0.4">
      <c r="A2" s="385"/>
      <c r="B2" s="339"/>
      <c r="C2" s="339"/>
      <c r="D2" s="339"/>
      <c r="E2" s="339"/>
      <c r="F2" s="339"/>
      <c r="G2" s="339"/>
      <c r="H2" s="327" t="s">
        <v>63</v>
      </c>
      <c r="I2" s="327"/>
      <c r="J2" s="327"/>
      <c r="K2" s="327"/>
      <c r="L2" s="327"/>
      <c r="M2" s="327"/>
      <c r="N2" s="327"/>
      <c r="O2" s="327"/>
      <c r="P2" s="327"/>
      <c r="Q2" s="327"/>
      <c r="R2" s="327"/>
      <c r="S2" s="327"/>
      <c r="T2" s="327"/>
      <c r="U2" s="327"/>
      <c r="V2" s="327"/>
      <c r="W2" s="327"/>
      <c r="X2" s="327"/>
      <c r="Y2" s="327"/>
      <c r="Z2" s="327"/>
      <c r="AA2" s="327"/>
      <c r="AB2" s="327"/>
      <c r="AC2" s="327"/>
      <c r="AD2" s="327"/>
      <c r="AE2" s="327"/>
      <c r="AF2" s="327"/>
      <c r="AG2" s="327"/>
      <c r="AH2" s="327"/>
      <c r="AI2" s="327"/>
      <c r="AJ2" s="327"/>
      <c r="AK2" s="327"/>
      <c r="AL2" s="327"/>
      <c r="AM2" s="327"/>
      <c r="AN2" s="327"/>
      <c r="AO2" s="327"/>
      <c r="AP2" s="379"/>
      <c r="AQ2" s="379"/>
      <c r="AR2" s="380"/>
    </row>
    <row r="3" spans="1:76" ht="27" thickTop="1" thickBot="1" x14ac:dyDescent="0.4">
      <c r="A3" s="385"/>
      <c r="B3" s="339"/>
      <c r="C3" s="339"/>
      <c r="D3" s="339"/>
      <c r="E3" s="339"/>
      <c r="F3" s="339"/>
      <c r="G3" s="339"/>
      <c r="H3" s="327"/>
      <c r="I3" s="327"/>
      <c r="J3" s="327"/>
      <c r="K3" s="327"/>
      <c r="L3" s="327"/>
      <c r="M3" s="327"/>
      <c r="N3" s="327"/>
      <c r="O3" s="327"/>
      <c r="P3" s="327"/>
      <c r="Q3" s="327"/>
      <c r="R3" s="327"/>
      <c r="S3" s="327"/>
      <c r="T3" s="327"/>
      <c r="U3" s="327"/>
      <c r="V3" s="327"/>
      <c r="W3" s="327"/>
      <c r="X3" s="327"/>
      <c r="Y3" s="327"/>
      <c r="Z3" s="327"/>
      <c r="AA3" s="327"/>
      <c r="AB3" s="327"/>
      <c r="AC3" s="327"/>
      <c r="AD3" s="327"/>
      <c r="AE3" s="327"/>
      <c r="AF3" s="327"/>
      <c r="AG3" s="327"/>
      <c r="AH3" s="327"/>
      <c r="AI3" s="327"/>
      <c r="AJ3" s="327"/>
      <c r="AK3" s="327"/>
      <c r="AL3" s="327"/>
      <c r="AM3" s="327"/>
      <c r="AN3" s="327"/>
      <c r="AO3" s="327"/>
      <c r="AP3" s="379" t="s">
        <v>64</v>
      </c>
      <c r="AQ3" s="379"/>
      <c r="AR3" s="380"/>
    </row>
    <row r="4" spans="1:76" ht="27" thickTop="1" thickBot="1" x14ac:dyDescent="0.4">
      <c r="A4" s="385"/>
      <c r="B4" s="339"/>
      <c r="C4" s="339"/>
      <c r="D4" s="339"/>
      <c r="E4" s="339"/>
      <c r="F4" s="339"/>
      <c r="G4" s="339"/>
      <c r="H4" s="327" t="s">
        <v>65</v>
      </c>
      <c r="I4" s="327"/>
      <c r="J4" s="327"/>
      <c r="K4" s="327"/>
      <c r="L4" s="327"/>
      <c r="M4" s="327"/>
      <c r="N4" s="327"/>
      <c r="O4" s="327"/>
      <c r="P4" s="327"/>
      <c r="Q4" s="327"/>
      <c r="R4" s="327"/>
      <c r="S4" s="327"/>
      <c r="T4" s="327"/>
      <c r="U4" s="327"/>
      <c r="V4" s="327"/>
      <c r="W4" s="327"/>
      <c r="X4" s="327"/>
      <c r="Y4" s="327"/>
      <c r="Z4" s="327"/>
      <c r="AA4" s="327"/>
      <c r="AB4" s="327"/>
      <c r="AC4" s="327"/>
      <c r="AD4" s="327"/>
      <c r="AE4" s="327"/>
      <c r="AF4" s="327"/>
      <c r="AG4" s="327"/>
      <c r="AH4" s="327"/>
      <c r="AI4" s="327"/>
      <c r="AJ4" s="327"/>
      <c r="AK4" s="327"/>
      <c r="AL4" s="327"/>
      <c r="AM4" s="327"/>
      <c r="AN4" s="327"/>
      <c r="AO4" s="327"/>
      <c r="AP4" s="379" t="s">
        <v>66</v>
      </c>
      <c r="AQ4" s="379"/>
      <c r="AR4" s="380"/>
      <c r="AS4" s="180"/>
      <c r="AT4" s="180"/>
      <c r="AU4" s="180"/>
      <c r="AV4" s="180"/>
      <c r="AW4" s="180"/>
      <c r="AX4" s="180"/>
      <c r="AY4" s="180"/>
      <c r="AZ4" s="180"/>
      <c r="BA4" s="180"/>
      <c r="BB4" s="180"/>
      <c r="BC4" s="180"/>
      <c r="BD4" s="180"/>
      <c r="BE4" s="180"/>
      <c r="BF4" s="180"/>
      <c r="BG4" s="180"/>
      <c r="BH4" s="180"/>
      <c r="BI4" s="180"/>
      <c r="BJ4" s="180"/>
      <c r="BK4" s="180"/>
      <c r="BL4" s="180"/>
      <c r="BM4" s="180"/>
      <c r="BN4" s="180"/>
      <c r="BO4" s="180"/>
      <c r="BP4" s="180"/>
      <c r="BQ4" s="180"/>
      <c r="BR4" s="180"/>
      <c r="BS4" s="180"/>
      <c r="BT4" s="180"/>
      <c r="BU4" s="180"/>
      <c r="BV4" s="180"/>
      <c r="BW4" s="180"/>
      <c r="BX4" s="180"/>
    </row>
    <row r="5" spans="1:76" ht="72.75" customHeight="1" thickTop="1" thickBot="1" x14ac:dyDescent="0.4">
      <c r="A5" s="386"/>
      <c r="B5" s="387"/>
      <c r="C5" s="387"/>
      <c r="D5" s="387"/>
      <c r="E5" s="387"/>
      <c r="F5" s="387"/>
      <c r="G5" s="387"/>
      <c r="H5" s="384" t="s">
        <v>67</v>
      </c>
      <c r="I5" s="384"/>
      <c r="J5" s="384"/>
      <c r="K5" s="384"/>
      <c r="L5" s="384"/>
      <c r="M5" s="384"/>
      <c r="N5" s="384"/>
      <c r="O5" s="384"/>
      <c r="P5" s="384"/>
      <c r="Q5" s="384"/>
      <c r="R5" s="384"/>
      <c r="S5" s="384"/>
      <c r="T5" s="384"/>
      <c r="U5" s="384"/>
      <c r="V5" s="384"/>
      <c r="W5" s="384"/>
      <c r="X5" s="384"/>
      <c r="Y5" s="384"/>
      <c r="Z5" s="384"/>
      <c r="AA5" s="384"/>
      <c r="AB5" s="384"/>
      <c r="AC5" s="384"/>
      <c r="AD5" s="384"/>
      <c r="AE5" s="384"/>
      <c r="AF5" s="384"/>
      <c r="AG5" s="384"/>
      <c r="AH5" s="384"/>
      <c r="AI5" s="384"/>
      <c r="AJ5" s="384"/>
      <c r="AK5" s="384"/>
      <c r="AL5" s="384"/>
      <c r="AM5" s="384"/>
      <c r="AN5" s="384"/>
      <c r="AO5" s="384"/>
      <c r="AP5" s="381" t="s">
        <v>68</v>
      </c>
      <c r="AQ5" s="381"/>
      <c r="AR5" s="382"/>
      <c r="AS5" s="180"/>
      <c r="AT5" s="180"/>
      <c r="AU5" s="180"/>
      <c r="AV5" s="180"/>
      <c r="AW5" s="180"/>
      <c r="AX5" s="180"/>
      <c r="AY5" s="180"/>
      <c r="AZ5" s="180"/>
      <c r="BA5" s="180"/>
      <c r="BB5" s="180"/>
      <c r="BC5" s="180"/>
      <c r="BD5" s="180"/>
      <c r="BE5" s="180"/>
      <c r="BF5" s="180"/>
      <c r="BG5" s="180"/>
      <c r="BH5" s="180"/>
      <c r="BI5" s="180"/>
      <c r="BJ5" s="180"/>
      <c r="BK5" s="180"/>
      <c r="BL5" s="180"/>
      <c r="BM5" s="180"/>
      <c r="BN5" s="180"/>
      <c r="BO5" s="180"/>
      <c r="BP5" s="180"/>
      <c r="BQ5" s="180"/>
      <c r="BR5" s="180"/>
      <c r="BS5" s="180"/>
      <c r="BT5" s="180"/>
      <c r="BU5" s="180"/>
      <c r="BV5" s="180"/>
      <c r="BW5" s="180"/>
      <c r="BX5" s="180"/>
    </row>
    <row r="6" spans="1:76" ht="26.25" thickBot="1" x14ac:dyDescent="0.4">
      <c r="A6" s="181"/>
      <c r="C6" s="182"/>
      <c r="D6" s="182"/>
      <c r="E6" s="236"/>
      <c r="F6" s="181"/>
      <c r="G6" s="181"/>
      <c r="H6" s="180"/>
      <c r="I6" s="180"/>
      <c r="J6" s="180"/>
      <c r="K6" s="180"/>
      <c r="L6" s="180"/>
      <c r="M6" s="183"/>
      <c r="N6" s="183"/>
      <c r="O6" s="180"/>
      <c r="P6" s="180"/>
      <c r="Q6" s="180"/>
      <c r="R6" s="180"/>
      <c r="S6" s="180"/>
      <c r="T6" s="180"/>
      <c r="U6" s="180"/>
      <c r="V6" s="180"/>
      <c r="W6" s="202"/>
      <c r="X6" s="164"/>
      <c r="Y6" s="180"/>
      <c r="Z6" s="180"/>
      <c r="AA6" s="180"/>
      <c r="AB6" s="180"/>
      <c r="AC6" s="180"/>
      <c r="AD6" s="180"/>
      <c r="AE6" s="180"/>
      <c r="AF6" s="180"/>
      <c r="AG6" s="180"/>
      <c r="AH6" s="180"/>
      <c r="AI6" s="180"/>
      <c r="AJ6" s="180"/>
      <c r="AK6" s="180"/>
      <c r="AL6" s="180"/>
      <c r="AM6" s="180"/>
      <c r="AN6" s="180"/>
      <c r="AO6" s="418"/>
      <c r="AP6" s="418"/>
      <c r="AQ6" s="418"/>
      <c r="AR6" s="418"/>
      <c r="AS6" s="180"/>
      <c r="AT6" s="180"/>
      <c r="AU6" s="180"/>
      <c r="AV6" s="180"/>
      <c r="AW6" s="180"/>
      <c r="AX6" s="180"/>
      <c r="AY6" s="180"/>
      <c r="AZ6" s="180"/>
      <c r="BA6" s="180"/>
      <c r="BB6" s="180"/>
      <c r="BC6" s="180"/>
      <c r="BD6" s="180"/>
      <c r="BE6" s="180"/>
      <c r="BF6" s="180"/>
      <c r="BG6" s="180"/>
      <c r="BH6" s="180"/>
      <c r="BI6" s="180"/>
      <c r="BJ6" s="180"/>
      <c r="BK6" s="180"/>
      <c r="BL6" s="180"/>
      <c r="BM6" s="180"/>
      <c r="BN6" s="180"/>
      <c r="BO6" s="180"/>
      <c r="BP6" s="180"/>
      <c r="BQ6" s="180"/>
      <c r="BR6" s="180"/>
      <c r="BS6" s="180"/>
      <c r="BT6" s="180"/>
      <c r="BU6" s="180"/>
      <c r="BV6" s="180"/>
      <c r="BW6" s="180"/>
      <c r="BX6" s="180"/>
    </row>
    <row r="7" spans="1:76" ht="49.5" customHeight="1" thickBot="1" x14ac:dyDescent="0.4">
      <c r="A7" s="398" t="s">
        <v>69</v>
      </c>
      <c r="B7" s="399"/>
      <c r="C7" s="399"/>
      <c r="D7" s="399"/>
      <c r="E7" s="399"/>
      <c r="F7" s="404" t="s">
        <v>1220</v>
      </c>
      <c r="G7" s="404"/>
      <c r="H7" s="404"/>
      <c r="I7" s="404"/>
      <c r="J7" s="404"/>
      <c r="K7" s="404"/>
      <c r="L7" s="404"/>
      <c r="M7" s="404"/>
      <c r="N7" s="404"/>
      <c r="O7" s="404"/>
      <c r="P7" s="404"/>
      <c r="Q7" s="404"/>
      <c r="R7" s="404"/>
      <c r="S7" s="404"/>
      <c r="T7" s="404"/>
      <c r="U7" s="404"/>
      <c r="V7" s="405"/>
      <c r="W7" s="411"/>
      <c r="X7" s="411"/>
      <c r="Y7" s="411"/>
      <c r="Z7" s="180"/>
      <c r="AA7" s="180"/>
      <c r="AB7" s="180"/>
      <c r="AC7" s="180"/>
      <c r="AD7" s="180"/>
      <c r="AE7" s="180"/>
      <c r="AF7" s="180"/>
      <c r="AG7" s="180"/>
      <c r="AH7" s="180"/>
      <c r="AI7" s="180"/>
      <c r="AJ7" s="180"/>
      <c r="AK7" s="180"/>
      <c r="AL7" s="180"/>
      <c r="AM7" s="180"/>
      <c r="AN7" s="180"/>
      <c r="AO7" s="180"/>
      <c r="AP7" s="180"/>
      <c r="AQ7" s="180"/>
      <c r="AR7" s="180"/>
      <c r="AS7" s="180"/>
      <c r="AT7" s="180"/>
      <c r="AU7" s="180"/>
      <c r="AV7" s="180"/>
      <c r="AW7" s="180"/>
      <c r="AX7" s="180"/>
      <c r="AY7" s="180"/>
      <c r="AZ7" s="180"/>
      <c r="BA7" s="180"/>
      <c r="BB7" s="180"/>
      <c r="BC7" s="180"/>
      <c r="BD7" s="180"/>
      <c r="BE7" s="180"/>
      <c r="BF7" s="180"/>
      <c r="BG7" s="180"/>
      <c r="BH7" s="180"/>
      <c r="BI7" s="180"/>
      <c r="BJ7" s="180"/>
      <c r="BK7" s="180"/>
      <c r="BL7" s="180"/>
      <c r="BM7" s="180"/>
      <c r="BN7" s="180"/>
      <c r="BO7" s="180"/>
      <c r="BP7" s="180"/>
      <c r="BQ7" s="180"/>
      <c r="BR7" s="180"/>
      <c r="BS7" s="180"/>
      <c r="BT7" s="180"/>
      <c r="BU7" s="180"/>
      <c r="BV7" s="180"/>
      <c r="BW7" s="180"/>
      <c r="BX7" s="180"/>
    </row>
    <row r="8" spans="1:76" ht="57.75" customHeight="1" thickTop="1" thickBot="1" x14ac:dyDescent="0.4">
      <c r="A8" s="400" t="s">
        <v>70</v>
      </c>
      <c r="B8" s="401"/>
      <c r="C8" s="401"/>
      <c r="D8" s="401"/>
      <c r="E8" s="401"/>
      <c r="F8" s="406" t="s">
        <v>985</v>
      </c>
      <c r="G8" s="406"/>
      <c r="H8" s="406"/>
      <c r="I8" s="406"/>
      <c r="J8" s="406"/>
      <c r="K8" s="406"/>
      <c r="L8" s="406"/>
      <c r="M8" s="406"/>
      <c r="N8" s="406"/>
      <c r="O8" s="406"/>
      <c r="P8" s="406"/>
      <c r="Q8" s="406"/>
      <c r="R8" s="406"/>
      <c r="S8" s="406"/>
      <c r="T8" s="406"/>
      <c r="U8" s="406"/>
      <c r="V8" s="407"/>
      <c r="W8" s="202"/>
      <c r="X8" s="164"/>
      <c r="Y8" s="180"/>
      <c r="Z8" s="180"/>
      <c r="AA8" s="180"/>
      <c r="AB8" s="180"/>
      <c r="AC8" s="180"/>
      <c r="AD8" s="180"/>
      <c r="AE8" s="180"/>
      <c r="AF8" s="180"/>
      <c r="AG8" s="180"/>
      <c r="AH8" s="180"/>
      <c r="AI8" s="180"/>
      <c r="AJ8" s="180"/>
      <c r="AK8" s="180"/>
      <c r="AL8" s="180"/>
      <c r="AM8" s="180"/>
      <c r="AN8" s="180"/>
      <c r="AO8" s="180"/>
      <c r="AP8" s="180"/>
      <c r="AQ8" s="180"/>
      <c r="AR8" s="180"/>
      <c r="AS8" s="180"/>
      <c r="AT8" s="180"/>
      <c r="AU8" s="180"/>
      <c r="AV8" s="180"/>
      <c r="AW8" s="180"/>
      <c r="AX8" s="180"/>
      <c r="AY8" s="180"/>
      <c r="AZ8" s="180"/>
      <c r="BA8" s="180"/>
      <c r="BB8" s="180"/>
      <c r="BC8" s="180"/>
      <c r="BD8" s="180"/>
      <c r="BE8" s="180"/>
      <c r="BF8" s="180"/>
      <c r="BG8" s="180"/>
      <c r="BH8" s="180"/>
      <c r="BI8" s="180"/>
      <c r="BJ8" s="180"/>
      <c r="BK8" s="180"/>
      <c r="BL8" s="180"/>
      <c r="BM8" s="180"/>
      <c r="BN8" s="180"/>
      <c r="BO8" s="180"/>
      <c r="BP8" s="180"/>
      <c r="BQ8" s="180"/>
      <c r="BR8" s="180"/>
      <c r="BS8" s="180"/>
      <c r="BT8" s="180"/>
      <c r="BU8" s="180"/>
      <c r="BV8" s="180"/>
      <c r="BW8" s="180"/>
      <c r="BX8" s="180"/>
    </row>
    <row r="9" spans="1:76" ht="75.75" customHeight="1" thickTop="1" thickBot="1" x14ac:dyDescent="0.4">
      <c r="A9" s="402" t="s">
        <v>71</v>
      </c>
      <c r="B9" s="403"/>
      <c r="C9" s="403"/>
      <c r="D9" s="403"/>
      <c r="E9" s="403"/>
      <c r="F9" s="371" t="s">
        <v>945</v>
      </c>
      <c r="G9" s="371"/>
      <c r="H9" s="371"/>
      <c r="I9" s="371"/>
      <c r="J9" s="371"/>
      <c r="K9" s="371"/>
      <c r="L9" s="371"/>
      <c r="M9" s="371"/>
      <c r="N9" s="371"/>
      <c r="O9" s="371"/>
      <c r="P9" s="371"/>
      <c r="Q9" s="371"/>
      <c r="R9" s="371"/>
      <c r="S9" s="371"/>
      <c r="T9" s="371"/>
      <c r="U9" s="371"/>
      <c r="V9" s="372"/>
      <c r="W9" s="202"/>
      <c r="X9" s="164"/>
      <c r="Y9" s="180"/>
      <c r="Z9" s="180"/>
      <c r="AA9" s="180"/>
      <c r="AB9" s="180"/>
      <c r="AC9" s="180"/>
      <c r="AD9" s="180"/>
      <c r="AE9" s="180"/>
      <c r="AF9" s="180"/>
      <c r="AG9" s="180"/>
      <c r="AH9" s="180"/>
      <c r="AI9" s="180"/>
      <c r="AJ9" s="180"/>
      <c r="AK9" s="180"/>
      <c r="AL9" s="180"/>
      <c r="AM9" s="180"/>
      <c r="AN9" s="180"/>
      <c r="AO9" s="180"/>
      <c r="AP9" s="180"/>
      <c r="AQ9" s="180"/>
      <c r="AR9" s="180"/>
      <c r="AS9" s="180"/>
      <c r="AT9" s="180"/>
      <c r="AU9" s="180"/>
      <c r="AV9" s="180"/>
      <c r="AW9" s="180"/>
      <c r="AX9" s="180"/>
      <c r="AY9" s="180"/>
      <c r="AZ9" s="180"/>
      <c r="BA9" s="180"/>
      <c r="BB9" s="180"/>
      <c r="BC9" s="180"/>
      <c r="BD9" s="180"/>
      <c r="BE9" s="180"/>
      <c r="BF9" s="180"/>
      <c r="BG9" s="180"/>
      <c r="BH9" s="180"/>
      <c r="BI9" s="180"/>
      <c r="BJ9" s="180"/>
      <c r="BK9" s="180"/>
      <c r="BL9" s="180"/>
      <c r="BM9" s="180"/>
      <c r="BN9" s="180"/>
      <c r="BO9" s="180"/>
      <c r="BP9" s="180"/>
      <c r="BQ9" s="180"/>
      <c r="BR9" s="180"/>
      <c r="BS9" s="180"/>
      <c r="BT9" s="180"/>
      <c r="BU9" s="180"/>
      <c r="BV9" s="180"/>
      <c r="BW9" s="180"/>
      <c r="BX9" s="180"/>
    </row>
    <row r="10" spans="1:76" s="176" customFormat="1" ht="57.75" customHeight="1" thickBot="1" x14ac:dyDescent="0.45">
      <c r="A10" s="394" t="s">
        <v>72</v>
      </c>
      <c r="B10" s="395"/>
      <c r="C10" s="395"/>
      <c r="D10" s="395"/>
      <c r="E10" s="395"/>
      <c r="F10" s="395"/>
      <c r="G10" s="395"/>
      <c r="H10" s="395"/>
      <c r="I10" s="395"/>
      <c r="J10" s="395"/>
      <c r="K10" s="395"/>
      <c r="L10" s="395"/>
      <c r="M10" s="395"/>
      <c r="N10" s="395"/>
      <c r="O10" s="395"/>
      <c r="P10" s="396" t="s">
        <v>73</v>
      </c>
      <c r="Q10" s="396"/>
      <c r="R10" s="396"/>
      <c r="S10" s="396"/>
      <c r="T10" s="396"/>
      <c r="U10" s="396"/>
      <c r="V10" s="396"/>
      <c r="W10" s="397" t="s">
        <v>74</v>
      </c>
      <c r="X10" s="397"/>
      <c r="Y10" s="397"/>
      <c r="Z10" s="397"/>
      <c r="AA10" s="397"/>
      <c r="AB10" s="397"/>
      <c r="AC10" s="397"/>
      <c r="AD10" s="397"/>
      <c r="AE10" s="397"/>
      <c r="AF10" s="414" t="s">
        <v>75</v>
      </c>
      <c r="AG10" s="414"/>
      <c r="AH10" s="414"/>
      <c r="AI10" s="414"/>
      <c r="AJ10" s="414"/>
      <c r="AK10" s="414"/>
      <c r="AL10" s="414"/>
      <c r="AM10" s="416" t="s">
        <v>76</v>
      </c>
      <c r="AN10" s="416"/>
      <c r="AO10" s="416"/>
      <c r="AP10" s="416"/>
      <c r="AQ10" s="416"/>
      <c r="AR10" s="417"/>
      <c r="AS10" s="175"/>
      <c r="AT10" s="175"/>
      <c r="AU10" s="175"/>
      <c r="AV10" s="175"/>
      <c r="AW10" s="175"/>
      <c r="AX10" s="175"/>
      <c r="AY10" s="175"/>
      <c r="AZ10" s="175"/>
      <c r="BA10" s="175"/>
      <c r="BB10" s="175"/>
      <c r="BC10" s="175"/>
      <c r="BD10" s="175"/>
      <c r="BE10" s="175"/>
      <c r="BF10" s="175"/>
      <c r="BG10" s="175"/>
      <c r="BH10" s="175"/>
      <c r="BI10" s="175"/>
      <c r="BJ10" s="175"/>
      <c r="BK10" s="175"/>
      <c r="BL10" s="175"/>
      <c r="BM10" s="175"/>
      <c r="BN10" s="175"/>
      <c r="BO10" s="175"/>
      <c r="BP10" s="175"/>
      <c r="BQ10" s="175"/>
      <c r="BR10" s="175"/>
      <c r="BS10" s="175"/>
      <c r="BT10" s="175"/>
      <c r="BU10" s="175"/>
      <c r="BV10" s="175"/>
      <c r="BW10" s="175"/>
      <c r="BX10" s="175"/>
    </row>
    <row r="11" spans="1:76" s="176" customFormat="1" ht="70.5" customHeight="1" thickTop="1" thickBot="1" x14ac:dyDescent="0.45">
      <c r="A11" s="408" t="s">
        <v>77</v>
      </c>
      <c r="B11" s="375" t="s">
        <v>78</v>
      </c>
      <c r="C11" s="375" t="s">
        <v>7</v>
      </c>
      <c r="D11" s="375" t="s">
        <v>971</v>
      </c>
      <c r="E11" s="376" t="s">
        <v>15</v>
      </c>
      <c r="F11" s="375" t="s">
        <v>17</v>
      </c>
      <c r="G11" s="375" t="s">
        <v>19</v>
      </c>
      <c r="H11" s="376" t="s">
        <v>21</v>
      </c>
      <c r="I11" s="409" t="s">
        <v>79</v>
      </c>
      <c r="J11" s="410"/>
      <c r="K11" s="410"/>
      <c r="L11" s="410"/>
      <c r="M11" s="375" t="s">
        <v>23</v>
      </c>
      <c r="N11" s="375" t="s">
        <v>80</v>
      </c>
      <c r="O11" s="375" t="s">
        <v>81</v>
      </c>
      <c r="P11" s="374" t="s">
        <v>82</v>
      </c>
      <c r="Q11" s="373" t="s">
        <v>83</v>
      </c>
      <c r="R11" s="374" t="s">
        <v>84</v>
      </c>
      <c r="S11" s="374" t="s">
        <v>85</v>
      </c>
      <c r="T11" s="374" t="s">
        <v>86</v>
      </c>
      <c r="U11" s="373" t="s">
        <v>83</v>
      </c>
      <c r="V11" s="374" t="s">
        <v>29</v>
      </c>
      <c r="W11" s="420" t="s">
        <v>87</v>
      </c>
      <c r="X11" s="413" t="s">
        <v>990</v>
      </c>
      <c r="Y11" s="413" t="s">
        <v>33</v>
      </c>
      <c r="Z11" s="413" t="s">
        <v>88</v>
      </c>
      <c r="AA11" s="413"/>
      <c r="AB11" s="413"/>
      <c r="AC11" s="413"/>
      <c r="AD11" s="413"/>
      <c r="AE11" s="413"/>
      <c r="AF11" s="412" t="s">
        <v>89</v>
      </c>
      <c r="AG11" s="412" t="s">
        <v>90</v>
      </c>
      <c r="AH11" s="412" t="s">
        <v>83</v>
      </c>
      <c r="AI11" s="412" t="s">
        <v>91</v>
      </c>
      <c r="AJ11" s="412" t="s">
        <v>83</v>
      </c>
      <c r="AK11" s="412" t="s">
        <v>92</v>
      </c>
      <c r="AL11" s="412" t="s">
        <v>49</v>
      </c>
      <c r="AM11" s="415" t="s">
        <v>991</v>
      </c>
      <c r="AN11" s="415" t="s">
        <v>93</v>
      </c>
      <c r="AO11" s="415" t="s">
        <v>94</v>
      </c>
      <c r="AP11" s="415" t="s">
        <v>95</v>
      </c>
      <c r="AQ11" s="415" t="s">
        <v>1104</v>
      </c>
      <c r="AR11" s="419" t="s">
        <v>53</v>
      </c>
      <c r="AS11" s="175"/>
      <c r="AT11" s="175"/>
      <c r="AU11" s="175"/>
      <c r="AV11" s="175"/>
      <c r="AW11" s="175"/>
      <c r="AX11" s="175"/>
      <c r="AY11" s="175"/>
      <c r="AZ11" s="175"/>
      <c r="BA11" s="175"/>
      <c r="BB11" s="175"/>
      <c r="BC11" s="175"/>
      <c r="BD11" s="175"/>
      <c r="BE11" s="175"/>
      <c r="BF11" s="175"/>
      <c r="BG11" s="175"/>
      <c r="BH11" s="175"/>
      <c r="BI11" s="175"/>
      <c r="BJ11" s="175"/>
      <c r="BK11" s="175"/>
      <c r="BL11" s="175"/>
      <c r="BM11" s="175"/>
      <c r="BN11" s="175"/>
      <c r="BO11" s="175"/>
      <c r="BP11" s="175"/>
      <c r="BQ11" s="175"/>
      <c r="BR11" s="175"/>
      <c r="BS11" s="175"/>
      <c r="BT11" s="175"/>
      <c r="BU11" s="175"/>
      <c r="BV11" s="175"/>
      <c r="BW11" s="175"/>
      <c r="BX11" s="175"/>
    </row>
    <row r="12" spans="1:76" s="178" customFormat="1" ht="207.75" customHeight="1" thickTop="1" thickBot="1" x14ac:dyDescent="0.3">
      <c r="A12" s="408"/>
      <c r="B12" s="375"/>
      <c r="C12" s="375"/>
      <c r="D12" s="375"/>
      <c r="E12" s="376"/>
      <c r="F12" s="375"/>
      <c r="G12" s="375"/>
      <c r="H12" s="376"/>
      <c r="I12" s="204" t="s">
        <v>96</v>
      </c>
      <c r="J12" s="204" t="s">
        <v>97</v>
      </c>
      <c r="K12" s="205" t="s">
        <v>98</v>
      </c>
      <c r="L12" s="204" t="s">
        <v>99</v>
      </c>
      <c r="M12" s="375"/>
      <c r="N12" s="375"/>
      <c r="O12" s="375"/>
      <c r="P12" s="374"/>
      <c r="Q12" s="373"/>
      <c r="R12" s="374"/>
      <c r="S12" s="374"/>
      <c r="T12" s="373"/>
      <c r="U12" s="373"/>
      <c r="V12" s="374"/>
      <c r="W12" s="420"/>
      <c r="X12" s="413"/>
      <c r="Y12" s="413"/>
      <c r="Z12" s="206" t="s">
        <v>100</v>
      </c>
      <c r="AA12" s="206" t="s">
        <v>101</v>
      </c>
      <c r="AB12" s="206" t="s">
        <v>102</v>
      </c>
      <c r="AC12" s="206" t="s">
        <v>103</v>
      </c>
      <c r="AD12" s="206" t="s">
        <v>104</v>
      </c>
      <c r="AE12" s="206" t="s">
        <v>105</v>
      </c>
      <c r="AF12" s="412"/>
      <c r="AG12" s="412"/>
      <c r="AH12" s="412"/>
      <c r="AI12" s="412"/>
      <c r="AJ12" s="412"/>
      <c r="AK12" s="412"/>
      <c r="AL12" s="412"/>
      <c r="AM12" s="415"/>
      <c r="AN12" s="415"/>
      <c r="AO12" s="415"/>
      <c r="AP12" s="415"/>
      <c r="AQ12" s="415"/>
      <c r="AR12" s="419"/>
      <c r="AS12" s="177"/>
      <c r="AT12" s="177"/>
      <c r="AU12" s="177"/>
      <c r="AV12" s="177"/>
      <c r="AW12" s="177"/>
      <c r="AX12" s="177"/>
      <c r="AY12" s="177"/>
      <c r="AZ12" s="177"/>
      <c r="BA12" s="177"/>
      <c r="BB12" s="177"/>
      <c r="BC12" s="177"/>
      <c r="BD12" s="177"/>
      <c r="BE12" s="177"/>
      <c r="BF12" s="177"/>
      <c r="BG12" s="177"/>
      <c r="BH12" s="177"/>
      <c r="BI12" s="177"/>
      <c r="BJ12" s="177"/>
      <c r="BK12" s="177"/>
      <c r="BL12" s="177"/>
      <c r="BM12" s="177"/>
      <c r="BN12" s="177"/>
      <c r="BO12" s="177"/>
      <c r="BP12" s="177"/>
      <c r="BQ12" s="177"/>
      <c r="BR12" s="177"/>
      <c r="BS12" s="177"/>
      <c r="BT12" s="177"/>
      <c r="BU12" s="177"/>
      <c r="BV12" s="177"/>
      <c r="BW12" s="177"/>
      <c r="BX12" s="177"/>
    </row>
    <row r="13" spans="1:76" s="191" customFormat="1" ht="174" customHeight="1" thickTop="1" thickBot="1" x14ac:dyDescent="0.3">
      <c r="A13" s="328">
        <v>1</v>
      </c>
      <c r="B13" s="345" t="s">
        <v>471</v>
      </c>
      <c r="C13" s="333" t="s">
        <v>265</v>
      </c>
      <c r="D13" s="333" t="s">
        <v>982</v>
      </c>
      <c r="E13" s="333" t="s">
        <v>240</v>
      </c>
      <c r="F13" s="351" t="s">
        <v>472</v>
      </c>
      <c r="G13" s="351" t="s">
        <v>473</v>
      </c>
      <c r="H13" s="350" t="s">
        <v>1109</v>
      </c>
      <c r="I13" s="338" t="s">
        <v>474</v>
      </c>
      <c r="J13" s="338" t="s">
        <v>474</v>
      </c>
      <c r="K13" s="338" t="s">
        <v>474</v>
      </c>
      <c r="L13" s="338" t="s">
        <v>474</v>
      </c>
      <c r="M13" s="333" t="s">
        <v>239</v>
      </c>
      <c r="N13" s="333"/>
      <c r="O13" s="339">
        <v>5000</v>
      </c>
      <c r="P13" s="340" t="str">
        <f>IF(O13&lt;=0,"",IF(O13&lt;=2,"Muy Baja",IF(O13&lt;=24,"Baja",IF(O13&lt;=500,"Media",IF(O13&lt;=5000,"Alta","Muy Alta")))))</f>
        <v>Alta</v>
      </c>
      <c r="Q13" s="341">
        <f>IF(P13="","",IF(P13="Muy Baja",0.2,IF(P13="Baja",0.4,IF(P13="Media",0.6,IF(P13="Alta",0.8,IF(P13="Muy Alta",1,))))))</f>
        <v>0.8</v>
      </c>
      <c r="R13" s="341" t="s">
        <v>187</v>
      </c>
      <c r="S13" s="341" t="str">
        <f ca="1">IF(NOT(ISERROR(MATCH(R13,'Tabla Impacto'!$B$221:$B$223,0))),'Tabla Impacto'!$F$223&amp;"Por favor no seleccionar los criterios de impacto(Afectación Económica o presupuestal y Pérdida Reputacional)",R13)</f>
        <v>El riesgo afecta la imagen de la entidad internamente, de conocimiento general, nivel interno, de junta dircetiva y accionistas y/o de provedores</v>
      </c>
      <c r="T13" s="340" t="str">
        <f ca="1">+IF(OR(S13='[1]Tabla Impacto'!$C$11,S13='[1]Tabla Impacto'!$D$11),"Leve",IF(OR(S13='[1]Tabla Impacto'!$C$12,S13='[1]Tabla Impacto'!$D$12),"Menor",IF(OR(S13='[1]Tabla Impacto'!$C$13,S13='[1]Tabla Impacto'!$D$13),"Moderado",IF(OR(S13='[1]Tabla Impacto'!$C$14,S13='[1]Tabla Impacto'!$D$14),"Mayor",IF(OR(S13='[1]Tabla Impacto'!$C$15,S13='[1]Tabla Impacto'!$D$15),"Catastrófico","")))))</f>
        <v>Menor</v>
      </c>
      <c r="U13" s="341">
        <f ca="1">IF(T13="","",IF(T13="Leve",0.2,IF(T13="Menor",0.4,IF(T13="Moderado",0.6,IF(T13="Mayor",0.8,IF(T13="Catastrófico",1,))))))</f>
        <v>0.4</v>
      </c>
      <c r="V13" s="327" t="str">
        <f ca="1">IF(OR(AND(P13="Muy Baja",T13="Leve"),AND(P13="Muy Baja",T13="Menor"),AND(P13="Baja",T13="Leve")),"Bajo",IF(OR(AND(P13="Muy baja",T13="Moderado"),AND(P13="Baja",T13="Menor"),AND(P13="Baja",T13="Moderado"),AND(P13="Media",T13="Leve"),AND(P13="Media",T13="Menor"),AND(P13="Media",T13="Moderado"),AND(P13="Alta",T13="Leve"),AND(P13="Alta",T13="Menor")),"Moderado",IF(OR(AND(P13="Muy Baja",T13="Mayor"),AND(P13="Baja",T13="Mayor"),AND(P13="Media",T13="Mayor"),AND(P13="Alta",T13="Moderado"),AND(P13="Alta",T13="Mayor"),AND(P13="Muy Alta",T13="Leve"),AND(P13="Muy Alta",T13="Menor"),AND(P13="Muy Alta",T13="Moderado"),AND(P13="Muy Alta",T13="Mayor")),"Alto",IF(OR(AND(P13="Muy Baja",T13="Catastrófico"),AND(P13="Baja",T13="Catastrófico"),AND(P13="Media",T13="Catastrófico"),AND(P13="Alta",T13="Catastrófico"),AND(P13="Muy Alta",T13="Catastrófico")),"Extremo",""))))</f>
        <v>Moderado</v>
      </c>
      <c r="W13" s="233">
        <v>1</v>
      </c>
      <c r="X13" s="207" t="s">
        <v>992</v>
      </c>
      <c r="Y13" s="230" t="str">
        <f>IF(OR(Z13="Preventivo",Z13="Detectivo"),"Probabilidad",IF(Z13="Correctivo","Impacto",""))</f>
        <v>Probabilidad</v>
      </c>
      <c r="Z13" s="185" t="s">
        <v>208</v>
      </c>
      <c r="AA13" s="185" t="s">
        <v>216</v>
      </c>
      <c r="AB13" s="186" t="str">
        <f>IF(AND(Z13="Preventivo",AA13="Automático"),"50%",IF(AND(Z13="Preventivo",AA13="Manual"),"40%",IF(AND(Z13="Detectivo",AA13="Automático"),"40%",IF(AND(Z13="Detectivo",AA13="Manual"),"30%",IF(AND(Z13="Correctivo",AA13="Automático"),"35%",IF(AND(Z13="Correctivo",AA13="Manual"),"25%",""))))))</f>
        <v>40%</v>
      </c>
      <c r="AC13" s="185" t="s">
        <v>219</v>
      </c>
      <c r="AD13" s="185" t="s">
        <v>224</v>
      </c>
      <c r="AE13" s="185" t="s">
        <v>228</v>
      </c>
      <c r="AF13" s="187">
        <f>IFERROR(IF(Y13="Probabilidad",(Q13-(+Q13*AB13)),IF(Y13="Impacto",Q13,"")),"")</f>
        <v>0.48</v>
      </c>
      <c r="AG13" s="188" t="str">
        <f>IFERROR(IF(AF13="","",IF(AF13&lt;=0.2,"Muy Baja",IF(AF13&lt;=0.4,"Baja",IF(AF13&lt;=0.6,"Media",IF(AF13&lt;=0.8,"Alta","Muy Alta"))))),"")</f>
        <v>Media</v>
      </c>
      <c r="AH13" s="186">
        <f>+AF13</f>
        <v>0.48</v>
      </c>
      <c r="AI13" s="188" t="str">
        <f ca="1">IFERROR(IF(AJ13="","",IF(AJ13&lt;=0.2,"Leve",IF(AJ13&lt;=0.4,"Menor",IF(AJ13&lt;=0.6,"Moderado",IF(AJ13&lt;=0.8,"Mayor","Catastrófico"))))),"")</f>
        <v>Menor</v>
      </c>
      <c r="AJ13" s="186">
        <f ca="1">IFERROR(IF(Y13="Impacto",(U13-(+U13*AB13)),IF(Y13="Probabilidad",U13,"")),"")</f>
        <v>0.4</v>
      </c>
      <c r="AK13" s="189" t="str">
        <f ca="1">IFERROR(IF(OR(AND(AG13="Muy Baja",AI13="Leve"),AND(AG13="Muy Baja",AI13="Menor"),AND(AG13="Baja",AI13="Leve")),"Bajo",IF(OR(AND(AG13="Muy baja",AI13="Moderado"),AND(AG13="Baja",AI13="Menor"),AND(AG13="Baja",AI13="Moderado"),AND(AG13="Media",AI13="Leve"),AND(AG13="Media",AI13="Menor"),AND(AG13="Media",AI13="Moderado"),AND(AG13="Alta",AI13="Leve"),AND(AG13="Alta",AI13="Menor")),"Moderado",IF(OR(AND(AG13="Muy Baja",AI13="Mayor"),AND(AG13="Baja",AI13="Mayor"),AND(AG13="Media",AI13="Mayor"),AND(AG13="Alta",AI13="Moderado"),AND(AG13="Alta",AI13="Mayor"),AND(AG13="Muy Alta",AI13="Leve"),AND(AG13="Muy Alta",AI13="Menor"),AND(AG13="Muy Alta",AI13="Moderado"),AND(AG13="Muy Alta",AI13="Mayor")),"Alto",IF(OR(AND(AG13="Muy Baja",AI13="Catastrófico"),AND(AG13="Baja",AI13="Catastrófico"),AND(AG13="Media",AI13="Catastrófico"),AND(AG13="Alta",AI13="Catastrófico"),AND(AG13="Muy Alta",AI13="Catastrófico")),"Extremo","")))),"")</f>
        <v>Moderado</v>
      </c>
      <c r="AL13" s="185" t="s">
        <v>255</v>
      </c>
      <c r="AM13" s="227"/>
      <c r="AN13" s="230"/>
      <c r="AO13" s="228"/>
      <c r="AP13" s="228"/>
      <c r="AQ13" s="227"/>
      <c r="AR13" s="229"/>
      <c r="AS13" s="190"/>
      <c r="AT13" s="190"/>
      <c r="AU13" s="190"/>
      <c r="AV13" s="190"/>
      <c r="AW13" s="190"/>
      <c r="AX13" s="190"/>
      <c r="AY13" s="190"/>
      <c r="AZ13" s="190"/>
      <c r="BA13" s="190"/>
      <c r="BB13" s="190"/>
      <c r="BC13" s="190"/>
      <c r="BD13" s="190"/>
      <c r="BE13" s="190"/>
      <c r="BF13" s="190"/>
      <c r="BG13" s="190"/>
      <c r="BH13" s="190"/>
      <c r="BI13" s="190"/>
      <c r="BJ13" s="190"/>
      <c r="BK13" s="190"/>
      <c r="BL13" s="190"/>
      <c r="BM13" s="190"/>
      <c r="BN13" s="190"/>
      <c r="BO13" s="190"/>
      <c r="BP13" s="190"/>
      <c r="BQ13" s="190"/>
      <c r="BR13" s="190"/>
      <c r="BS13" s="190"/>
      <c r="BT13" s="190"/>
      <c r="BU13" s="190"/>
      <c r="BV13" s="190"/>
      <c r="BW13" s="190"/>
      <c r="BX13" s="190"/>
    </row>
    <row r="14" spans="1:76" s="191" customFormat="1" ht="174" customHeight="1" thickTop="1" thickBot="1" x14ac:dyDescent="0.3">
      <c r="A14" s="328"/>
      <c r="B14" s="345"/>
      <c r="C14" s="333"/>
      <c r="D14" s="333"/>
      <c r="E14" s="333"/>
      <c r="F14" s="351"/>
      <c r="G14" s="351"/>
      <c r="H14" s="350"/>
      <c r="I14" s="338"/>
      <c r="J14" s="338"/>
      <c r="K14" s="338"/>
      <c r="L14" s="338"/>
      <c r="M14" s="333"/>
      <c r="N14" s="333"/>
      <c r="O14" s="339"/>
      <c r="P14" s="340"/>
      <c r="Q14" s="341"/>
      <c r="R14" s="341"/>
      <c r="S14" s="341">
        <f ca="1">IF(NOT(ISERROR(MATCH(R14,_xlfn.ANCHORARRAY(H17),0))),Q19&amp;"Por favor no seleccionar los criterios de impacto",R14)</f>
        <v>0</v>
      </c>
      <c r="T14" s="340"/>
      <c r="U14" s="341"/>
      <c r="V14" s="327"/>
      <c r="W14" s="233">
        <v>2</v>
      </c>
      <c r="X14" s="208" t="s">
        <v>475</v>
      </c>
      <c r="Y14" s="230" t="str">
        <f t="shared" ref="Y14:Y15" si="0">IF(OR(Z14="Preventivo",Z14="Detectivo"),"Probabilidad",IF(Z14="Correctivo","Impacto",""))</f>
        <v>Probabilidad</v>
      </c>
      <c r="Z14" s="185" t="s">
        <v>208</v>
      </c>
      <c r="AA14" s="185" t="s">
        <v>216</v>
      </c>
      <c r="AB14" s="186" t="str">
        <f t="shared" ref="AB14:AB41" si="1">IF(AND(Z14="Preventivo",AA14="Automático"),"50%",IF(AND(Z14="Preventivo",AA14="Manual"),"40%",IF(AND(Z14="Detectivo",AA14="Automático"),"40%",IF(AND(Z14="Detectivo",AA14="Manual"),"30%",IF(AND(Z14="Correctivo",AA14="Automático"),"35%",IF(AND(Z14="Correctivo",AA14="Manual"),"25%",""))))))</f>
        <v>40%</v>
      </c>
      <c r="AC14" s="185" t="s">
        <v>219</v>
      </c>
      <c r="AD14" s="185" t="s">
        <v>224</v>
      </c>
      <c r="AE14" s="185" t="s">
        <v>228</v>
      </c>
      <c r="AF14" s="187">
        <f>IFERROR(IF(AND(Y13="Probabilidad",Y14="Probabilidad"),(AH13-(+AH13*AB14)),IF(Y14="Probabilidad",(Q13-(+Q13*AB14)),IF(Y14="Impacto",AH13,""))),"")</f>
        <v>0.28799999999999998</v>
      </c>
      <c r="AG14" s="188" t="str">
        <f t="shared" ref="AG14:AG15" si="2">IFERROR(IF(AF14="","",IF(AF14&lt;=0.2,"Muy Baja",IF(AF14&lt;=0.4,"Baja",IF(AF14&lt;=0.6,"Media",IF(AF14&lt;=0.8,"Alta","Muy Alta"))))),"")</f>
        <v>Baja</v>
      </c>
      <c r="AH14" s="186">
        <f t="shared" ref="AH14:AH15" si="3">+AF14</f>
        <v>0.28799999999999998</v>
      </c>
      <c r="AI14" s="188" t="str">
        <f t="shared" ref="AI14:AI15" ca="1" si="4">IFERROR(IF(AJ14="","",IF(AJ14&lt;=0.2,"Leve",IF(AJ14&lt;=0.4,"Menor",IF(AJ14&lt;=0.6,"Moderado",IF(AJ14&lt;=0.8,"Mayor","Catastrófico"))))),"")</f>
        <v>Menor</v>
      </c>
      <c r="AJ14" s="186">
        <f ca="1">IFERROR(IF(AND(Y13="Impacto",Y14="Impacto"),(AJ13-(+AJ13*AB14)),IF(Y14="Impacto",(U13-(+U13*AB14)),IF(Y14="Probabilidad",AJ13,""))),"")</f>
        <v>0.4</v>
      </c>
      <c r="AK14" s="189" t="str">
        <f t="shared" ref="AK14:AK15" ca="1" si="5">IFERROR(IF(OR(AND(AG14="Muy Baja",AI14="Leve"),AND(AG14="Muy Baja",AI14="Menor"),AND(AG14="Baja",AI14="Leve")),"Bajo",IF(OR(AND(AG14="Muy baja",AI14="Moderado"),AND(AG14="Baja",AI14="Menor"),AND(AG14="Baja",AI14="Moderado"),AND(AG14="Media",AI14="Leve"),AND(AG14="Media",AI14="Menor"),AND(AG14="Media",AI14="Moderado"),AND(AG14="Alta",AI14="Leve"),AND(AG14="Alta",AI14="Menor")),"Moderado",IF(OR(AND(AG14="Muy Baja",AI14="Mayor"),AND(AG14="Baja",AI14="Mayor"),AND(AG14="Media",AI14="Mayor"),AND(AG14="Alta",AI14="Moderado"),AND(AG14="Alta",AI14="Mayor"),AND(AG14="Muy Alta",AI14="Leve"),AND(AG14="Muy Alta",AI14="Menor"),AND(AG14="Muy Alta",AI14="Moderado"),AND(AG14="Muy Alta",AI14="Mayor")),"Alto",IF(OR(AND(AG14="Muy Baja",AI14="Catastrófico"),AND(AG14="Baja",AI14="Catastrófico"),AND(AG14="Media",AI14="Catastrófico"),AND(AG14="Alta",AI14="Catastrófico"),AND(AG14="Muy Alta",AI14="Catastrófico")),"Extremo","")))),"")</f>
        <v>Moderado</v>
      </c>
      <c r="AL14" s="185" t="s">
        <v>255</v>
      </c>
      <c r="AM14" s="227"/>
      <c r="AN14" s="230"/>
      <c r="AO14" s="228"/>
      <c r="AP14" s="228"/>
      <c r="AQ14" s="227"/>
      <c r="AR14" s="229"/>
      <c r="AS14" s="190"/>
      <c r="AT14" s="190"/>
      <c r="AU14" s="190"/>
      <c r="AV14" s="190"/>
      <c r="AW14" s="190"/>
      <c r="AX14" s="190"/>
      <c r="AY14" s="190"/>
      <c r="AZ14" s="190"/>
      <c r="BA14" s="190"/>
      <c r="BB14" s="190"/>
      <c r="BC14" s="190"/>
      <c r="BD14" s="190"/>
      <c r="BE14" s="190"/>
      <c r="BF14" s="190"/>
      <c r="BG14" s="190"/>
      <c r="BH14" s="190"/>
      <c r="BI14" s="190"/>
      <c r="BJ14" s="190"/>
      <c r="BK14" s="190"/>
      <c r="BL14" s="190"/>
      <c r="BM14" s="190"/>
      <c r="BN14" s="190"/>
      <c r="BO14" s="190"/>
      <c r="BP14" s="190"/>
      <c r="BQ14" s="190"/>
      <c r="BR14" s="190"/>
      <c r="BS14" s="190"/>
      <c r="BT14" s="190"/>
      <c r="BU14" s="190"/>
      <c r="BV14" s="190"/>
      <c r="BW14" s="190"/>
      <c r="BX14" s="190"/>
    </row>
    <row r="15" spans="1:76" s="191" customFormat="1" ht="126.75" customHeight="1" thickTop="1" thickBot="1" x14ac:dyDescent="0.3">
      <c r="A15" s="328">
        <v>2</v>
      </c>
      <c r="B15" s="345" t="s">
        <v>476</v>
      </c>
      <c r="C15" s="333" t="s">
        <v>265</v>
      </c>
      <c r="D15" s="333" t="s">
        <v>983</v>
      </c>
      <c r="E15" s="333" t="s">
        <v>240</v>
      </c>
      <c r="F15" s="351" t="s">
        <v>477</v>
      </c>
      <c r="G15" s="351" t="s">
        <v>478</v>
      </c>
      <c r="H15" s="350" t="s">
        <v>1110</v>
      </c>
      <c r="I15" s="338" t="s">
        <v>474</v>
      </c>
      <c r="J15" s="338" t="s">
        <v>474</v>
      </c>
      <c r="K15" s="338" t="s">
        <v>474</v>
      </c>
      <c r="L15" s="338" t="s">
        <v>474</v>
      </c>
      <c r="M15" s="333" t="s">
        <v>239</v>
      </c>
      <c r="N15" s="333"/>
      <c r="O15" s="339">
        <v>500</v>
      </c>
      <c r="P15" s="340" t="str">
        <f>IF(O15&lt;=0,"",IF(O15&lt;=2,"Muy Baja",IF(O15&lt;=24,"Baja",IF(O15&lt;=500,"Media",IF(O15&lt;=5000,"Alta","Muy Alta")))))</f>
        <v>Media</v>
      </c>
      <c r="Q15" s="341">
        <f>IF(P15="","",IF(P15="Muy Baja",0.2,IF(P15="Baja",0.4,IF(P15="Media",0.6,IF(P15="Alta",0.8,IF(P15="Muy Alta",1,))))))</f>
        <v>0.6</v>
      </c>
      <c r="R15" s="341" t="s">
        <v>190</v>
      </c>
      <c r="S15" s="341" t="str">
        <f ca="1">IF(NOT(ISERROR(MATCH(R15,'Tabla Impacto'!$B$221:$B$223,0))),'Tabla Impacto'!$F$223&amp;"Por favor no seleccionar los criterios de impacto(Afectación Económica o presupuestal y Pérdida Reputacional)",R15)</f>
        <v>El riesgo afecta la imagen de la entidad con algunos usuarios de relevancia frente al logro de los objetivos</v>
      </c>
      <c r="T15" s="340" t="str">
        <f ca="1">+IF(OR(S15='[1]Tabla Impacto'!$C$11,S15='[1]Tabla Impacto'!$D$11),"Leve",IF(OR(S15='[1]Tabla Impacto'!$C$12,S15='[1]Tabla Impacto'!$D$12),"Menor",IF(OR(S15='[1]Tabla Impacto'!$C$13,S15='[1]Tabla Impacto'!$D$13),"Moderado",IF(OR(S15='[1]Tabla Impacto'!$C$14,S15='[1]Tabla Impacto'!$D$14),"Mayor",IF(OR(S15='[1]Tabla Impacto'!$C$15,S15='[1]Tabla Impacto'!$D$15),"Catastrófico","")))))</f>
        <v>Moderado</v>
      </c>
      <c r="U15" s="341">
        <f t="shared" ref="U15" ca="1" si="6">IF(T15="","",IF(T15="Leve",0.2,IF(T15="Menor",0.4,IF(T15="Moderado",0.6,IF(T15="Mayor",0.8,IF(T15="Catastrófico",1,))))))</f>
        <v>0.6</v>
      </c>
      <c r="V15" s="327" t="str">
        <f t="shared" ref="V15" ca="1" si="7">IF(OR(AND(P15="Muy Baja",T15="Leve"),AND(P15="Muy Baja",T15="Menor"),AND(P15="Baja",T15="Leve")),"Bajo",IF(OR(AND(P15="Muy baja",T15="Moderado"),AND(P15="Baja",T15="Menor"),AND(P15="Baja",T15="Moderado"),AND(P15="Media",T15="Leve"),AND(P15="Media",T15="Menor"),AND(P15="Media",T15="Moderado"),AND(P15="Alta",T15="Leve"),AND(P15="Alta",T15="Menor")),"Moderado",IF(OR(AND(P15="Muy Baja",T15="Mayor"),AND(P15="Baja",T15="Mayor"),AND(P15="Media",T15="Mayor"),AND(P15="Alta",T15="Moderado"),AND(P15="Alta",T15="Mayor"),AND(P15="Muy Alta",T15="Leve"),AND(P15="Muy Alta",T15="Menor"),AND(P15="Muy Alta",T15="Moderado"),AND(P15="Muy Alta",T15="Mayor")),"Alto",IF(OR(AND(P15="Muy Baja",T15="Catastrófico"),AND(P15="Baja",T15="Catastrófico"),AND(P15="Media",T15="Catastrófico"),AND(P15="Alta",T15="Catastrófico"),AND(P15="Muy Alta",T15="Catastrófico")),"Extremo",""))))</f>
        <v>Moderado</v>
      </c>
      <c r="W15" s="233">
        <v>1</v>
      </c>
      <c r="X15" s="207" t="s">
        <v>479</v>
      </c>
      <c r="Y15" s="230" t="str">
        <f t="shared" si="0"/>
        <v>Probabilidad</v>
      </c>
      <c r="Z15" s="185" t="s">
        <v>208</v>
      </c>
      <c r="AA15" s="185" t="s">
        <v>216</v>
      </c>
      <c r="AB15" s="186" t="str">
        <f t="shared" si="1"/>
        <v>40%</v>
      </c>
      <c r="AC15" s="185" t="s">
        <v>219</v>
      </c>
      <c r="AD15" s="185" t="s">
        <v>224</v>
      </c>
      <c r="AE15" s="185" t="s">
        <v>228</v>
      </c>
      <c r="AF15" s="187">
        <f>IFERROR(IF(Y15="Probabilidad",(Q15-(+Q15*AB15)),IF(Y15="Impacto",Q15,"")),"")</f>
        <v>0.36</v>
      </c>
      <c r="AG15" s="188" t="str">
        <f t="shared" si="2"/>
        <v>Baja</v>
      </c>
      <c r="AH15" s="186">
        <f t="shared" si="3"/>
        <v>0.36</v>
      </c>
      <c r="AI15" s="188" t="str">
        <f t="shared" ca="1" si="4"/>
        <v>Moderado</v>
      </c>
      <c r="AJ15" s="186">
        <f t="shared" ref="AJ15" ca="1" si="8">IFERROR(IF(Y15="Impacto",(U15-(+U15*AB15)),IF(Y15="Probabilidad",U15,"")),"")</f>
        <v>0.6</v>
      </c>
      <c r="AK15" s="189" t="str">
        <f t="shared" ca="1" si="5"/>
        <v>Moderado</v>
      </c>
      <c r="AL15" s="185" t="s">
        <v>255</v>
      </c>
      <c r="AM15" s="227"/>
      <c r="AN15" s="230"/>
      <c r="AO15" s="228"/>
      <c r="AP15" s="228"/>
      <c r="AQ15" s="227"/>
      <c r="AR15" s="229"/>
      <c r="AS15" s="190"/>
      <c r="AT15" s="190"/>
      <c r="AU15" s="190"/>
      <c r="AV15" s="190"/>
      <c r="AW15" s="190"/>
      <c r="AX15" s="190"/>
      <c r="AY15" s="190"/>
      <c r="AZ15" s="190"/>
      <c r="BA15" s="190"/>
      <c r="BB15" s="190"/>
      <c r="BC15" s="190"/>
      <c r="BD15" s="190"/>
      <c r="BE15" s="190"/>
      <c r="BF15" s="190"/>
      <c r="BG15" s="190"/>
      <c r="BH15" s="190"/>
      <c r="BI15" s="190"/>
      <c r="BJ15" s="190"/>
      <c r="BK15" s="190"/>
      <c r="BL15" s="190"/>
      <c r="BM15" s="190"/>
      <c r="BN15" s="190"/>
      <c r="BO15" s="190"/>
      <c r="BP15" s="190"/>
      <c r="BQ15" s="190"/>
      <c r="BR15" s="190"/>
      <c r="BS15" s="190"/>
      <c r="BT15" s="190"/>
      <c r="BU15" s="190"/>
      <c r="BV15" s="190"/>
      <c r="BW15" s="190"/>
      <c r="BX15" s="190"/>
    </row>
    <row r="16" spans="1:76" s="191" customFormat="1" ht="144" customHeight="1" thickTop="1" thickBot="1" x14ac:dyDescent="0.3">
      <c r="A16" s="328"/>
      <c r="B16" s="345"/>
      <c r="C16" s="333"/>
      <c r="D16" s="333"/>
      <c r="E16" s="333"/>
      <c r="F16" s="351"/>
      <c r="G16" s="351"/>
      <c r="H16" s="350"/>
      <c r="I16" s="338"/>
      <c r="J16" s="338"/>
      <c r="K16" s="338"/>
      <c r="L16" s="338"/>
      <c r="M16" s="333"/>
      <c r="N16" s="333"/>
      <c r="O16" s="339"/>
      <c r="P16" s="340"/>
      <c r="Q16" s="341"/>
      <c r="R16" s="341"/>
      <c r="S16" s="341">
        <f ca="1">IF(NOT(ISERROR(MATCH(R16,_xlfn.ANCHORARRAY(H20),0))),#REF!&amp;"Por favor no seleccionar los criterios de impacto",R16)</f>
        <v>0</v>
      </c>
      <c r="T16" s="340"/>
      <c r="U16" s="341"/>
      <c r="V16" s="327"/>
      <c r="W16" s="233">
        <v>2</v>
      </c>
      <c r="X16" s="207" t="s">
        <v>480</v>
      </c>
      <c r="Y16" s="230" t="str">
        <f t="shared" ref="Y16:Y22" si="9">IF(OR(Z16="Preventivo",Z16="Detectivo"),"Probabilidad",IF(Z16="Correctivo","Impacto",""))</f>
        <v>Probabilidad</v>
      </c>
      <c r="Z16" s="185" t="s">
        <v>208</v>
      </c>
      <c r="AA16" s="185" t="s">
        <v>216</v>
      </c>
      <c r="AB16" s="186" t="str">
        <f t="shared" si="1"/>
        <v>40%</v>
      </c>
      <c r="AC16" s="185" t="s">
        <v>219</v>
      </c>
      <c r="AD16" s="185" t="s">
        <v>224</v>
      </c>
      <c r="AE16" s="185" t="s">
        <v>228</v>
      </c>
      <c r="AF16" s="187">
        <f>IFERROR(IF(AND(Y15="Probabilidad",Y16="Probabilidad"),(AH15-(+AH15*AB16)),IF(Y16="Probabilidad",(Q15-(+Q15*AB16)),IF(Y16="Impacto",AH15,""))),"")</f>
        <v>0.216</v>
      </c>
      <c r="AG16" s="188" t="str">
        <f t="shared" ref="AG16:AG22" si="10">IFERROR(IF(AF16="","",IF(AF16&lt;=0.2,"Muy Baja",IF(AF16&lt;=0.4,"Baja",IF(AF16&lt;=0.6,"Media",IF(AF16&lt;=0.8,"Alta","Muy Alta"))))),"")</f>
        <v>Baja</v>
      </c>
      <c r="AH16" s="186">
        <f t="shared" ref="AH16:AH22" si="11">+AF16</f>
        <v>0.216</v>
      </c>
      <c r="AI16" s="188" t="str">
        <f t="shared" ref="AI16:AI22" ca="1" si="12">IFERROR(IF(AJ16="","",IF(AJ16&lt;=0.2,"Leve",IF(AJ16&lt;=0.4,"Menor",IF(AJ16&lt;=0.6,"Moderado",IF(AJ16&lt;=0.8,"Mayor","Catastrófico"))))),"")</f>
        <v>Moderado</v>
      </c>
      <c r="AJ16" s="186">
        <f t="shared" ref="AJ16" ca="1" si="13">IFERROR(IF(AND(Y15="Impacto",Y16="Impacto"),(AJ15-(+AJ15*AB16)),IF(Y16="Impacto",(U15-(+U15*AB16)),IF(Y16="Probabilidad",AJ15,""))),"")</f>
        <v>0.6</v>
      </c>
      <c r="AK16" s="189" t="str">
        <f t="shared" ref="AK16:AK22" ca="1" si="14">IFERROR(IF(OR(AND(AG16="Muy Baja",AI16="Leve"),AND(AG16="Muy Baja",AI16="Menor"),AND(AG16="Baja",AI16="Leve")),"Bajo",IF(OR(AND(AG16="Muy baja",AI16="Moderado"),AND(AG16="Baja",AI16="Menor"),AND(AG16="Baja",AI16="Moderado"),AND(AG16="Media",AI16="Leve"),AND(AG16="Media",AI16="Menor"),AND(AG16="Media",AI16="Moderado"),AND(AG16="Alta",AI16="Leve"),AND(AG16="Alta",AI16="Menor")),"Moderado",IF(OR(AND(AG16="Muy Baja",AI16="Mayor"),AND(AG16="Baja",AI16="Mayor"),AND(AG16="Media",AI16="Mayor"),AND(AG16="Alta",AI16="Moderado"),AND(AG16="Alta",AI16="Mayor"),AND(AG16="Muy Alta",AI16="Leve"),AND(AG16="Muy Alta",AI16="Menor"),AND(AG16="Muy Alta",AI16="Moderado"),AND(AG16="Muy Alta",AI16="Mayor")),"Alto",IF(OR(AND(AG16="Muy Baja",AI16="Catastrófico"),AND(AG16="Baja",AI16="Catastrófico"),AND(AG16="Media",AI16="Catastrófico"),AND(AG16="Alta",AI16="Catastrófico"),AND(AG16="Muy Alta",AI16="Catastrófico")),"Extremo","")))),"")</f>
        <v>Moderado</v>
      </c>
      <c r="AL16" s="185" t="s">
        <v>255</v>
      </c>
      <c r="AM16" s="227"/>
      <c r="AN16" s="230"/>
      <c r="AO16" s="228"/>
      <c r="AP16" s="228"/>
      <c r="AQ16" s="227"/>
      <c r="AR16" s="229"/>
      <c r="AS16" s="190"/>
      <c r="AT16" s="190"/>
      <c r="AU16" s="190"/>
      <c r="AV16" s="190"/>
      <c r="AW16" s="190"/>
      <c r="AX16" s="190"/>
      <c r="AY16" s="190"/>
      <c r="AZ16" s="190"/>
      <c r="BA16" s="190"/>
      <c r="BB16" s="190"/>
      <c r="BC16" s="190"/>
      <c r="BD16" s="190"/>
      <c r="BE16" s="190"/>
      <c r="BF16" s="190"/>
      <c r="BG16" s="190"/>
      <c r="BH16" s="190"/>
      <c r="BI16" s="190"/>
      <c r="BJ16" s="190"/>
      <c r="BK16" s="190"/>
      <c r="BL16" s="190"/>
      <c r="BM16" s="190"/>
      <c r="BN16" s="190"/>
      <c r="BO16" s="190"/>
      <c r="BP16" s="190"/>
      <c r="BQ16" s="190"/>
      <c r="BR16" s="190"/>
      <c r="BS16" s="190"/>
      <c r="BT16" s="190"/>
      <c r="BU16" s="190"/>
      <c r="BV16" s="190"/>
      <c r="BW16" s="190"/>
      <c r="BX16" s="190"/>
    </row>
    <row r="17" spans="1:76" s="191" customFormat="1" ht="238.5" customHeight="1" thickTop="1" thickBot="1" x14ac:dyDescent="0.3">
      <c r="A17" s="328">
        <v>3</v>
      </c>
      <c r="B17" s="345" t="s">
        <v>481</v>
      </c>
      <c r="C17" s="333" t="s">
        <v>266</v>
      </c>
      <c r="D17" s="333" t="s">
        <v>482</v>
      </c>
      <c r="E17" s="333" t="s">
        <v>240</v>
      </c>
      <c r="F17" s="351" t="s">
        <v>483</v>
      </c>
      <c r="G17" s="351" t="s">
        <v>484</v>
      </c>
      <c r="H17" s="350" t="s">
        <v>1111</v>
      </c>
      <c r="I17" s="338" t="s">
        <v>474</v>
      </c>
      <c r="J17" s="338" t="s">
        <v>474</v>
      </c>
      <c r="K17" s="338" t="s">
        <v>474</v>
      </c>
      <c r="L17" s="338" t="s">
        <v>474</v>
      </c>
      <c r="M17" s="333" t="s">
        <v>239</v>
      </c>
      <c r="N17" s="333"/>
      <c r="O17" s="339">
        <v>1</v>
      </c>
      <c r="P17" s="340" t="str">
        <f>IF(O17&lt;=0,"",IF(O17&lt;=2,"Muy Baja",IF(O17&lt;=24,"Baja",IF(O17&lt;=500,"Media",IF(O17&lt;=5000,"Alta","Muy Alta")))))</f>
        <v>Muy Baja</v>
      </c>
      <c r="Q17" s="341">
        <f>IF(P17="","",IF(P17="Muy Baja",0.2,IF(P17="Baja",0.4,IF(P17="Media",0.6,IF(P17="Alta",0.8,IF(P17="Muy Alta",1,))))))</f>
        <v>0.2</v>
      </c>
      <c r="R17" s="341" t="s">
        <v>192</v>
      </c>
      <c r="S17" s="341" t="str">
        <f ca="1">IF(NOT(ISERROR(MATCH(R17,'Tabla Impacto'!$B$221:$B$223,0))),'Tabla Impacto'!$F$223&amp;"Por favor no seleccionar los criterios de impacto(Afectación Económica o presupuestal y Pérdida Reputacional)",R17)</f>
        <v xml:space="preserve">Entre 100 y 500 SMLMV </v>
      </c>
      <c r="T17" s="340" t="str">
        <f ca="1">+IF(OR(S17='[1]Tabla Impacto'!$C$11,S17='[1]Tabla Impacto'!$D$11),"Leve",IF(OR(S17='[1]Tabla Impacto'!$C$12,S17='[1]Tabla Impacto'!$D$12),"Menor",IF(OR(S17='[1]Tabla Impacto'!$C$13,S17='[1]Tabla Impacto'!$D$13),"Moderado",IF(OR(S17='[1]Tabla Impacto'!$C$14,S17='[1]Tabla Impacto'!$D$14),"Mayor",IF(OR(S17='[1]Tabla Impacto'!$C$15,S17='[1]Tabla Impacto'!$D$15),"Catastrófico","")))))</f>
        <v>Mayor</v>
      </c>
      <c r="U17" s="341">
        <f t="shared" ref="U17" ca="1" si="15">IF(T17="","",IF(T17="Leve",0.2,IF(T17="Menor",0.4,IF(T17="Moderado",0.6,IF(T17="Mayor",0.8,IF(T17="Catastrófico",1,))))))</f>
        <v>0.8</v>
      </c>
      <c r="V17" s="327" t="str">
        <f t="shared" ref="V17" ca="1" si="16">IF(OR(AND(P17="Muy Baja",T17="Leve"),AND(P17="Muy Baja",T17="Menor"),AND(P17="Baja",T17="Leve")),"Bajo",IF(OR(AND(P17="Muy baja",T17="Moderado"),AND(P17="Baja",T17="Menor"),AND(P17="Baja",T17="Moderado"),AND(P17="Media",T17="Leve"),AND(P17="Media",T17="Menor"),AND(P17="Media",T17="Moderado"),AND(P17="Alta",T17="Leve"),AND(P17="Alta",T17="Menor")),"Moderado",IF(OR(AND(P17="Muy Baja",T17="Mayor"),AND(P17="Baja",T17="Mayor"),AND(P17="Media",T17="Mayor"),AND(P17="Alta",T17="Moderado"),AND(P17="Alta",T17="Mayor"),AND(P17="Muy Alta",T17="Leve"),AND(P17="Muy Alta",T17="Menor"),AND(P17="Muy Alta",T17="Moderado"),AND(P17="Muy Alta",T17="Mayor")),"Alto",IF(OR(AND(P17="Muy Baja",T17="Catastrófico"),AND(P17="Baja",T17="Catastrófico"),AND(P17="Media",T17="Catastrófico"),AND(P17="Alta",T17="Catastrófico"),AND(P17="Muy Alta",T17="Catastrófico")),"Extremo",""))))</f>
        <v>Alto</v>
      </c>
      <c r="W17" s="233">
        <v>1</v>
      </c>
      <c r="X17" s="207" t="s">
        <v>485</v>
      </c>
      <c r="Y17" s="230" t="str">
        <f t="shared" si="9"/>
        <v>Probabilidad</v>
      </c>
      <c r="Z17" s="185" t="s">
        <v>208</v>
      </c>
      <c r="AA17" s="185" t="s">
        <v>216</v>
      </c>
      <c r="AB17" s="186" t="str">
        <f t="shared" si="1"/>
        <v>40%</v>
      </c>
      <c r="AC17" s="185" t="s">
        <v>219</v>
      </c>
      <c r="AD17" s="185" t="s">
        <v>224</v>
      </c>
      <c r="AE17" s="185" t="s">
        <v>228</v>
      </c>
      <c r="AF17" s="187">
        <f>IFERROR(IF(Y17="Probabilidad",(Q17-(+Q17*AB17)),IF(Y17="Impacto",Q17,"")),"")</f>
        <v>0.12</v>
      </c>
      <c r="AG17" s="188" t="str">
        <f t="shared" si="10"/>
        <v>Muy Baja</v>
      </c>
      <c r="AH17" s="186">
        <f t="shared" si="11"/>
        <v>0.12</v>
      </c>
      <c r="AI17" s="188" t="str">
        <f t="shared" ca="1" si="12"/>
        <v>Mayor</v>
      </c>
      <c r="AJ17" s="186">
        <f t="shared" ref="AJ17" ca="1" si="17">IFERROR(IF(Y17="Impacto",(U17-(+U17*AB17)),IF(Y17="Probabilidad",U17,"")),"")</f>
        <v>0.8</v>
      </c>
      <c r="AK17" s="189" t="str">
        <f t="shared" ca="1" si="14"/>
        <v>Alto</v>
      </c>
      <c r="AL17" s="185" t="s">
        <v>262</v>
      </c>
      <c r="AM17" s="227" t="s">
        <v>488</v>
      </c>
      <c r="AN17" s="227" t="s">
        <v>489</v>
      </c>
      <c r="AO17" s="228" t="s">
        <v>490</v>
      </c>
      <c r="AP17" s="228" t="s">
        <v>490</v>
      </c>
      <c r="AQ17" s="227" t="s">
        <v>491</v>
      </c>
      <c r="AR17" s="229" t="s">
        <v>259</v>
      </c>
      <c r="AS17" s="190"/>
      <c r="AT17" s="190"/>
      <c r="AU17" s="190"/>
      <c r="AV17" s="190"/>
      <c r="AW17" s="190"/>
      <c r="AX17" s="190"/>
      <c r="AY17" s="190"/>
      <c r="AZ17" s="190"/>
      <c r="BA17" s="190"/>
      <c r="BB17" s="190"/>
      <c r="BC17" s="190"/>
      <c r="BD17" s="190"/>
      <c r="BE17" s="190"/>
      <c r="BF17" s="190"/>
      <c r="BG17" s="190"/>
      <c r="BH17" s="190"/>
      <c r="BI17" s="190"/>
      <c r="BJ17" s="190"/>
      <c r="BK17" s="190"/>
      <c r="BL17" s="190"/>
      <c r="BM17" s="190"/>
      <c r="BN17" s="190"/>
      <c r="BO17" s="190"/>
      <c r="BP17" s="190"/>
      <c r="BQ17" s="190"/>
      <c r="BR17" s="190"/>
      <c r="BS17" s="190"/>
      <c r="BT17" s="190"/>
      <c r="BU17" s="190"/>
      <c r="BV17" s="190"/>
      <c r="BW17" s="190"/>
      <c r="BX17" s="190"/>
    </row>
    <row r="18" spans="1:76" s="191" customFormat="1" ht="214.5" customHeight="1" thickTop="1" thickBot="1" x14ac:dyDescent="0.3">
      <c r="A18" s="328"/>
      <c r="B18" s="345"/>
      <c r="C18" s="333"/>
      <c r="D18" s="333"/>
      <c r="E18" s="333"/>
      <c r="F18" s="351"/>
      <c r="G18" s="351"/>
      <c r="H18" s="350"/>
      <c r="I18" s="338"/>
      <c r="J18" s="338"/>
      <c r="K18" s="338"/>
      <c r="L18" s="338"/>
      <c r="M18" s="333"/>
      <c r="N18" s="333"/>
      <c r="O18" s="339"/>
      <c r="P18" s="340"/>
      <c r="Q18" s="341"/>
      <c r="R18" s="341"/>
      <c r="S18" s="341">
        <f ca="1">IF(NOT(ISERROR(MATCH(R18,_xlfn.ANCHORARRAY(H22),0))),Q24&amp;"Por favor no seleccionar los criterios de impacto",R18)</f>
        <v>0</v>
      </c>
      <c r="T18" s="340"/>
      <c r="U18" s="341"/>
      <c r="V18" s="327"/>
      <c r="W18" s="233">
        <v>2</v>
      </c>
      <c r="X18" s="207" t="s">
        <v>486</v>
      </c>
      <c r="Y18" s="230" t="str">
        <f t="shared" si="9"/>
        <v>Probabilidad</v>
      </c>
      <c r="Z18" s="185" t="s">
        <v>208</v>
      </c>
      <c r="AA18" s="185" t="s">
        <v>216</v>
      </c>
      <c r="AB18" s="186" t="str">
        <f t="shared" si="1"/>
        <v>40%</v>
      </c>
      <c r="AC18" s="185" t="s">
        <v>219</v>
      </c>
      <c r="AD18" s="185" t="s">
        <v>224</v>
      </c>
      <c r="AE18" s="185" t="s">
        <v>228</v>
      </c>
      <c r="AF18" s="187">
        <f>IFERROR(IF(AND(Y17="Probabilidad",Y18="Probabilidad"),(AH17-(+AH17*AB18)),IF(Y18="Probabilidad",(Q17-(+Q17*AB18)),IF(Y18="Impacto",AH17,""))),"")</f>
        <v>7.1999999999999995E-2</v>
      </c>
      <c r="AG18" s="188" t="str">
        <f t="shared" si="10"/>
        <v>Muy Baja</v>
      </c>
      <c r="AH18" s="186">
        <f t="shared" si="11"/>
        <v>7.1999999999999995E-2</v>
      </c>
      <c r="AI18" s="188" t="str">
        <f t="shared" ca="1" si="12"/>
        <v>Mayor</v>
      </c>
      <c r="AJ18" s="186">
        <f t="shared" ref="AJ18" ca="1" si="18">IFERROR(IF(AND(Y17="Impacto",Y18="Impacto"),(AJ17-(+AJ17*AB18)),IF(Y18="Impacto",(U17-(+U17*AB18)),IF(Y18="Probabilidad",AJ17,""))),"")</f>
        <v>0.8</v>
      </c>
      <c r="AK18" s="189" t="str">
        <f t="shared" ca="1" si="14"/>
        <v>Alto</v>
      </c>
      <c r="AL18" s="185" t="s">
        <v>262</v>
      </c>
      <c r="AM18" s="227" t="s">
        <v>492</v>
      </c>
      <c r="AN18" s="227" t="s">
        <v>489</v>
      </c>
      <c r="AO18" s="228" t="s">
        <v>493</v>
      </c>
      <c r="AP18" s="228" t="s">
        <v>493</v>
      </c>
      <c r="AQ18" s="227" t="s">
        <v>494</v>
      </c>
      <c r="AR18" s="229" t="s">
        <v>259</v>
      </c>
      <c r="AS18" s="190"/>
      <c r="AT18" s="190"/>
      <c r="AU18" s="190"/>
      <c r="AV18" s="190"/>
      <c r="AW18" s="190"/>
      <c r="AX18" s="190"/>
      <c r="AY18" s="190"/>
      <c r="AZ18" s="190"/>
      <c r="BA18" s="190"/>
      <c r="BB18" s="190"/>
      <c r="BC18" s="190"/>
      <c r="BD18" s="190"/>
      <c r="BE18" s="190"/>
      <c r="BF18" s="190"/>
      <c r="BG18" s="190"/>
      <c r="BH18" s="190"/>
      <c r="BI18" s="190"/>
      <c r="BJ18" s="190"/>
      <c r="BK18" s="190"/>
      <c r="BL18" s="190"/>
      <c r="BM18" s="190"/>
      <c r="BN18" s="190"/>
      <c r="BO18" s="190"/>
      <c r="BP18" s="190"/>
      <c r="BQ18" s="190"/>
      <c r="BR18" s="190"/>
      <c r="BS18" s="190"/>
      <c r="BT18" s="190"/>
      <c r="BU18" s="190"/>
      <c r="BV18" s="190"/>
      <c r="BW18" s="190"/>
      <c r="BX18" s="190"/>
    </row>
    <row r="19" spans="1:76" s="191" customFormat="1" ht="129.75" thickTop="1" thickBot="1" x14ac:dyDescent="0.3">
      <c r="A19" s="328"/>
      <c r="B19" s="345"/>
      <c r="C19" s="333"/>
      <c r="D19" s="333"/>
      <c r="E19" s="333"/>
      <c r="F19" s="351"/>
      <c r="G19" s="351"/>
      <c r="H19" s="350"/>
      <c r="I19" s="338"/>
      <c r="J19" s="338"/>
      <c r="K19" s="338"/>
      <c r="L19" s="338"/>
      <c r="M19" s="333"/>
      <c r="N19" s="333"/>
      <c r="O19" s="339"/>
      <c r="P19" s="340"/>
      <c r="Q19" s="341"/>
      <c r="R19" s="341"/>
      <c r="S19" s="341">
        <f ca="1">IF(NOT(ISERROR(MATCH(R19,_xlfn.ANCHORARRAY(H23),0))),#REF!&amp;"Por favor no seleccionar los criterios de impacto",R19)</f>
        <v>0</v>
      </c>
      <c r="T19" s="340"/>
      <c r="U19" s="341"/>
      <c r="V19" s="327"/>
      <c r="W19" s="233">
        <v>3</v>
      </c>
      <c r="X19" s="207" t="s">
        <v>487</v>
      </c>
      <c r="Y19" s="230" t="str">
        <f t="shared" si="9"/>
        <v>Probabilidad</v>
      </c>
      <c r="Z19" s="185" t="s">
        <v>208</v>
      </c>
      <c r="AA19" s="185" t="s">
        <v>216</v>
      </c>
      <c r="AB19" s="186" t="str">
        <f t="shared" si="1"/>
        <v>40%</v>
      </c>
      <c r="AC19" s="185" t="s">
        <v>219</v>
      </c>
      <c r="AD19" s="185" t="s">
        <v>224</v>
      </c>
      <c r="AE19" s="185" t="s">
        <v>228</v>
      </c>
      <c r="AF19" s="187">
        <f t="shared" ref="AF19" si="19">IFERROR(IF(AND(Y18="Probabilidad",Y19="Probabilidad"),(AH18-(+AH18*AB19)),IF(Y19="Probabilidad",(Q18-(+Q18*AB19)),IF(Y19="Impacto",AH18,""))),"")</f>
        <v>4.3199999999999995E-2</v>
      </c>
      <c r="AG19" s="188" t="str">
        <f t="shared" si="10"/>
        <v>Muy Baja</v>
      </c>
      <c r="AH19" s="186">
        <f t="shared" si="11"/>
        <v>4.3199999999999995E-2</v>
      </c>
      <c r="AI19" s="188" t="str">
        <f t="shared" ca="1" si="12"/>
        <v>Mayor</v>
      </c>
      <c r="AJ19" s="186">
        <f t="shared" ref="AJ19" ca="1" si="20">IFERROR(IF(AND(Y18="Impacto",Y19="Impacto"),(AJ18-(+AJ18*AB19)),IF(AND(Y18="Probabilidad",Y19="Impacto"),(AJ17-(+AJ17*AB19)),IF(Y19="Probabilidad",AJ18,""))),"")</f>
        <v>0.8</v>
      </c>
      <c r="AK19" s="189" t="str">
        <f t="shared" ca="1" si="14"/>
        <v>Alto</v>
      </c>
      <c r="AL19" s="185" t="s">
        <v>262</v>
      </c>
      <c r="AM19" s="227"/>
      <c r="AN19" s="230"/>
      <c r="AO19" s="228"/>
      <c r="AP19" s="228"/>
      <c r="AQ19" s="227"/>
      <c r="AR19" s="229"/>
      <c r="AS19" s="190"/>
      <c r="AT19" s="190"/>
      <c r="AU19" s="190"/>
      <c r="AV19" s="190"/>
      <c r="AW19" s="190"/>
      <c r="AX19" s="190"/>
      <c r="AY19" s="190"/>
      <c r="AZ19" s="190"/>
      <c r="BA19" s="190"/>
      <c r="BB19" s="190"/>
      <c r="BC19" s="190"/>
      <c r="BD19" s="190"/>
      <c r="BE19" s="190"/>
      <c r="BF19" s="190"/>
      <c r="BG19" s="190"/>
      <c r="BH19" s="190"/>
      <c r="BI19" s="190"/>
      <c r="BJ19" s="190"/>
      <c r="BK19" s="190"/>
      <c r="BL19" s="190"/>
      <c r="BM19" s="190"/>
      <c r="BN19" s="190"/>
      <c r="BO19" s="190"/>
      <c r="BP19" s="190"/>
      <c r="BQ19" s="190"/>
      <c r="BR19" s="190"/>
      <c r="BS19" s="190"/>
      <c r="BT19" s="190"/>
      <c r="BU19" s="190"/>
      <c r="BV19" s="190"/>
      <c r="BW19" s="190"/>
      <c r="BX19" s="190"/>
    </row>
    <row r="20" spans="1:76" s="191" customFormat="1" ht="331.5" customHeight="1" thickTop="1" thickBot="1" x14ac:dyDescent="0.3">
      <c r="A20" s="328">
        <v>4</v>
      </c>
      <c r="B20" s="345" t="s">
        <v>495</v>
      </c>
      <c r="C20" s="333" t="s">
        <v>266</v>
      </c>
      <c r="D20" s="333" t="s">
        <v>482</v>
      </c>
      <c r="E20" s="333" t="s">
        <v>240</v>
      </c>
      <c r="F20" s="351" t="s">
        <v>496</v>
      </c>
      <c r="G20" s="351" t="s">
        <v>497</v>
      </c>
      <c r="H20" s="350" t="s">
        <v>1112</v>
      </c>
      <c r="I20" s="338" t="s">
        <v>474</v>
      </c>
      <c r="J20" s="338" t="s">
        <v>474</v>
      </c>
      <c r="K20" s="338" t="s">
        <v>474</v>
      </c>
      <c r="L20" s="338" t="s">
        <v>474</v>
      </c>
      <c r="M20" s="333" t="s">
        <v>239</v>
      </c>
      <c r="N20" s="333"/>
      <c r="O20" s="339">
        <v>12</v>
      </c>
      <c r="P20" s="340" t="str">
        <f>IF(O20&lt;=0,"",IF(O20&lt;=2,"Muy Baja",IF(O20&lt;=24,"Baja",IF(O20&lt;=500,"Media",IF(O20&lt;=5000,"Alta","Muy Alta")))))</f>
        <v>Baja</v>
      </c>
      <c r="Q20" s="341">
        <f>IF(P20="","",IF(P20="Muy Baja",0.2,IF(P20="Baja",0.4,IF(P20="Media",0.6,IF(P20="Alta",0.8,IF(P20="Muy Alta",1,))))))</f>
        <v>0.4</v>
      </c>
      <c r="R20" s="341" t="s">
        <v>190</v>
      </c>
      <c r="S20" s="341" t="str">
        <f ca="1">IF(NOT(ISERROR(MATCH(R20,'Tabla Impacto'!$B$221:$B$223,0))),'Tabla Impacto'!$F$223&amp;"Por favor no seleccionar los criterios de impacto(Afectación Económica o presupuestal y Pérdida Reputacional)",R20)</f>
        <v>El riesgo afecta la imagen de la entidad con algunos usuarios de relevancia frente al logro de los objetivos</v>
      </c>
      <c r="T20" s="340" t="str">
        <f ca="1">+IF(OR(S20='[1]Tabla Impacto'!$C$11,S20='[1]Tabla Impacto'!$D$11),"Leve",IF(OR(S20='[1]Tabla Impacto'!$C$12,S20='[1]Tabla Impacto'!$D$12),"Menor",IF(OR(S20='[1]Tabla Impacto'!$C$13,S20='[1]Tabla Impacto'!$D$13),"Moderado",IF(OR(S20='[1]Tabla Impacto'!$C$14,S20='[1]Tabla Impacto'!$D$14),"Mayor",IF(OR(S20='[1]Tabla Impacto'!$C$15,S20='[1]Tabla Impacto'!$D$15),"Catastrófico","")))))</f>
        <v>Moderado</v>
      </c>
      <c r="U20" s="341">
        <f t="shared" ref="U20" ca="1" si="21">IF(T20="","",IF(T20="Leve",0.2,IF(T20="Menor",0.4,IF(T20="Moderado",0.6,IF(T20="Mayor",0.8,IF(T20="Catastrófico",1,))))))</f>
        <v>0.6</v>
      </c>
      <c r="V20" s="327" t="str">
        <f t="shared" ref="V20" ca="1" si="22">IF(OR(AND(P20="Muy Baja",T20="Leve"),AND(P20="Muy Baja",T20="Menor"),AND(P20="Baja",T20="Leve")),"Bajo",IF(OR(AND(P20="Muy baja",T20="Moderado"),AND(P20="Baja",T20="Menor"),AND(P20="Baja",T20="Moderado"),AND(P20="Media",T20="Leve"),AND(P20="Media",T20="Menor"),AND(P20="Media",T20="Moderado"),AND(P20="Alta",T20="Leve"),AND(P20="Alta",T20="Menor")),"Moderado",IF(OR(AND(P20="Muy Baja",T20="Mayor"),AND(P20="Baja",T20="Mayor"),AND(P20="Media",T20="Mayor"),AND(P20="Alta",T20="Moderado"),AND(P20="Alta",T20="Mayor"),AND(P20="Muy Alta",T20="Leve"),AND(P20="Muy Alta",T20="Menor"),AND(P20="Muy Alta",T20="Moderado"),AND(P20="Muy Alta",T20="Mayor")),"Alto",IF(OR(AND(P20="Muy Baja",T20="Catastrófico"),AND(P20="Baja",T20="Catastrófico"),AND(P20="Media",T20="Catastrófico"),AND(P20="Alta",T20="Catastrófico"),AND(P20="Muy Alta",T20="Catastrófico")),"Extremo",""))))</f>
        <v>Moderado</v>
      </c>
      <c r="W20" s="233">
        <v>1</v>
      </c>
      <c r="X20" s="207" t="s">
        <v>1196</v>
      </c>
      <c r="Y20" s="230" t="str">
        <f t="shared" si="9"/>
        <v>Probabilidad</v>
      </c>
      <c r="Z20" s="185" t="s">
        <v>210</v>
      </c>
      <c r="AA20" s="185" t="s">
        <v>216</v>
      </c>
      <c r="AB20" s="186" t="str">
        <f t="shared" si="1"/>
        <v>30%</v>
      </c>
      <c r="AC20" s="185" t="s">
        <v>219</v>
      </c>
      <c r="AD20" s="185" t="s">
        <v>224</v>
      </c>
      <c r="AE20" s="185" t="s">
        <v>228</v>
      </c>
      <c r="AF20" s="187">
        <f>IFERROR(IF(Y20="Probabilidad",(Q20-(+Q20*AB20)),IF(Y20="Impacto",Q20,"")),"")</f>
        <v>0.28000000000000003</v>
      </c>
      <c r="AG20" s="188" t="str">
        <f t="shared" si="10"/>
        <v>Baja</v>
      </c>
      <c r="AH20" s="186">
        <f t="shared" si="11"/>
        <v>0.28000000000000003</v>
      </c>
      <c r="AI20" s="188" t="str">
        <f t="shared" ca="1" si="12"/>
        <v>Moderado</v>
      </c>
      <c r="AJ20" s="186">
        <f t="shared" ref="AJ20" ca="1" si="23">IFERROR(IF(Y20="Impacto",(U20-(+U20*AB20)),IF(Y20="Probabilidad",U20,"")),"")</f>
        <v>0.6</v>
      </c>
      <c r="AK20" s="189" t="str">
        <f t="shared" ca="1" si="14"/>
        <v>Moderado</v>
      </c>
      <c r="AL20" s="185" t="s">
        <v>255</v>
      </c>
      <c r="AM20" s="227"/>
      <c r="AN20" s="230"/>
      <c r="AO20" s="228"/>
      <c r="AP20" s="228"/>
      <c r="AQ20" s="227"/>
      <c r="AR20" s="229"/>
      <c r="AS20" s="190"/>
      <c r="AT20" s="190"/>
      <c r="AU20" s="190"/>
      <c r="AV20" s="190"/>
      <c r="AW20" s="190"/>
      <c r="AX20" s="190"/>
      <c r="AY20" s="190"/>
      <c r="AZ20" s="190"/>
      <c r="BA20" s="190"/>
      <c r="BB20" s="190"/>
      <c r="BC20" s="190"/>
      <c r="BD20" s="190"/>
      <c r="BE20" s="190"/>
      <c r="BF20" s="190"/>
      <c r="BG20" s="190"/>
      <c r="BH20" s="190"/>
      <c r="BI20" s="190"/>
      <c r="BJ20" s="190"/>
      <c r="BK20" s="190"/>
      <c r="BL20" s="190"/>
      <c r="BM20" s="190"/>
      <c r="BN20" s="190"/>
      <c r="BO20" s="190"/>
      <c r="BP20" s="190"/>
      <c r="BQ20" s="190"/>
      <c r="BR20" s="190"/>
      <c r="BS20" s="190"/>
      <c r="BT20" s="190"/>
      <c r="BU20" s="190"/>
      <c r="BV20" s="190"/>
      <c r="BW20" s="190"/>
      <c r="BX20" s="190"/>
    </row>
    <row r="21" spans="1:76" s="191" customFormat="1" ht="331.5" customHeight="1" thickTop="1" thickBot="1" x14ac:dyDescent="0.3">
      <c r="A21" s="328"/>
      <c r="B21" s="345"/>
      <c r="C21" s="333"/>
      <c r="D21" s="333"/>
      <c r="E21" s="333"/>
      <c r="F21" s="351"/>
      <c r="G21" s="351"/>
      <c r="H21" s="350"/>
      <c r="I21" s="338"/>
      <c r="J21" s="338"/>
      <c r="K21" s="338"/>
      <c r="L21" s="338"/>
      <c r="M21" s="333"/>
      <c r="N21" s="333"/>
      <c r="O21" s="339"/>
      <c r="P21" s="340"/>
      <c r="Q21" s="341"/>
      <c r="R21" s="341"/>
      <c r="S21" s="341">
        <f ca="1">IF(NOT(ISERROR(MATCH(R21,_xlfn.ANCHORARRAY(H25),0))),#REF!&amp;"Por favor no seleccionar los criterios de impacto",R21)</f>
        <v>0</v>
      </c>
      <c r="T21" s="340"/>
      <c r="U21" s="341"/>
      <c r="V21" s="327"/>
      <c r="W21" s="233">
        <v>2</v>
      </c>
      <c r="X21" s="207" t="s">
        <v>1197</v>
      </c>
      <c r="Y21" s="230" t="str">
        <f t="shared" si="9"/>
        <v>Probabilidad</v>
      </c>
      <c r="Z21" s="185" t="s">
        <v>210</v>
      </c>
      <c r="AA21" s="185" t="s">
        <v>216</v>
      </c>
      <c r="AB21" s="186" t="str">
        <f t="shared" si="1"/>
        <v>30%</v>
      </c>
      <c r="AC21" s="185" t="s">
        <v>219</v>
      </c>
      <c r="AD21" s="185" t="s">
        <v>224</v>
      </c>
      <c r="AE21" s="185" t="s">
        <v>228</v>
      </c>
      <c r="AF21" s="187">
        <f>IFERROR(IF(AND(Y20="Probabilidad",Y21="Probabilidad"),(AH20-(+AH20*AB21)),IF(Y21="Probabilidad",(Q20-(+Q20*AB21)),IF(Y21="Impacto",AH20,""))),"")</f>
        <v>0.19600000000000001</v>
      </c>
      <c r="AG21" s="188" t="str">
        <f t="shared" si="10"/>
        <v>Muy Baja</v>
      </c>
      <c r="AH21" s="186">
        <f t="shared" si="11"/>
        <v>0.19600000000000001</v>
      </c>
      <c r="AI21" s="188" t="str">
        <f t="shared" ca="1" si="12"/>
        <v>Moderado</v>
      </c>
      <c r="AJ21" s="186">
        <f t="shared" ref="AJ21" ca="1" si="24">IFERROR(IF(AND(Y20="Impacto",Y21="Impacto"),(AJ20-(+AJ20*AB21)),IF(Y21="Impacto",(U20-(+U20*AB21)),IF(Y21="Probabilidad",AJ20,""))),"")</f>
        <v>0.6</v>
      </c>
      <c r="AK21" s="189" t="str">
        <f t="shared" ca="1" si="14"/>
        <v>Moderado</v>
      </c>
      <c r="AL21" s="185" t="s">
        <v>255</v>
      </c>
      <c r="AM21" s="227"/>
      <c r="AN21" s="230"/>
      <c r="AO21" s="228"/>
      <c r="AP21" s="228"/>
      <c r="AQ21" s="227"/>
      <c r="AR21" s="229"/>
      <c r="AS21" s="190"/>
      <c r="AT21" s="190"/>
      <c r="AU21" s="190"/>
      <c r="AV21" s="190"/>
      <c r="AW21" s="190"/>
      <c r="AX21" s="190"/>
      <c r="AY21" s="190"/>
      <c r="AZ21" s="190"/>
      <c r="BA21" s="190"/>
      <c r="BB21" s="190"/>
      <c r="BC21" s="190"/>
      <c r="BD21" s="190"/>
      <c r="BE21" s="190"/>
      <c r="BF21" s="190"/>
      <c r="BG21" s="190"/>
      <c r="BH21" s="190"/>
      <c r="BI21" s="190"/>
      <c r="BJ21" s="190"/>
      <c r="BK21" s="190"/>
      <c r="BL21" s="190"/>
      <c r="BM21" s="190"/>
      <c r="BN21" s="190"/>
      <c r="BO21" s="190"/>
      <c r="BP21" s="190"/>
      <c r="BQ21" s="190"/>
      <c r="BR21" s="190"/>
      <c r="BS21" s="190"/>
      <c r="BT21" s="190"/>
      <c r="BU21" s="190"/>
      <c r="BV21" s="190"/>
      <c r="BW21" s="190"/>
      <c r="BX21" s="190"/>
    </row>
    <row r="22" spans="1:76" s="191" customFormat="1" ht="147.75" customHeight="1" thickTop="1" thickBot="1" x14ac:dyDescent="0.3">
      <c r="A22" s="328">
        <v>5</v>
      </c>
      <c r="B22" s="345" t="s">
        <v>498</v>
      </c>
      <c r="C22" s="333" t="s">
        <v>266</v>
      </c>
      <c r="D22" s="333" t="s">
        <v>482</v>
      </c>
      <c r="E22" s="333" t="s">
        <v>238</v>
      </c>
      <c r="F22" s="351" t="s">
        <v>499</v>
      </c>
      <c r="G22" s="351" t="s">
        <v>500</v>
      </c>
      <c r="H22" s="350" t="s">
        <v>1113</v>
      </c>
      <c r="I22" s="338" t="s">
        <v>474</v>
      </c>
      <c r="J22" s="338" t="s">
        <v>474</v>
      </c>
      <c r="K22" s="338" t="s">
        <v>474</v>
      </c>
      <c r="L22" s="338" t="s">
        <v>474</v>
      </c>
      <c r="M22" s="333" t="s">
        <v>239</v>
      </c>
      <c r="N22" s="333"/>
      <c r="O22" s="339">
        <v>1</v>
      </c>
      <c r="P22" s="340" t="str">
        <f>IF(O22&lt;=0,"",IF(O22&lt;=2,"Muy Baja",IF(O22&lt;=24,"Baja",IF(O22&lt;=500,"Media",IF(O22&lt;=5000,"Alta","Muy Alta")))))</f>
        <v>Muy Baja</v>
      </c>
      <c r="Q22" s="341">
        <f>IF(P22="","",IF(P22="Muy Baja",0.2,IF(P22="Baja",0.4,IF(P22="Media",0.6,IF(P22="Alta",0.8,IF(P22="Muy Alta",1,))))))</f>
        <v>0.2</v>
      </c>
      <c r="R22" s="341" t="s">
        <v>193</v>
      </c>
      <c r="S22" s="341" t="str">
        <f ca="1">IF(NOT(ISERROR(MATCH(R22,'Tabla Impacto'!$B$221:$B$223,0))),'Tabla Impacto'!$F$223&amp;"Por favor no seleccionar los criterios de impacto(Afectación Económica o presupuestal y Pérdida Reputacional)",R22)</f>
        <v>El riesgo afecta la imagen de de la entidad con efecto publicitario sostenido a nivel de sector administrativo, nivel departamental o municipal</v>
      </c>
      <c r="T22" s="340" t="str">
        <f ca="1">+IF(OR(S22='[1]Tabla Impacto'!$C$11,S22='[1]Tabla Impacto'!$D$11),"Leve",IF(OR(S22='[1]Tabla Impacto'!$C$12,S22='[1]Tabla Impacto'!$D$12),"Menor",IF(OR(S22='[1]Tabla Impacto'!$C$13,S22='[1]Tabla Impacto'!$D$13),"Moderado",IF(OR(S22='[1]Tabla Impacto'!$C$14,S22='[1]Tabla Impacto'!$D$14),"Mayor",IF(OR(S22='[1]Tabla Impacto'!$C$15,S22='[1]Tabla Impacto'!$D$15),"Catastrófico","")))))</f>
        <v>Mayor</v>
      </c>
      <c r="U22" s="341">
        <f t="shared" ref="U22" ca="1" si="25">IF(T22="","",IF(T22="Leve",0.2,IF(T22="Menor",0.4,IF(T22="Moderado",0.6,IF(T22="Mayor",0.8,IF(T22="Catastrófico",1,))))))</f>
        <v>0.8</v>
      </c>
      <c r="V22" s="327" t="str">
        <f t="shared" ref="V22" ca="1" si="26">IF(OR(AND(P22="Muy Baja",T22="Leve"),AND(P22="Muy Baja",T22="Menor"),AND(P22="Baja",T22="Leve")),"Bajo",IF(OR(AND(P22="Muy baja",T22="Moderado"),AND(P22="Baja",T22="Menor"),AND(P22="Baja",T22="Moderado"),AND(P22="Media",T22="Leve"),AND(P22="Media",T22="Menor"),AND(P22="Media",T22="Moderado"),AND(P22="Alta",T22="Leve"),AND(P22="Alta",T22="Menor")),"Moderado",IF(OR(AND(P22="Muy Baja",T22="Mayor"),AND(P22="Baja",T22="Mayor"),AND(P22="Media",T22="Mayor"),AND(P22="Alta",T22="Moderado"),AND(P22="Alta",T22="Mayor"),AND(P22="Muy Alta",T22="Leve"),AND(P22="Muy Alta",T22="Menor"),AND(P22="Muy Alta",T22="Moderado"),AND(P22="Muy Alta",T22="Mayor")),"Alto",IF(OR(AND(P22="Muy Baja",T22="Catastrófico"),AND(P22="Baja",T22="Catastrófico"),AND(P22="Media",T22="Catastrófico"),AND(P22="Alta",T22="Catastrófico"),AND(P22="Muy Alta",T22="Catastrófico")),"Extremo",""))))</f>
        <v>Alto</v>
      </c>
      <c r="W22" s="233">
        <v>1</v>
      </c>
      <c r="X22" s="208" t="s">
        <v>501</v>
      </c>
      <c r="Y22" s="230" t="str">
        <f t="shared" si="9"/>
        <v>Probabilidad</v>
      </c>
      <c r="Z22" s="185" t="s">
        <v>208</v>
      </c>
      <c r="AA22" s="185" t="s">
        <v>216</v>
      </c>
      <c r="AB22" s="186" t="str">
        <f t="shared" si="1"/>
        <v>40%</v>
      </c>
      <c r="AC22" s="185" t="s">
        <v>222</v>
      </c>
      <c r="AD22" s="185" t="s">
        <v>224</v>
      </c>
      <c r="AE22" s="185" t="s">
        <v>228</v>
      </c>
      <c r="AF22" s="187">
        <f>IFERROR(IF(Y22="Probabilidad",(Q22-(+Q22*AB22)),IF(Y22="Impacto",Q22,"")),"")</f>
        <v>0.12</v>
      </c>
      <c r="AG22" s="188" t="str">
        <f t="shared" si="10"/>
        <v>Muy Baja</v>
      </c>
      <c r="AH22" s="186">
        <f t="shared" si="11"/>
        <v>0.12</v>
      </c>
      <c r="AI22" s="188" t="str">
        <f t="shared" ca="1" si="12"/>
        <v>Mayor</v>
      </c>
      <c r="AJ22" s="186">
        <f t="shared" ref="AJ22" ca="1" si="27">IFERROR(IF(Y22="Impacto",(U22-(+U22*AB22)),IF(Y22="Probabilidad",U22,"")),"")</f>
        <v>0.8</v>
      </c>
      <c r="AK22" s="189" t="str">
        <f t="shared" ca="1" si="14"/>
        <v>Alto</v>
      </c>
      <c r="AL22" s="185" t="s">
        <v>262</v>
      </c>
      <c r="AM22" s="333" t="s">
        <v>504</v>
      </c>
      <c r="AN22" s="333" t="s">
        <v>505</v>
      </c>
      <c r="AO22" s="353" t="s">
        <v>506</v>
      </c>
      <c r="AP22" s="353" t="s">
        <v>506</v>
      </c>
      <c r="AQ22" s="333" t="s">
        <v>507</v>
      </c>
      <c r="AR22" s="354" t="s">
        <v>259</v>
      </c>
      <c r="AS22" s="190"/>
      <c r="AT22" s="190"/>
      <c r="AU22" s="190"/>
      <c r="AV22" s="190"/>
      <c r="AW22" s="190"/>
      <c r="AX22" s="190"/>
      <c r="AY22" s="190"/>
      <c r="AZ22" s="190"/>
      <c r="BA22" s="190"/>
      <c r="BB22" s="190"/>
      <c r="BC22" s="190"/>
      <c r="BD22" s="190"/>
      <c r="BE22" s="190"/>
      <c r="BF22" s="190"/>
      <c r="BG22" s="190"/>
      <c r="BH22" s="190"/>
      <c r="BI22" s="190"/>
      <c r="BJ22" s="190"/>
      <c r="BK22" s="190"/>
      <c r="BL22" s="190"/>
      <c r="BM22" s="190"/>
      <c r="BN22" s="190"/>
      <c r="BO22" s="190"/>
      <c r="BP22" s="190"/>
      <c r="BQ22" s="190"/>
      <c r="BR22" s="190"/>
      <c r="BS22" s="190"/>
      <c r="BT22" s="190"/>
      <c r="BU22" s="190"/>
      <c r="BV22" s="190"/>
      <c r="BW22" s="190"/>
      <c r="BX22" s="190"/>
    </row>
    <row r="23" spans="1:76" s="191" customFormat="1" ht="165.75" customHeight="1" thickTop="1" thickBot="1" x14ac:dyDescent="0.3">
      <c r="A23" s="328"/>
      <c r="B23" s="345"/>
      <c r="C23" s="333"/>
      <c r="D23" s="333"/>
      <c r="E23" s="333"/>
      <c r="F23" s="351"/>
      <c r="G23" s="351"/>
      <c r="H23" s="350"/>
      <c r="I23" s="338"/>
      <c r="J23" s="338"/>
      <c r="K23" s="338"/>
      <c r="L23" s="338"/>
      <c r="M23" s="333"/>
      <c r="N23" s="333"/>
      <c r="O23" s="339"/>
      <c r="P23" s="340"/>
      <c r="Q23" s="341"/>
      <c r="R23" s="341"/>
      <c r="S23" s="341">
        <f ca="1">IF(NOT(ISERROR(MATCH(R23,_xlfn.ANCHORARRAY(I27),0))),#REF!&amp;"Por favor no seleccionar los criterios de impacto",R23)</f>
        <v>0</v>
      </c>
      <c r="T23" s="340"/>
      <c r="U23" s="341"/>
      <c r="V23" s="327"/>
      <c r="W23" s="233">
        <v>2</v>
      </c>
      <c r="X23" s="208" t="s">
        <v>502</v>
      </c>
      <c r="Y23" s="230" t="str">
        <f t="shared" ref="Y23:Y42" si="28">IF(OR(Z23="Preventivo",Z23="Detectivo"),"Probabilidad",IF(Z23="Correctivo","Impacto",""))</f>
        <v>Probabilidad</v>
      </c>
      <c r="Z23" s="185" t="s">
        <v>208</v>
      </c>
      <c r="AA23" s="185" t="s">
        <v>216</v>
      </c>
      <c r="AB23" s="186" t="str">
        <f t="shared" si="1"/>
        <v>40%</v>
      </c>
      <c r="AC23" s="185" t="s">
        <v>222</v>
      </c>
      <c r="AD23" s="185" t="s">
        <v>224</v>
      </c>
      <c r="AE23" s="185" t="s">
        <v>228</v>
      </c>
      <c r="AF23" s="187">
        <f>IFERROR(IF(AND(Y22="Probabilidad",Y23="Probabilidad"),(AH22-(+AH22*AB23)),IF(Y23="Probabilidad",(Q22-(+Q22*AB23)),IF(Y23="Impacto",AH22,""))),"")</f>
        <v>7.1999999999999995E-2</v>
      </c>
      <c r="AG23" s="188" t="str">
        <f t="shared" ref="AG23:AG42" si="29">IFERROR(IF(AF23="","",IF(AF23&lt;=0.2,"Muy Baja",IF(AF23&lt;=0.4,"Baja",IF(AF23&lt;=0.6,"Media",IF(AF23&lt;=0.8,"Alta","Muy Alta"))))),"")</f>
        <v>Muy Baja</v>
      </c>
      <c r="AH23" s="186">
        <f t="shared" ref="AH23:AH42" si="30">+AF23</f>
        <v>7.1999999999999995E-2</v>
      </c>
      <c r="AI23" s="188" t="str">
        <f t="shared" ref="AI23:AI42" ca="1" si="31">IFERROR(IF(AJ23="","",IF(AJ23&lt;=0.2,"Leve",IF(AJ23&lt;=0.4,"Menor",IF(AJ23&lt;=0.6,"Moderado",IF(AJ23&lt;=0.8,"Mayor","Catastrófico"))))),"")</f>
        <v>Mayor</v>
      </c>
      <c r="AJ23" s="186">
        <f t="shared" ref="AJ23" ca="1" si="32">IFERROR(IF(AND(Y22="Impacto",Y23="Impacto"),(AJ22-(+AJ22*AB23)),IF(Y23="Impacto",(U22-(+U22*AB23)),IF(Y23="Probabilidad",AJ22,""))),"")</f>
        <v>0.8</v>
      </c>
      <c r="AK23" s="189" t="str">
        <f t="shared" ref="AK23:AK42" ca="1" si="33">IFERROR(IF(OR(AND(AG23="Muy Baja",AI23="Leve"),AND(AG23="Muy Baja",AI23="Menor"),AND(AG23="Baja",AI23="Leve")),"Bajo",IF(OR(AND(AG23="Muy baja",AI23="Moderado"),AND(AG23="Baja",AI23="Menor"),AND(AG23="Baja",AI23="Moderado"),AND(AG23="Media",AI23="Leve"),AND(AG23="Media",AI23="Menor"),AND(AG23="Media",AI23="Moderado"),AND(AG23="Alta",AI23="Leve"),AND(AG23="Alta",AI23="Menor")),"Moderado",IF(OR(AND(AG23="Muy Baja",AI23="Mayor"),AND(AG23="Baja",AI23="Mayor"),AND(AG23="Media",AI23="Mayor"),AND(AG23="Alta",AI23="Moderado"),AND(AG23="Alta",AI23="Mayor"),AND(AG23="Muy Alta",AI23="Leve"),AND(AG23="Muy Alta",AI23="Menor"),AND(AG23="Muy Alta",AI23="Moderado"),AND(AG23="Muy Alta",AI23="Mayor")),"Alto",IF(OR(AND(AG23="Muy Baja",AI23="Catastrófico"),AND(AG23="Baja",AI23="Catastrófico"),AND(AG23="Media",AI23="Catastrófico"),AND(AG23="Alta",AI23="Catastrófico"),AND(AG23="Muy Alta",AI23="Catastrófico")),"Extremo","")))),"")</f>
        <v>Alto</v>
      </c>
      <c r="AL23" s="185" t="s">
        <v>262</v>
      </c>
      <c r="AM23" s="333"/>
      <c r="AN23" s="333"/>
      <c r="AO23" s="353"/>
      <c r="AP23" s="353"/>
      <c r="AQ23" s="333"/>
      <c r="AR23" s="354"/>
      <c r="AS23" s="190"/>
      <c r="AT23" s="190"/>
      <c r="AU23" s="190"/>
      <c r="AV23" s="190"/>
      <c r="AW23" s="190"/>
      <c r="AX23" s="190"/>
      <c r="AY23" s="190"/>
      <c r="AZ23" s="190"/>
      <c r="BA23" s="190"/>
      <c r="BB23" s="190"/>
      <c r="BC23" s="190"/>
      <c r="BD23" s="190"/>
      <c r="BE23" s="190"/>
      <c r="BF23" s="190"/>
      <c r="BG23" s="190"/>
      <c r="BH23" s="190"/>
      <c r="BI23" s="190"/>
      <c r="BJ23" s="190"/>
      <c r="BK23" s="190"/>
      <c r="BL23" s="190"/>
      <c r="BM23" s="190"/>
      <c r="BN23" s="190"/>
      <c r="BO23" s="190"/>
      <c r="BP23" s="190"/>
      <c r="BQ23" s="190"/>
      <c r="BR23" s="190"/>
      <c r="BS23" s="190"/>
      <c r="BT23" s="190"/>
      <c r="BU23" s="190"/>
      <c r="BV23" s="190"/>
      <c r="BW23" s="190"/>
      <c r="BX23" s="190"/>
    </row>
    <row r="24" spans="1:76" s="191" customFormat="1" ht="147" customHeight="1" thickTop="1" thickBot="1" x14ac:dyDescent="0.3">
      <c r="A24" s="328"/>
      <c r="B24" s="345"/>
      <c r="C24" s="333"/>
      <c r="D24" s="333"/>
      <c r="E24" s="333"/>
      <c r="F24" s="351"/>
      <c r="G24" s="351"/>
      <c r="H24" s="350"/>
      <c r="I24" s="338"/>
      <c r="J24" s="338"/>
      <c r="K24" s="338"/>
      <c r="L24" s="338"/>
      <c r="M24" s="333"/>
      <c r="N24" s="333"/>
      <c r="O24" s="339"/>
      <c r="P24" s="340"/>
      <c r="Q24" s="341"/>
      <c r="R24" s="341"/>
      <c r="S24" s="341">
        <f ca="1">IF(NOT(ISERROR(MATCH(R24,_xlfn.ANCHORARRAY(I28),0))),#REF!&amp;"Por favor no seleccionar los criterios de impacto",R24)</f>
        <v>0</v>
      </c>
      <c r="T24" s="340"/>
      <c r="U24" s="341"/>
      <c r="V24" s="327"/>
      <c r="W24" s="233">
        <v>3</v>
      </c>
      <c r="X24" s="208" t="s">
        <v>503</v>
      </c>
      <c r="Y24" s="230" t="str">
        <f t="shared" si="28"/>
        <v>Probabilidad</v>
      </c>
      <c r="Z24" s="185" t="s">
        <v>208</v>
      </c>
      <c r="AA24" s="185" t="s">
        <v>216</v>
      </c>
      <c r="AB24" s="186" t="str">
        <f t="shared" si="1"/>
        <v>40%</v>
      </c>
      <c r="AC24" s="185" t="s">
        <v>222</v>
      </c>
      <c r="AD24" s="185" t="s">
        <v>224</v>
      </c>
      <c r="AE24" s="185" t="s">
        <v>228</v>
      </c>
      <c r="AF24" s="187">
        <f t="shared" ref="AF24" si="34">IFERROR(IF(AND(Y23="Probabilidad",Y24="Probabilidad"),(AH23-(+AH23*AB24)),IF(Y24="Probabilidad",(Q23-(+Q23*AB24)),IF(Y24="Impacto",AH23,""))),"")</f>
        <v>4.3199999999999995E-2</v>
      </c>
      <c r="AG24" s="188" t="str">
        <f t="shared" si="29"/>
        <v>Muy Baja</v>
      </c>
      <c r="AH24" s="186">
        <f t="shared" si="30"/>
        <v>4.3199999999999995E-2</v>
      </c>
      <c r="AI24" s="188" t="str">
        <f t="shared" ca="1" si="31"/>
        <v>Mayor</v>
      </c>
      <c r="AJ24" s="186">
        <f t="shared" ref="AJ24" ca="1" si="35">IFERROR(IF(AND(Y23="Impacto",Y24="Impacto"),(AJ23-(+AJ23*AB24)),IF(AND(Y23="Probabilidad",Y24="Impacto"),(AJ22-(+AJ22*AB24)),IF(Y24="Probabilidad",AJ23,""))),"")</f>
        <v>0.8</v>
      </c>
      <c r="AK24" s="189" t="str">
        <f t="shared" ca="1" si="33"/>
        <v>Alto</v>
      </c>
      <c r="AL24" s="185" t="s">
        <v>262</v>
      </c>
      <c r="AM24" s="333"/>
      <c r="AN24" s="333"/>
      <c r="AO24" s="353"/>
      <c r="AP24" s="353"/>
      <c r="AQ24" s="333"/>
      <c r="AR24" s="354"/>
      <c r="AS24" s="190"/>
      <c r="AT24" s="190"/>
      <c r="AU24" s="190"/>
      <c r="AV24" s="190"/>
      <c r="AW24" s="190"/>
      <c r="AX24" s="190"/>
      <c r="AY24" s="190"/>
      <c r="AZ24" s="190"/>
      <c r="BA24" s="190"/>
      <c r="BB24" s="190"/>
      <c r="BC24" s="190"/>
      <c r="BD24" s="190"/>
      <c r="BE24" s="190"/>
      <c r="BF24" s="190"/>
      <c r="BG24" s="190"/>
      <c r="BH24" s="190"/>
      <c r="BI24" s="190"/>
      <c r="BJ24" s="190"/>
      <c r="BK24" s="190"/>
      <c r="BL24" s="190"/>
      <c r="BM24" s="190"/>
      <c r="BN24" s="190"/>
      <c r="BO24" s="190"/>
      <c r="BP24" s="190"/>
      <c r="BQ24" s="190"/>
      <c r="BR24" s="190"/>
      <c r="BS24" s="190"/>
      <c r="BT24" s="190"/>
      <c r="BU24" s="190"/>
      <c r="BV24" s="190"/>
      <c r="BW24" s="190"/>
      <c r="BX24" s="190"/>
    </row>
    <row r="25" spans="1:76" s="191" customFormat="1" ht="244.5" customHeight="1" thickTop="1" thickBot="1" x14ac:dyDescent="0.3">
      <c r="A25" s="328">
        <v>6</v>
      </c>
      <c r="B25" s="345" t="s">
        <v>508</v>
      </c>
      <c r="C25" s="333" t="s">
        <v>266</v>
      </c>
      <c r="D25" s="333" t="s">
        <v>509</v>
      </c>
      <c r="E25" s="333" t="s">
        <v>240</v>
      </c>
      <c r="F25" s="351" t="s">
        <v>510</v>
      </c>
      <c r="G25" s="351" t="s">
        <v>511</v>
      </c>
      <c r="H25" s="350" t="s">
        <v>1114</v>
      </c>
      <c r="I25" s="338" t="s">
        <v>474</v>
      </c>
      <c r="J25" s="338" t="s">
        <v>474</v>
      </c>
      <c r="K25" s="338" t="s">
        <v>474</v>
      </c>
      <c r="L25" s="338" t="s">
        <v>474</v>
      </c>
      <c r="M25" s="333" t="s">
        <v>239</v>
      </c>
      <c r="N25" s="333"/>
      <c r="O25" s="339">
        <v>365</v>
      </c>
      <c r="P25" s="340" t="str">
        <f>IF(O25&lt;=0,"",IF(O25&lt;=2,"Muy Baja",IF(O25&lt;=24,"Baja",IF(O25&lt;=500,"Media",IF(O25&lt;=5000,"Alta","Muy Alta")))))</f>
        <v>Media</v>
      </c>
      <c r="Q25" s="341">
        <f>IF(P25="","",IF(P25="Muy Baja",0.2,IF(P25="Baja",0.4,IF(P25="Media",0.6,IF(P25="Alta",0.8,IF(P25="Muy Alta",1,))))))</f>
        <v>0.6</v>
      </c>
      <c r="R25" s="341" t="s">
        <v>190</v>
      </c>
      <c r="S25" s="341" t="str">
        <f ca="1">IF(NOT(ISERROR(MATCH(R25,'Tabla Impacto'!$B$221:$B$223,0))),'Tabla Impacto'!$F$223&amp;"Por favor no seleccionar los criterios de impacto(Afectación Económica o presupuestal y Pérdida Reputacional)",R25)</f>
        <v>El riesgo afecta la imagen de la entidad con algunos usuarios de relevancia frente al logro de los objetivos</v>
      </c>
      <c r="T25" s="340" t="str">
        <f ca="1">+IF(OR(S25='[1]Tabla Impacto'!$C$11,S25='[1]Tabla Impacto'!$D$11),"Leve",IF(OR(S25='[1]Tabla Impacto'!$C$12,S25='[1]Tabla Impacto'!$D$12),"Menor",IF(OR(S25='[1]Tabla Impacto'!$C$13,S25='[1]Tabla Impacto'!$D$13),"Moderado",IF(OR(S25='[1]Tabla Impacto'!$C$14,S25='[1]Tabla Impacto'!$D$14),"Mayor",IF(OR(S25='[1]Tabla Impacto'!$C$15,S25='[1]Tabla Impacto'!$D$15),"Catastrófico","")))))</f>
        <v>Moderado</v>
      </c>
      <c r="U25" s="341">
        <f t="shared" ref="U25" ca="1" si="36">IF(T25="","",IF(T25="Leve",0.2,IF(T25="Menor",0.4,IF(T25="Moderado",0.6,IF(T25="Mayor",0.8,IF(T25="Catastrófico",1,))))))</f>
        <v>0.6</v>
      </c>
      <c r="V25" s="327" t="str">
        <f t="shared" ref="V25" ca="1" si="37">IF(OR(AND(P25="Muy Baja",T25="Leve"),AND(P25="Muy Baja",T25="Menor"),AND(P25="Baja",T25="Leve")),"Bajo",IF(OR(AND(P25="Muy baja",T25="Moderado"),AND(P25="Baja",T25="Menor"),AND(P25="Baja",T25="Moderado"),AND(P25="Media",T25="Leve"),AND(P25="Media",T25="Menor"),AND(P25="Media",T25="Moderado"),AND(P25="Alta",T25="Leve"),AND(P25="Alta",T25="Menor")),"Moderado",IF(OR(AND(P25="Muy Baja",T25="Mayor"),AND(P25="Baja",T25="Mayor"),AND(P25="Media",T25="Mayor"),AND(P25="Alta",T25="Moderado"),AND(P25="Alta",T25="Mayor"),AND(P25="Muy Alta",T25="Leve"),AND(P25="Muy Alta",T25="Menor"),AND(P25="Muy Alta",T25="Moderado"),AND(P25="Muy Alta",T25="Mayor")),"Alto",IF(OR(AND(P25="Muy Baja",T25="Catastrófico"),AND(P25="Baja",T25="Catastrófico"),AND(P25="Media",T25="Catastrófico"),AND(P25="Alta",T25="Catastrófico"),AND(P25="Muy Alta",T25="Catastrófico")),"Extremo",""))))</f>
        <v>Moderado</v>
      </c>
      <c r="W25" s="233">
        <v>1</v>
      </c>
      <c r="X25" s="207" t="s">
        <v>512</v>
      </c>
      <c r="Y25" s="230" t="str">
        <f t="shared" si="28"/>
        <v>Probabilidad</v>
      </c>
      <c r="Z25" s="185" t="s">
        <v>208</v>
      </c>
      <c r="AA25" s="185" t="s">
        <v>216</v>
      </c>
      <c r="AB25" s="186" t="str">
        <f t="shared" si="1"/>
        <v>40%</v>
      </c>
      <c r="AC25" s="185" t="s">
        <v>219</v>
      </c>
      <c r="AD25" s="185" t="s">
        <v>224</v>
      </c>
      <c r="AE25" s="185" t="s">
        <v>228</v>
      </c>
      <c r="AF25" s="187">
        <f t="shared" ref="AF25" si="38">IFERROR(IF(Y25="Probabilidad",(Q25-(+Q25*AB25)),IF(Y25="Impacto",Q25,"")),"")</f>
        <v>0.36</v>
      </c>
      <c r="AG25" s="188" t="str">
        <f t="shared" si="29"/>
        <v>Baja</v>
      </c>
      <c r="AH25" s="186">
        <f t="shared" si="30"/>
        <v>0.36</v>
      </c>
      <c r="AI25" s="188" t="str">
        <f t="shared" ca="1" si="31"/>
        <v>Moderado</v>
      </c>
      <c r="AJ25" s="186">
        <f t="shared" ref="AJ25" ca="1" si="39">IFERROR(IF(Y25="Impacto",(U25-(+U25*AB25)),IF(Y25="Probabilidad",U25,"")),"")</f>
        <v>0.6</v>
      </c>
      <c r="AK25" s="189" t="str">
        <f t="shared" ca="1" si="33"/>
        <v>Moderado</v>
      </c>
      <c r="AL25" s="185" t="s">
        <v>255</v>
      </c>
      <c r="AM25" s="227"/>
      <c r="AN25" s="230"/>
      <c r="AO25" s="228"/>
      <c r="AP25" s="228"/>
      <c r="AQ25" s="227"/>
      <c r="AR25" s="229"/>
      <c r="AS25" s="190"/>
      <c r="AT25" s="190"/>
      <c r="AU25" s="190"/>
      <c r="AV25" s="190"/>
      <c r="AW25" s="190"/>
      <c r="AX25" s="190"/>
      <c r="AY25" s="190"/>
      <c r="AZ25" s="190"/>
      <c r="BA25" s="190"/>
      <c r="BB25" s="190"/>
      <c r="BC25" s="190"/>
      <c r="BD25" s="190"/>
      <c r="BE25" s="190"/>
      <c r="BF25" s="190"/>
      <c r="BG25" s="190"/>
      <c r="BH25" s="190"/>
      <c r="BI25" s="190"/>
      <c r="BJ25" s="190"/>
      <c r="BK25" s="190"/>
      <c r="BL25" s="190"/>
      <c r="BM25" s="190"/>
      <c r="BN25" s="190"/>
      <c r="BO25" s="190"/>
      <c r="BP25" s="190"/>
      <c r="BQ25" s="190"/>
      <c r="BR25" s="190"/>
      <c r="BS25" s="190"/>
      <c r="BT25" s="190"/>
      <c r="BU25" s="190"/>
      <c r="BV25" s="190"/>
      <c r="BW25" s="190"/>
      <c r="BX25" s="190"/>
    </row>
    <row r="26" spans="1:76" s="191" customFormat="1" ht="244.5" customHeight="1" thickTop="1" thickBot="1" x14ac:dyDescent="0.3">
      <c r="A26" s="328"/>
      <c r="B26" s="345"/>
      <c r="C26" s="333"/>
      <c r="D26" s="333"/>
      <c r="E26" s="333"/>
      <c r="F26" s="351"/>
      <c r="G26" s="351"/>
      <c r="H26" s="350"/>
      <c r="I26" s="338"/>
      <c r="J26" s="338"/>
      <c r="K26" s="338"/>
      <c r="L26" s="338"/>
      <c r="M26" s="333"/>
      <c r="N26" s="333"/>
      <c r="O26" s="339"/>
      <c r="P26" s="340"/>
      <c r="Q26" s="341"/>
      <c r="R26" s="341"/>
      <c r="S26" s="341">
        <f ca="1">IF(NOT(ISERROR(MATCH(R26,_xlfn.ANCHORARRAY(H29),0))),Q31&amp;"Por favor no seleccionar los criterios de impacto",R26)</f>
        <v>0</v>
      </c>
      <c r="T26" s="340"/>
      <c r="U26" s="341"/>
      <c r="V26" s="327"/>
      <c r="W26" s="233">
        <v>2</v>
      </c>
      <c r="X26" s="207" t="s">
        <v>513</v>
      </c>
      <c r="Y26" s="230" t="str">
        <f t="shared" si="28"/>
        <v>Probabilidad</v>
      </c>
      <c r="Z26" s="185" t="s">
        <v>208</v>
      </c>
      <c r="AA26" s="185" t="s">
        <v>216</v>
      </c>
      <c r="AB26" s="186" t="str">
        <f t="shared" si="1"/>
        <v>40%</v>
      </c>
      <c r="AC26" s="185" t="s">
        <v>219</v>
      </c>
      <c r="AD26" s="185" t="s">
        <v>224</v>
      </c>
      <c r="AE26" s="185" t="s">
        <v>228</v>
      </c>
      <c r="AF26" s="187">
        <f t="shared" ref="AF26" si="40">IFERROR(IF(AND(Y25="Probabilidad",Y26="Probabilidad"),(AH25-(+AH25*AB26)),IF(Y26="Probabilidad",(Q25-(+Q25*AB26)),IF(Y26="Impacto",AH25,""))),"")</f>
        <v>0.216</v>
      </c>
      <c r="AG26" s="188" t="str">
        <f t="shared" si="29"/>
        <v>Baja</v>
      </c>
      <c r="AH26" s="186">
        <f t="shared" si="30"/>
        <v>0.216</v>
      </c>
      <c r="AI26" s="188" t="str">
        <f t="shared" ca="1" si="31"/>
        <v>Moderado</v>
      </c>
      <c r="AJ26" s="186">
        <f t="shared" ref="AJ26" ca="1" si="41">IFERROR(IF(AND(Y25="Impacto",Y26="Impacto"),(AJ25-(+AJ25*AB26)),IF(Y26="Impacto",(U25-(+U25*AB26)),IF(Y26="Probabilidad",AJ25,""))),"")</f>
        <v>0.6</v>
      </c>
      <c r="AK26" s="189" t="str">
        <f t="shared" ca="1" si="33"/>
        <v>Moderado</v>
      </c>
      <c r="AL26" s="185" t="s">
        <v>255</v>
      </c>
      <c r="AM26" s="227"/>
      <c r="AN26" s="230"/>
      <c r="AO26" s="228"/>
      <c r="AP26" s="228"/>
      <c r="AQ26" s="227"/>
      <c r="AR26" s="229"/>
      <c r="AS26" s="190"/>
      <c r="AT26" s="190"/>
      <c r="AU26" s="190"/>
      <c r="AV26" s="190"/>
      <c r="AW26" s="190"/>
      <c r="AX26" s="190"/>
      <c r="AY26" s="190"/>
      <c r="AZ26" s="190"/>
      <c r="BA26" s="190"/>
      <c r="BB26" s="190"/>
      <c r="BC26" s="190"/>
      <c r="BD26" s="190"/>
      <c r="BE26" s="190"/>
      <c r="BF26" s="190"/>
      <c r="BG26" s="190"/>
      <c r="BH26" s="190"/>
      <c r="BI26" s="190"/>
      <c r="BJ26" s="190"/>
      <c r="BK26" s="190"/>
      <c r="BL26" s="190"/>
      <c r="BM26" s="190"/>
      <c r="BN26" s="190"/>
      <c r="BO26" s="190"/>
      <c r="BP26" s="190"/>
      <c r="BQ26" s="190"/>
      <c r="BR26" s="190"/>
      <c r="BS26" s="190"/>
      <c r="BT26" s="190"/>
      <c r="BU26" s="190"/>
      <c r="BV26" s="190"/>
      <c r="BW26" s="190"/>
      <c r="BX26" s="190"/>
    </row>
    <row r="27" spans="1:76" s="191" customFormat="1" ht="136.5" customHeight="1" thickTop="1" thickBot="1" x14ac:dyDescent="0.3">
      <c r="A27" s="328">
        <v>7</v>
      </c>
      <c r="B27" s="345" t="s">
        <v>514</v>
      </c>
      <c r="C27" s="333" t="s">
        <v>266</v>
      </c>
      <c r="D27" s="333" t="s">
        <v>509</v>
      </c>
      <c r="E27" s="333" t="s">
        <v>240</v>
      </c>
      <c r="F27" s="333" t="s">
        <v>515</v>
      </c>
      <c r="G27" s="333" t="s">
        <v>1075</v>
      </c>
      <c r="H27" s="393" t="s">
        <v>1115</v>
      </c>
      <c r="I27" s="338" t="s">
        <v>474</v>
      </c>
      <c r="J27" s="338" t="s">
        <v>474</v>
      </c>
      <c r="K27" s="338" t="s">
        <v>474</v>
      </c>
      <c r="L27" s="338" t="s">
        <v>474</v>
      </c>
      <c r="M27" s="333" t="s">
        <v>239</v>
      </c>
      <c r="N27" s="333"/>
      <c r="O27" s="339">
        <v>365</v>
      </c>
      <c r="P27" s="340" t="str">
        <f>IF(O27&lt;=0,"",IF(O27&lt;=2,"Muy Baja",IF(O27&lt;=24,"Baja",IF(O27&lt;=500,"Media",IF(O27&lt;=5000,"Alta","Muy Alta")))))</f>
        <v>Media</v>
      </c>
      <c r="Q27" s="341">
        <f>IF(P27="","",IF(P27="Muy Baja",0.2,IF(P27="Baja",0.4,IF(P27="Media",0.6,IF(P27="Alta",0.8,IF(P27="Muy Alta",1,))))))</f>
        <v>0.6</v>
      </c>
      <c r="R27" s="341" t="s">
        <v>190</v>
      </c>
      <c r="S27" s="341" t="str">
        <f ca="1">IF(NOT(ISERROR(MATCH(R27,'Tabla Impacto'!$B$221:$B$223,0))),'Tabla Impacto'!$F$223&amp;"Por favor no seleccionar los criterios de impacto(Afectación Económica o presupuestal y Pérdida Reputacional)",R27)</f>
        <v>El riesgo afecta la imagen de la entidad con algunos usuarios de relevancia frente al logro de los objetivos</v>
      </c>
      <c r="T27" s="340" t="str">
        <f ca="1">+IF(OR(S27='[1]Tabla Impacto'!$C$11,S27='[1]Tabla Impacto'!$D$11),"Leve",IF(OR(S27='[1]Tabla Impacto'!$C$12,S27='[1]Tabla Impacto'!$D$12),"Menor",IF(OR(S27='[1]Tabla Impacto'!$C$13,S27='[1]Tabla Impacto'!$D$13),"Moderado",IF(OR(S27='[1]Tabla Impacto'!$C$14,S27='[1]Tabla Impacto'!$D$14),"Mayor",IF(OR(S27='[1]Tabla Impacto'!$C$15,S27='[1]Tabla Impacto'!$D$15),"Catastrófico","")))))</f>
        <v>Moderado</v>
      </c>
      <c r="U27" s="341">
        <f t="shared" ref="U27" ca="1" si="42">IF(T27="","",IF(T27="Leve",0.2,IF(T27="Menor",0.4,IF(T27="Moderado",0.6,IF(T27="Mayor",0.8,IF(T27="Catastrófico",1,))))))</f>
        <v>0.6</v>
      </c>
      <c r="V27" s="327" t="str">
        <f t="shared" ref="V27" ca="1" si="43">IF(OR(AND(P27="Muy Baja",T27="Leve"),AND(P27="Muy Baja",T27="Menor"),AND(P27="Baja",T27="Leve")),"Bajo",IF(OR(AND(P27="Muy baja",T27="Moderado"),AND(P27="Baja",T27="Menor"),AND(P27="Baja",T27="Moderado"),AND(P27="Media",T27="Leve"),AND(P27="Media",T27="Menor"),AND(P27="Media",T27="Moderado"),AND(P27="Alta",T27="Leve"),AND(P27="Alta",T27="Menor")),"Moderado",IF(OR(AND(P27="Muy Baja",T27="Mayor"),AND(P27="Baja",T27="Mayor"),AND(P27="Media",T27="Mayor"),AND(P27="Alta",T27="Moderado"),AND(P27="Alta",T27="Mayor"),AND(P27="Muy Alta",T27="Leve"),AND(P27="Muy Alta",T27="Menor"),AND(P27="Muy Alta",T27="Moderado"),AND(P27="Muy Alta",T27="Mayor")),"Alto",IF(OR(AND(P27="Muy Baja",T27="Catastrófico"),AND(P27="Baja",T27="Catastrófico"),AND(P27="Media",T27="Catastrófico"),AND(P27="Alta",T27="Catastrófico"),AND(P27="Muy Alta",T27="Catastrófico")),"Extremo",""))))</f>
        <v>Moderado</v>
      </c>
      <c r="W27" s="233">
        <v>1</v>
      </c>
      <c r="X27" s="207" t="s">
        <v>516</v>
      </c>
      <c r="Y27" s="230" t="str">
        <f t="shared" si="28"/>
        <v>Probabilidad</v>
      </c>
      <c r="Z27" s="185" t="s">
        <v>208</v>
      </c>
      <c r="AA27" s="185" t="s">
        <v>216</v>
      </c>
      <c r="AB27" s="186" t="str">
        <f t="shared" si="1"/>
        <v>40%</v>
      </c>
      <c r="AC27" s="185" t="s">
        <v>219</v>
      </c>
      <c r="AD27" s="185" t="s">
        <v>224</v>
      </c>
      <c r="AE27" s="185" t="s">
        <v>228</v>
      </c>
      <c r="AF27" s="187">
        <f t="shared" ref="AF27" si="44">IFERROR(IF(Y27="Probabilidad",(Q27-(+Q27*AB27)),IF(Y27="Impacto",Q27,"")),"")</f>
        <v>0.36</v>
      </c>
      <c r="AG27" s="188" t="str">
        <f t="shared" si="29"/>
        <v>Baja</v>
      </c>
      <c r="AH27" s="186">
        <f t="shared" si="30"/>
        <v>0.36</v>
      </c>
      <c r="AI27" s="188" t="str">
        <f t="shared" ca="1" si="31"/>
        <v>Moderado</v>
      </c>
      <c r="AJ27" s="186">
        <f t="shared" ref="AJ27" ca="1" si="45">IFERROR(IF(Y27="Impacto",(U27-(+U27*AB27)),IF(Y27="Probabilidad",U27,"")),"")</f>
        <v>0.6</v>
      </c>
      <c r="AK27" s="189" t="str">
        <f t="shared" ca="1" si="33"/>
        <v>Moderado</v>
      </c>
      <c r="AL27" s="185" t="s">
        <v>255</v>
      </c>
      <c r="AM27" s="227"/>
      <c r="AN27" s="230"/>
      <c r="AO27" s="228"/>
      <c r="AP27" s="228"/>
      <c r="AQ27" s="227"/>
      <c r="AR27" s="229"/>
      <c r="AS27" s="190"/>
      <c r="AT27" s="190"/>
      <c r="AU27" s="190"/>
      <c r="AV27" s="190"/>
      <c r="AW27" s="190"/>
      <c r="AX27" s="190"/>
      <c r="AY27" s="190"/>
      <c r="AZ27" s="190"/>
      <c r="BA27" s="190"/>
      <c r="BB27" s="190"/>
      <c r="BC27" s="190"/>
      <c r="BD27" s="190"/>
      <c r="BE27" s="190"/>
      <c r="BF27" s="190"/>
      <c r="BG27" s="190"/>
      <c r="BH27" s="190"/>
      <c r="BI27" s="190"/>
      <c r="BJ27" s="190"/>
      <c r="BK27" s="190"/>
      <c r="BL27" s="190"/>
      <c r="BM27" s="190"/>
      <c r="BN27" s="190"/>
      <c r="BO27" s="190"/>
      <c r="BP27" s="190"/>
      <c r="BQ27" s="190"/>
      <c r="BR27" s="190"/>
      <c r="BS27" s="190"/>
      <c r="BT27" s="190"/>
      <c r="BU27" s="190"/>
      <c r="BV27" s="190"/>
      <c r="BW27" s="190"/>
      <c r="BX27" s="190"/>
    </row>
    <row r="28" spans="1:76" s="191" customFormat="1" ht="136.5" customHeight="1" thickTop="1" thickBot="1" x14ac:dyDescent="0.3">
      <c r="A28" s="328"/>
      <c r="B28" s="345"/>
      <c r="C28" s="333"/>
      <c r="D28" s="333"/>
      <c r="E28" s="333"/>
      <c r="F28" s="333"/>
      <c r="G28" s="333"/>
      <c r="H28" s="393"/>
      <c r="I28" s="338"/>
      <c r="J28" s="338"/>
      <c r="K28" s="338"/>
      <c r="L28" s="338"/>
      <c r="M28" s="333"/>
      <c r="N28" s="333"/>
      <c r="O28" s="339"/>
      <c r="P28" s="340"/>
      <c r="Q28" s="341"/>
      <c r="R28" s="341"/>
      <c r="S28" s="341">
        <f ca="1">IF(NOT(ISERROR(MATCH(R28,_xlfn.ANCHORARRAY(H33),0))),Q35&amp;"Por favor no seleccionar los criterios de impacto",R28)</f>
        <v>0</v>
      </c>
      <c r="T28" s="340"/>
      <c r="U28" s="341"/>
      <c r="V28" s="327"/>
      <c r="W28" s="233">
        <v>2</v>
      </c>
      <c r="X28" s="207" t="s">
        <v>517</v>
      </c>
      <c r="Y28" s="230" t="str">
        <f t="shared" si="28"/>
        <v>Probabilidad</v>
      </c>
      <c r="Z28" s="185" t="s">
        <v>208</v>
      </c>
      <c r="AA28" s="185" t="s">
        <v>216</v>
      </c>
      <c r="AB28" s="186" t="str">
        <f t="shared" si="1"/>
        <v>40%</v>
      </c>
      <c r="AC28" s="185" t="s">
        <v>219</v>
      </c>
      <c r="AD28" s="185" t="s">
        <v>224</v>
      </c>
      <c r="AE28" s="185" t="s">
        <v>228</v>
      </c>
      <c r="AF28" s="187">
        <f t="shared" ref="AF28" si="46">IFERROR(IF(AND(Y27="Probabilidad",Y28="Probabilidad"),(AH27-(+AH27*AB28)),IF(Y28="Probabilidad",(Q27-(+Q27*AB28)),IF(Y28="Impacto",AH27,""))),"")</f>
        <v>0.216</v>
      </c>
      <c r="AG28" s="188" t="str">
        <f t="shared" si="29"/>
        <v>Baja</v>
      </c>
      <c r="AH28" s="186">
        <f t="shared" si="30"/>
        <v>0.216</v>
      </c>
      <c r="AI28" s="188" t="str">
        <f t="shared" ca="1" si="31"/>
        <v>Moderado</v>
      </c>
      <c r="AJ28" s="186">
        <f t="shared" ref="AJ28" ca="1" si="47">IFERROR(IF(AND(Y27="Impacto",Y28="Impacto"),(AJ27-(+AJ27*AB28)),IF(Y28="Impacto",(U27-(+U27*AB28)),IF(Y28="Probabilidad",AJ27,""))),"")</f>
        <v>0.6</v>
      </c>
      <c r="AK28" s="189" t="str">
        <f t="shared" ca="1" si="33"/>
        <v>Moderado</v>
      </c>
      <c r="AL28" s="185" t="s">
        <v>255</v>
      </c>
      <c r="AM28" s="227"/>
      <c r="AN28" s="230"/>
      <c r="AO28" s="228"/>
      <c r="AP28" s="228"/>
      <c r="AQ28" s="227"/>
      <c r="AR28" s="229"/>
      <c r="AS28" s="190"/>
      <c r="AT28" s="190"/>
      <c r="AU28" s="190"/>
      <c r="AV28" s="190"/>
      <c r="AW28" s="190"/>
      <c r="AX28" s="190"/>
      <c r="AY28" s="190"/>
      <c r="AZ28" s="190"/>
      <c r="BA28" s="190"/>
      <c r="BB28" s="190"/>
      <c r="BC28" s="190"/>
      <c r="BD28" s="190"/>
      <c r="BE28" s="190"/>
      <c r="BF28" s="190"/>
      <c r="BG28" s="190"/>
      <c r="BH28" s="190"/>
      <c r="BI28" s="190"/>
      <c r="BJ28" s="190"/>
      <c r="BK28" s="190"/>
      <c r="BL28" s="190"/>
      <c r="BM28" s="190"/>
      <c r="BN28" s="190"/>
      <c r="BO28" s="190"/>
      <c r="BP28" s="190"/>
      <c r="BQ28" s="190"/>
      <c r="BR28" s="190"/>
      <c r="BS28" s="190"/>
      <c r="BT28" s="190"/>
      <c r="BU28" s="190"/>
      <c r="BV28" s="190"/>
      <c r="BW28" s="190"/>
      <c r="BX28" s="190"/>
    </row>
    <row r="29" spans="1:76" s="191" customFormat="1" ht="147" customHeight="1" thickTop="1" thickBot="1" x14ac:dyDescent="0.3">
      <c r="A29" s="328">
        <v>8</v>
      </c>
      <c r="B29" s="345" t="s">
        <v>518</v>
      </c>
      <c r="C29" s="333" t="s">
        <v>267</v>
      </c>
      <c r="D29" s="333" t="s">
        <v>1202</v>
      </c>
      <c r="E29" s="333" t="s">
        <v>240</v>
      </c>
      <c r="F29" s="351" t="s">
        <v>958</v>
      </c>
      <c r="G29" s="351" t="s">
        <v>519</v>
      </c>
      <c r="H29" s="350" t="s">
        <v>1116</v>
      </c>
      <c r="I29" s="338" t="s">
        <v>474</v>
      </c>
      <c r="J29" s="338" t="s">
        <v>474</v>
      </c>
      <c r="K29" s="338" t="s">
        <v>474</v>
      </c>
      <c r="L29" s="338" t="s">
        <v>474</v>
      </c>
      <c r="M29" s="333" t="s">
        <v>249</v>
      </c>
      <c r="N29" s="333" t="s">
        <v>520</v>
      </c>
      <c r="O29" s="339">
        <v>8640</v>
      </c>
      <c r="P29" s="340" t="str">
        <f>IF(O29&lt;=0,"",IF(O29&lt;=2,"Muy Baja",IF(O29&lt;=24,"Baja",IF(O29&lt;=500,"Media",IF(O29&lt;=5000,"Alta","Muy Alta")))))</f>
        <v>Muy Alta</v>
      </c>
      <c r="Q29" s="341">
        <f>IF(P29="","",IF(P29="Muy Baja",0.2,IF(P29="Baja",0.4,IF(P29="Media",0.6,IF(P29="Alta",0.8,IF(P29="Muy Alta",1,))))))</f>
        <v>1</v>
      </c>
      <c r="R29" s="341" t="s">
        <v>190</v>
      </c>
      <c r="S29" s="341" t="str">
        <f ca="1">IF(NOT(ISERROR(MATCH(R29,'Tabla Impacto'!$B$221:$B$223,0))),'Tabla Impacto'!$F$223&amp;"Por favor no seleccionar los criterios de impacto(Afectación Económica o presupuestal y Pérdida Reputacional)",R29)</f>
        <v>El riesgo afecta la imagen de la entidad con algunos usuarios de relevancia frente al logro de los objetivos</v>
      </c>
      <c r="T29" s="340" t="str">
        <f ca="1">+IF(OR(S29='[1]Tabla Impacto'!$C$11,S29='[1]Tabla Impacto'!$D$11),"Leve",IF(OR(S29='[1]Tabla Impacto'!$C$12,S29='[1]Tabla Impacto'!$D$12),"Menor",IF(OR(S29='[1]Tabla Impacto'!$C$13,S29='[1]Tabla Impacto'!$D$13),"Moderado",IF(OR(S29='[1]Tabla Impacto'!$C$14,S29='[1]Tabla Impacto'!$D$14),"Mayor",IF(OR(S29='[1]Tabla Impacto'!$C$15,S29='[1]Tabla Impacto'!$D$15),"Catastrófico","")))))</f>
        <v>Moderado</v>
      </c>
      <c r="U29" s="341">
        <f t="shared" ref="U29" ca="1" si="48">IF(T29="","",IF(T29="Leve",0.2,IF(T29="Menor",0.4,IF(T29="Moderado",0.6,IF(T29="Mayor",0.8,IF(T29="Catastrófico",1,))))))</f>
        <v>0.6</v>
      </c>
      <c r="V29" s="327" t="str">
        <f t="shared" ref="V29" ca="1" si="49">IF(OR(AND(P29="Muy Baja",T29="Leve"),AND(P29="Muy Baja",T29="Menor"),AND(P29="Baja",T29="Leve")),"Bajo",IF(OR(AND(P29="Muy baja",T29="Moderado"),AND(P29="Baja",T29="Menor"),AND(P29="Baja",T29="Moderado"),AND(P29="Media",T29="Leve"),AND(P29="Media",T29="Menor"),AND(P29="Media",T29="Moderado"),AND(P29="Alta",T29="Leve"),AND(P29="Alta",T29="Menor")),"Moderado",IF(OR(AND(P29="Muy Baja",T29="Mayor"),AND(P29="Baja",T29="Mayor"),AND(P29="Media",T29="Mayor"),AND(P29="Alta",T29="Moderado"),AND(P29="Alta",T29="Mayor"),AND(P29="Muy Alta",T29="Leve"),AND(P29="Muy Alta",T29="Menor"),AND(P29="Muy Alta",T29="Moderado"),AND(P29="Muy Alta",T29="Mayor")),"Alto",IF(OR(AND(P29="Muy Baja",T29="Catastrófico"),AND(P29="Baja",T29="Catastrófico"),AND(P29="Media",T29="Catastrófico"),AND(P29="Alta",T29="Catastrófico"),AND(P29="Muy Alta",T29="Catastrófico")),"Extremo",""))))</f>
        <v>Alto</v>
      </c>
      <c r="W29" s="233">
        <v>1</v>
      </c>
      <c r="X29" s="207" t="s">
        <v>1198</v>
      </c>
      <c r="Y29" s="230" t="str">
        <f t="shared" si="28"/>
        <v>Probabilidad</v>
      </c>
      <c r="Z29" s="185" t="s">
        <v>208</v>
      </c>
      <c r="AA29" s="185" t="s">
        <v>214</v>
      </c>
      <c r="AB29" s="186" t="str">
        <f t="shared" si="1"/>
        <v>50%</v>
      </c>
      <c r="AC29" s="185" t="s">
        <v>219</v>
      </c>
      <c r="AD29" s="185" t="s">
        <v>224</v>
      </c>
      <c r="AE29" s="185" t="s">
        <v>228</v>
      </c>
      <c r="AF29" s="187">
        <f t="shared" ref="AF29" si="50">IFERROR(IF(Y29="Probabilidad",(Q29-(+Q29*AB29)),IF(Y29="Impacto",Q29,"")),"")</f>
        <v>0.5</v>
      </c>
      <c r="AG29" s="188" t="str">
        <f t="shared" si="29"/>
        <v>Media</v>
      </c>
      <c r="AH29" s="186">
        <f t="shared" si="30"/>
        <v>0.5</v>
      </c>
      <c r="AI29" s="188" t="str">
        <f t="shared" ca="1" si="31"/>
        <v>Moderado</v>
      </c>
      <c r="AJ29" s="186">
        <f t="shared" ref="AJ29" ca="1" si="51">IFERROR(IF(Y29="Impacto",(U29-(+U29*AB29)),IF(Y29="Probabilidad",U29,"")),"")</f>
        <v>0.6</v>
      </c>
      <c r="AK29" s="189" t="str">
        <f t="shared" ca="1" si="33"/>
        <v>Moderado</v>
      </c>
      <c r="AL29" s="185" t="s">
        <v>255</v>
      </c>
      <c r="AM29" s="227"/>
      <c r="AN29" s="230"/>
      <c r="AO29" s="228"/>
      <c r="AP29" s="228"/>
      <c r="AQ29" s="227"/>
      <c r="AR29" s="229"/>
      <c r="AS29" s="190"/>
      <c r="AT29" s="190"/>
      <c r="AU29" s="190"/>
      <c r="AV29" s="190"/>
      <c r="AW29" s="190"/>
      <c r="AX29" s="190"/>
      <c r="AY29" s="190"/>
      <c r="AZ29" s="190"/>
      <c r="BA29" s="190"/>
      <c r="BB29" s="190"/>
      <c r="BC29" s="190"/>
      <c r="BD29" s="190"/>
      <c r="BE29" s="190"/>
      <c r="BF29" s="190"/>
      <c r="BG29" s="190"/>
      <c r="BH29" s="190"/>
      <c r="BI29" s="190"/>
      <c r="BJ29" s="190"/>
      <c r="BK29" s="190"/>
      <c r="BL29" s="190"/>
      <c r="BM29" s="190"/>
      <c r="BN29" s="190"/>
      <c r="BO29" s="190"/>
      <c r="BP29" s="190"/>
      <c r="BQ29" s="190"/>
      <c r="BR29" s="190"/>
      <c r="BS29" s="190"/>
      <c r="BT29" s="190"/>
      <c r="BU29" s="190"/>
      <c r="BV29" s="190"/>
      <c r="BW29" s="190"/>
      <c r="BX29" s="190"/>
    </row>
    <row r="30" spans="1:76" s="191" customFormat="1" ht="140.25" customHeight="1" thickTop="1" thickBot="1" x14ac:dyDescent="0.3">
      <c r="A30" s="328"/>
      <c r="B30" s="345"/>
      <c r="C30" s="333"/>
      <c r="D30" s="333"/>
      <c r="E30" s="333"/>
      <c r="F30" s="351"/>
      <c r="G30" s="351"/>
      <c r="H30" s="350"/>
      <c r="I30" s="338"/>
      <c r="J30" s="338"/>
      <c r="K30" s="338"/>
      <c r="L30" s="338"/>
      <c r="M30" s="333"/>
      <c r="N30" s="333"/>
      <c r="O30" s="339"/>
      <c r="P30" s="340"/>
      <c r="Q30" s="341"/>
      <c r="R30" s="341"/>
      <c r="S30" s="341">
        <f ca="1">IF(NOT(ISERROR(MATCH(R30,_xlfn.ANCHORARRAY(H38),0))),#REF!&amp;"Por favor no seleccionar los criterios de impacto",R30)</f>
        <v>0</v>
      </c>
      <c r="T30" s="340"/>
      <c r="U30" s="341"/>
      <c r="V30" s="327"/>
      <c r="W30" s="233">
        <v>2</v>
      </c>
      <c r="X30" s="207" t="s">
        <v>1199</v>
      </c>
      <c r="Y30" s="230" t="str">
        <f t="shared" si="28"/>
        <v>Probabilidad</v>
      </c>
      <c r="Z30" s="185" t="s">
        <v>208</v>
      </c>
      <c r="AA30" s="185" t="s">
        <v>216</v>
      </c>
      <c r="AB30" s="186" t="str">
        <f t="shared" si="1"/>
        <v>40%</v>
      </c>
      <c r="AC30" s="185" t="s">
        <v>219</v>
      </c>
      <c r="AD30" s="185" t="s">
        <v>224</v>
      </c>
      <c r="AE30" s="185" t="s">
        <v>228</v>
      </c>
      <c r="AF30" s="187">
        <f t="shared" ref="AF30:AF32" si="52">IFERROR(IF(AND(Y29="Probabilidad",Y30="Probabilidad"),(AH29-(+AH29*AB30)),IF(Y30="Probabilidad",(Q29-(+Q29*AB30)),IF(Y30="Impacto",AH29,""))),"")</f>
        <v>0.3</v>
      </c>
      <c r="AG30" s="188" t="str">
        <f t="shared" si="29"/>
        <v>Baja</v>
      </c>
      <c r="AH30" s="186">
        <f t="shared" si="30"/>
        <v>0.3</v>
      </c>
      <c r="AI30" s="188" t="str">
        <f t="shared" ca="1" si="31"/>
        <v>Moderado</v>
      </c>
      <c r="AJ30" s="186">
        <f t="shared" ref="AJ30" ca="1" si="53">IFERROR(IF(AND(Y29="Impacto",Y30="Impacto"),(AJ29-(+AJ29*AB30)),IF(Y30="Impacto",(U29-(+U29*AB30)),IF(Y30="Probabilidad",AJ29,""))),"")</f>
        <v>0.6</v>
      </c>
      <c r="AK30" s="189" t="str">
        <f t="shared" ca="1" si="33"/>
        <v>Moderado</v>
      </c>
      <c r="AL30" s="185" t="s">
        <v>255</v>
      </c>
      <c r="AM30" s="227"/>
      <c r="AN30" s="230"/>
      <c r="AO30" s="228"/>
      <c r="AP30" s="228"/>
      <c r="AQ30" s="227"/>
      <c r="AR30" s="229"/>
      <c r="AS30" s="190"/>
      <c r="AT30" s="190"/>
      <c r="AU30" s="190"/>
      <c r="AV30" s="190"/>
      <c r="AW30" s="190"/>
      <c r="AX30" s="190"/>
      <c r="AY30" s="190"/>
      <c r="AZ30" s="190"/>
      <c r="BA30" s="190"/>
      <c r="BB30" s="190"/>
      <c r="BC30" s="190"/>
      <c r="BD30" s="190"/>
      <c r="BE30" s="190"/>
      <c r="BF30" s="190"/>
      <c r="BG30" s="190"/>
      <c r="BH30" s="190"/>
      <c r="BI30" s="190"/>
      <c r="BJ30" s="190"/>
      <c r="BK30" s="190"/>
      <c r="BL30" s="190"/>
      <c r="BM30" s="190"/>
      <c r="BN30" s="190"/>
      <c r="BO30" s="190"/>
      <c r="BP30" s="190"/>
      <c r="BQ30" s="190"/>
      <c r="BR30" s="190"/>
      <c r="BS30" s="190"/>
      <c r="BT30" s="190"/>
      <c r="BU30" s="190"/>
      <c r="BV30" s="190"/>
      <c r="BW30" s="190"/>
      <c r="BX30" s="190"/>
    </row>
    <row r="31" spans="1:76" s="191" customFormat="1" ht="138.75" customHeight="1" thickTop="1" thickBot="1" x14ac:dyDescent="0.3">
      <c r="A31" s="328"/>
      <c r="B31" s="345"/>
      <c r="C31" s="333"/>
      <c r="D31" s="333"/>
      <c r="E31" s="333"/>
      <c r="F31" s="351"/>
      <c r="G31" s="351"/>
      <c r="H31" s="350"/>
      <c r="I31" s="338"/>
      <c r="J31" s="338"/>
      <c r="K31" s="338"/>
      <c r="L31" s="338"/>
      <c r="M31" s="333"/>
      <c r="N31" s="333"/>
      <c r="O31" s="339"/>
      <c r="P31" s="340"/>
      <c r="Q31" s="341"/>
      <c r="R31" s="341"/>
      <c r="S31" s="341">
        <f ca="1">IF(NOT(ISERROR(MATCH(R31,_xlfn.ANCHORARRAY(H39),0))),#REF!&amp;"Por favor no seleccionar los criterios de impacto",R31)</f>
        <v>0</v>
      </c>
      <c r="T31" s="340"/>
      <c r="U31" s="341"/>
      <c r="V31" s="327"/>
      <c r="W31" s="233">
        <v>3</v>
      </c>
      <c r="X31" s="207" t="s">
        <v>1200</v>
      </c>
      <c r="Y31" s="230" t="str">
        <f t="shared" si="28"/>
        <v>Probabilidad</v>
      </c>
      <c r="Z31" s="185" t="s">
        <v>208</v>
      </c>
      <c r="AA31" s="185" t="s">
        <v>216</v>
      </c>
      <c r="AB31" s="186" t="str">
        <f t="shared" si="1"/>
        <v>40%</v>
      </c>
      <c r="AC31" s="185" t="s">
        <v>219</v>
      </c>
      <c r="AD31" s="185" t="s">
        <v>224</v>
      </c>
      <c r="AE31" s="185" t="s">
        <v>228</v>
      </c>
      <c r="AF31" s="187">
        <f t="shared" si="52"/>
        <v>0.18</v>
      </c>
      <c r="AG31" s="188" t="str">
        <f t="shared" si="29"/>
        <v>Muy Baja</v>
      </c>
      <c r="AH31" s="186">
        <f t="shared" si="30"/>
        <v>0.18</v>
      </c>
      <c r="AI31" s="188" t="str">
        <f t="shared" ca="1" si="31"/>
        <v>Moderado</v>
      </c>
      <c r="AJ31" s="186">
        <f t="shared" ref="AJ31:AJ32" ca="1" si="54">IFERROR(IF(AND(Y30="Impacto",Y31="Impacto"),(AJ30-(+AJ30*AB31)),IF(AND(Y30="Probabilidad",Y31="Impacto"),(AJ29-(+AJ29*AB31)),IF(Y31="Probabilidad",AJ30,""))),"")</f>
        <v>0.6</v>
      </c>
      <c r="AK31" s="189" t="str">
        <f t="shared" ca="1" si="33"/>
        <v>Moderado</v>
      </c>
      <c r="AL31" s="185" t="s">
        <v>255</v>
      </c>
      <c r="AM31" s="227"/>
      <c r="AN31" s="230"/>
      <c r="AO31" s="228"/>
      <c r="AP31" s="228"/>
      <c r="AQ31" s="227"/>
      <c r="AR31" s="229"/>
      <c r="AS31" s="190"/>
      <c r="AT31" s="190"/>
      <c r="AU31" s="190"/>
      <c r="AV31" s="190"/>
      <c r="AW31" s="190"/>
      <c r="AX31" s="190"/>
      <c r="AY31" s="190"/>
      <c r="AZ31" s="190"/>
      <c r="BA31" s="190"/>
      <c r="BB31" s="190"/>
      <c r="BC31" s="190"/>
      <c r="BD31" s="190"/>
      <c r="BE31" s="190"/>
      <c r="BF31" s="190"/>
      <c r="BG31" s="190"/>
      <c r="BH31" s="190"/>
      <c r="BI31" s="190"/>
      <c r="BJ31" s="190"/>
      <c r="BK31" s="190"/>
      <c r="BL31" s="190"/>
      <c r="BM31" s="190"/>
      <c r="BN31" s="190"/>
      <c r="BO31" s="190"/>
      <c r="BP31" s="190"/>
      <c r="BQ31" s="190"/>
      <c r="BR31" s="190"/>
      <c r="BS31" s="190"/>
      <c r="BT31" s="190"/>
      <c r="BU31" s="190"/>
      <c r="BV31" s="190"/>
      <c r="BW31" s="190"/>
      <c r="BX31" s="190"/>
    </row>
    <row r="32" spans="1:76" s="191" customFormat="1" ht="116.25" customHeight="1" thickTop="1" thickBot="1" x14ac:dyDescent="0.3">
      <c r="A32" s="328"/>
      <c r="B32" s="345"/>
      <c r="C32" s="333"/>
      <c r="D32" s="333"/>
      <c r="E32" s="333"/>
      <c r="F32" s="351"/>
      <c r="G32" s="351"/>
      <c r="H32" s="350"/>
      <c r="I32" s="338"/>
      <c r="J32" s="338"/>
      <c r="K32" s="338"/>
      <c r="L32" s="338"/>
      <c r="M32" s="333"/>
      <c r="N32" s="333"/>
      <c r="O32" s="339"/>
      <c r="P32" s="340"/>
      <c r="Q32" s="341"/>
      <c r="R32" s="341"/>
      <c r="S32" s="341">
        <f ca="1">IF(NOT(ISERROR(MATCH(R32,_xlfn.ANCHORARRAY(#REF!),0))),#REF!&amp;"Por favor no seleccionar los criterios de impacto",R32)</f>
        <v>0</v>
      </c>
      <c r="T32" s="340"/>
      <c r="U32" s="341"/>
      <c r="V32" s="327"/>
      <c r="W32" s="233">
        <v>4</v>
      </c>
      <c r="X32" s="207" t="s">
        <v>1201</v>
      </c>
      <c r="Y32" s="230" t="str">
        <f t="shared" si="28"/>
        <v>Impacto</v>
      </c>
      <c r="Z32" s="185" t="s">
        <v>212</v>
      </c>
      <c r="AA32" s="185" t="s">
        <v>216</v>
      </c>
      <c r="AB32" s="186" t="str">
        <f t="shared" si="1"/>
        <v>25%</v>
      </c>
      <c r="AC32" s="185" t="s">
        <v>219</v>
      </c>
      <c r="AD32" s="185" t="s">
        <v>226</v>
      </c>
      <c r="AE32" s="185" t="s">
        <v>228</v>
      </c>
      <c r="AF32" s="187">
        <f t="shared" si="52"/>
        <v>0.18</v>
      </c>
      <c r="AG32" s="188" t="str">
        <f t="shared" si="29"/>
        <v>Muy Baja</v>
      </c>
      <c r="AH32" s="186">
        <f t="shared" si="30"/>
        <v>0.18</v>
      </c>
      <c r="AI32" s="188" t="str">
        <f t="shared" ca="1" si="31"/>
        <v>Moderado</v>
      </c>
      <c r="AJ32" s="186">
        <f t="shared" ca="1" si="54"/>
        <v>0.44999999999999996</v>
      </c>
      <c r="AK32" s="189" t="str">
        <f t="shared" ca="1" si="33"/>
        <v>Moderado</v>
      </c>
      <c r="AL32" s="185" t="s">
        <v>255</v>
      </c>
      <c r="AM32" s="227"/>
      <c r="AN32" s="230"/>
      <c r="AO32" s="228"/>
      <c r="AP32" s="228"/>
      <c r="AQ32" s="227"/>
      <c r="AR32" s="229"/>
      <c r="AS32" s="190"/>
      <c r="AT32" s="190"/>
      <c r="AU32" s="190"/>
      <c r="AV32" s="190"/>
      <c r="AW32" s="190"/>
      <c r="AX32" s="190"/>
      <c r="AY32" s="190"/>
      <c r="AZ32" s="190"/>
      <c r="BA32" s="190"/>
      <c r="BB32" s="190"/>
      <c r="BC32" s="190"/>
      <c r="BD32" s="190"/>
      <c r="BE32" s="190"/>
      <c r="BF32" s="190"/>
      <c r="BG32" s="190"/>
      <c r="BH32" s="190"/>
      <c r="BI32" s="190"/>
      <c r="BJ32" s="190"/>
      <c r="BK32" s="190"/>
      <c r="BL32" s="190"/>
      <c r="BM32" s="190"/>
      <c r="BN32" s="190"/>
      <c r="BO32" s="190"/>
      <c r="BP32" s="190"/>
      <c r="BQ32" s="190"/>
      <c r="BR32" s="190"/>
      <c r="BS32" s="190"/>
      <c r="BT32" s="190"/>
      <c r="BU32" s="190"/>
      <c r="BV32" s="190"/>
      <c r="BW32" s="190"/>
      <c r="BX32" s="190"/>
    </row>
    <row r="33" spans="1:76" s="191" customFormat="1" ht="159.75" customHeight="1" thickTop="1" thickBot="1" x14ac:dyDescent="0.3">
      <c r="A33" s="328">
        <v>9</v>
      </c>
      <c r="B33" s="345" t="s">
        <v>521</v>
      </c>
      <c r="C33" s="333" t="s">
        <v>267</v>
      </c>
      <c r="D33" s="333" t="s">
        <v>1212</v>
      </c>
      <c r="E33" s="333" t="s">
        <v>238</v>
      </c>
      <c r="F33" s="351" t="s">
        <v>522</v>
      </c>
      <c r="G33" s="351" t="s">
        <v>523</v>
      </c>
      <c r="H33" s="350" t="s">
        <v>1117</v>
      </c>
      <c r="I33" s="338" t="s">
        <v>474</v>
      </c>
      <c r="J33" s="338" t="s">
        <v>474</v>
      </c>
      <c r="K33" s="338" t="s">
        <v>474</v>
      </c>
      <c r="L33" s="338" t="s">
        <v>474</v>
      </c>
      <c r="M33" s="333" t="s">
        <v>250</v>
      </c>
      <c r="N33" s="333" t="s">
        <v>520</v>
      </c>
      <c r="O33" s="339">
        <v>52</v>
      </c>
      <c r="P33" s="340" t="str">
        <f>IF(O33&lt;=0,"",IF(O33&lt;=2,"Muy Baja",IF(O33&lt;=24,"Baja",IF(O33&lt;=500,"Media",IF(O33&lt;=5000,"Alta","Muy Alta")))))</f>
        <v>Media</v>
      </c>
      <c r="Q33" s="341">
        <f>IF(P33="","",IF(P33="Muy Baja",0.2,IF(P33="Baja",0.4,IF(P33="Media",0.6,IF(P33="Alta",0.8,IF(P33="Muy Alta",1,))))))</f>
        <v>0.6</v>
      </c>
      <c r="R33" s="341" t="s">
        <v>196</v>
      </c>
      <c r="S33" s="341" t="str">
        <f ca="1">IF(NOT(ISERROR(MATCH(R33,'Tabla Impacto'!$B$221:$B$223,0))),'Tabla Impacto'!$F$223&amp;"Por favor no seleccionar los criterios de impacto(Afectación Económica o presupuestal y Pérdida Reputacional)",R33)</f>
        <v>El riesgo afecta la imagen de la entidad a nivel nacional, con efecto publicitarios sostenible a nivel país</v>
      </c>
      <c r="T33" s="340" t="str">
        <f ca="1">+IF(OR(S33='[1]Tabla Impacto'!$C$11,S33='[1]Tabla Impacto'!$D$11),"Leve",IF(OR(S33='[1]Tabla Impacto'!$C$12,S33='[1]Tabla Impacto'!$D$12),"Menor",IF(OR(S33='[1]Tabla Impacto'!$C$13,S33='[1]Tabla Impacto'!$D$13),"Moderado",IF(OR(S33='[1]Tabla Impacto'!$C$14,S33='[1]Tabla Impacto'!$D$14),"Mayor",IF(OR(S33='[1]Tabla Impacto'!$C$15,S33='[1]Tabla Impacto'!$D$15),"Catastrófico","")))))</f>
        <v>Catastrófico</v>
      </c>
      <c r="U33" s="341">
        <f t="shared" ref="U33" ca="1" si="55">IF(T33="","",IF(T33="Leve",0.2,IF(T33="Menor",0.4,IF(T33="Moderado",0.6,IF(T33="Mayor",0.8,IF(T33="Catastrófico",1,))))))</f>
        <v>1</v>
      </c>
      <c r="V33" s="327" t="str">
        <f t="shared" ref="V33" ca="1" si="56">IF(OR(AND(P33="Muy Baja",T33="Leve"),AND(P33="Muy Baja",T33="Menor"),AND(P33="Baja",T33="Leve")),"Bajo",IF(OR(AND(P33="Muy baja",T33="Moderado"),AND(P33="Baja",T33="Menor"),AND(P33="Baja",T33="Moderado"),AND(P33="Media",T33="Leve"),AND(P33="Media",T33="Menor"),AND(P33="Media",T33="Moderado"),AND(P33="Alta",T33="Leve"),AND(P33="Alta",T33="Menor")),"Moderado",IF(OR(AND(P33="Muy Baja",T33="Mayor"),AND(P33="Baja",T33="Mayor"),AND(P33="Media",T33="Mayor"),AND(P33="Alta",T33="Moderado"),AND(P33="Alta",T33="Mayor"),AND(P33="Muy Alta",T33="Leve"),AND(P33="Muy Alta",T33="Menor"),AND(P33="Muy Alta",T33="Moderado"),AND(P33="Muy Alta",T33="Mayor")),"Alto",IF(OR(AND(P33="Muy Baja",T33="Catastrófico"),AND(P33="Baja",T33="Catastrófico"),AND(P33="Media",T33="Catastrófico"),AND(P33="Alta",T33="Catastrófico"),AND(P33="Muy Alta",T33="Catastrófico")),"Extremo",""))))</f>
        <v>Extremo</v>
      </c>
      <c r="W33" s="233">
        <v>1</v>
      </c>
      <c r="X33" s="207" t="s">
        <v>1205</v>
      </c>
      <c r="Y33" s="230" t="str">
        <f t="shared" si="28"/>
        <v>Probabilidad</v>
      </c>
      <c r="Z33" s="185" t="s">
        <v>208</v>
      </c>
      <c r="AA33" s="185" t="s">
        <v>216</v>
      </c>
      <c r="AB33" s="186" t="str">
        <f t="shared" si="1"/>
        <v>40%</v>
      </c>
      <c r="AC33" s="185" t="s">
        <v>219</v>
      </c>
      <c r="AD33" s="185" t="s">
        <v>224</v>
      </c>
      <c r="AE33" s="185" t="s">
        <v>228</v>
      </c>
      <c r="AF33" s="187">
        <f t="shared" ref="AF33" si="57">IFERROR(IF(Y33="Probabilidad",(Q33-(+Q33*AB33)),IF(Y33="Impacto",Q33,"")),"")</f>
        <v>0.36</v>
      </c>
      <c r="AG33" s="188" t="str">
        <f t="shared" si="29"/>
        <v>Baja</v>
      </c>
      <c r="AH33" s="186">
        <f t="shared" si="30"/>
        <v>0.36</v>
      </c>
      <c r="AI33" s="188" t="str">
        <f t="shared" ca="1" si="31"/>
        <v>Catastrófico</v>
      </c>
      <c r="AJ33" s="186">
        <f t="shared" ref="AJ33" ca="1" si="58">IFERROR(IF(Y33="Impacto",(U33-(+U33*AB33)),IF(Y33="Probabilidad",U33,"")),"")</f>
        <v>1</v>
      </c>
      <c r="AK33" s="189" t="str">
        <f t="shared" ca="1" si="33"/>
        <v>Extremo</v>
      </c>
      <c r="AL33" s="185" t="s">
        <v>262</v>
      </c>
      <c r="AM33" s="227" t="s">
        <v>525</v>
      </c>
      <c r="AN33" s="227" t="s">
        <v>526</v>
      </c>
      <c r="AO33" s="228" t="s">
        <v>984</v>
      </c>
      <c r="AP33" s="228" t="s">
        <v>527</v>
      </c>
      <c r="AQ33" s="227" t="s">
        <v>528</v>
      </c>
      <c r="AR33" s="229" t="s">
        <v>259</v>
      </c>
      <c r="AS33" s="190"/>
      <c r="AT33" s="190"/>
      <c r="AU33" s="190"/>
      <c r="AV33" s="190"/>
      <c r="AW33" s="190"/>
      <c r="AX33" s="190"/>
      <c r="AY33" s="190"/>
      <c r="AZ33" s="190"/>
      <c r="BA33" s="190"/>
      <c r="BB33" s="190"/>
      <c r="BC33" s="190"/>
      <c r="BD33" s="190"/>
      <c r="BE33" s="190"/>
      <c r="BF33" s="190"/>
      <c r="BG33" s="190"/>
      <c r="BH33" s="190"/>
      <c r="BI33" s="190"/>
      <c r="BJ33" s="190"/>
      <c r="BK33" s="190"/>
      <c r="BL33" s="190"/>
      <c r="BM33" s="190"/>
      <c r="BN33" s="190"/>
      <c r="BO33" s="190"/>
      <c r="BP33" s="190"/>
      <c r="BQ33" s="190"/>
      <c r="BR33" s="190"/>
      <c r="BS33" s="190"/>
      <c r="BT33" s="190"/>
      <c r="BU33" s="190"/>
      <c r="BV33" s="190"/>
      <c r="BW33" s="190"/>
      <c r="BX33" s="190"/>
    </row>
    <row r="34" spans="1:76" s="191" customFormat="1" ht="159.75" customHeight="1" thickTop="1" thickBot="1" x14ac:dyDescent="0.3">
      <c r="A34" s="328"/>
      <c r="B34" s="345"/>
      <c r="C34" s="333"/>
      <c r="D34" s="333"/>
      <c r="E34" s="333"/>
      <c r="F34" s="351"/>
      <c r="G34" s="351"/>
      <c r="H34" s="350"/>
      <c r="I34" s="338"/>
      <c r="J34" s="338"/>
      <c r="K34" s="338"/>
      <c r="L34" s="338"/>
      <c r="M34" s="333"/>
      <c r="N34" s="333"/>
      <c r="O34" s="339"/>
      <c r="P34" s="340"/>
      <c r="Q34" s="341"/>
      <c r="R34" s="341"/>
      <c r="S34" s="341">
        <f ca="1">IF(NOT(ISERROR(MATCH(R34,_xlfn.ANCHORARRAY(H40),0))),#REF!&amp;"Por favor no seleccionar los criterios de impacto",R34)</f>
        <v>0</v>
      </c>
      <c r="T34" s="340"/>
      <c r="U34" s="341"/>
      <c r="V34" s="327"/>
      <c r="W34" s="233">
        <v>2</v>
      </c>
      <c r="X34" s="207" t="s">
        <v>1203</v>
      </c>
      <c r="Y34" s="230" t="str">
        <f t="shared" si="28"/>
        <v>Probabilidad</v>
      </c>
      <c r="Z34" s="185" t="s">
        <v>208</v>
      </c>
      <c r="AA34" s="185" t="s">
        <v>216</v>
      </c>
      <c r="AB34" s="186" t="str">
        <f t="shared" si="1"/>
        <v>40%</v>
      </c>
      <c r="AC34" s="185" t="s">
        <v>219</v>
      </c>
      <c r="AD34" s="185" t="s">
        <v>224</v>
      </c>
      <c r="AE34" s="185" t="s">
        <v>228</v>
      </c>
      <c r="AF34" s="187">
        <f>IFERROR(IF(AND(Y33="Probabilidad",Y34="Probabilidad"),(AH33-(+AH33*AB34)),IF(Y34="Probabilidad",(Q33-(+Q33*AB34)),IF(Y34="Impacto",AH33,""))),"")</f>
        <v>0.216</v>
      </c>
      <c r="AG34" s="188" t="str">
        <f t="shared" si="29"/>
        <v>Baja</v>
      </c>
      <c r="AH34" s="186">
        <f t="shared" si="30"/>
        <v>0.216</v>
      </c>
      <c r="AI34" s="188" t="str">
        <f t="shared" ca="1" si="31"/>
        <v>Catastrófico</v>
      </c>
      <c r="AJ34" s="186">
        <f ca="1">IFERROR(IF(AND(Y33="Impacto",Y34="Impacto"),(AJ33-(+AJ33*AB34)),IF(Y34="Impacto",(U33-(+U33*AB34)),IF(Y34="Probabilidad",AJ33,""))),"")</f>
        <v>1</v>
      </c>
      <c r="AK34" s="189" t="str">
        <f t="shared" ca="1" si="33"/>
        <v>Extremo</v>
      </c>
      <c r="AL34" s="185" t="s">
        <v>262</v>
      </c>
      <c r="AM34" s="227" t="s">
        <v>529</v>
      </c>
      <c r="AN34" s="227" t="s">
        <v>526</v>
      </c>
      <c r="AO34" s="228" t="s">
        <v>984</v>
      </c>
      <c r="AP34" s="228" t="s">
        <v>527</v>
      </c>
      <c r="AQ34" s="227" t="s">
        <v>530</v>
      </c>
      <c r="AR34" s="229" t="s">
        <v>259</v>
      </c>
      <c r="AS34" s="190"/>
      <c r="AT34" s="190"/>
      <c r="AU34" s="190"/>
      <c r="AV34" s="190"/>
      <c r="AW34" s="190"/>
      <c r="AX34" s="190"/>
      <c r="AY34" s="190"/>
      <c r="AZ34" s="190"/>
      <c r="BA34" s="190"/>
      <c r="BB34" s="190"/>
      <c r="BC34" s="190"/>
      <c r="BD34" s="190"/>
      <c r="BE34" s="190"/>
      <c r="BF34" s="190"/>
      <c r="BG34" s="190"/>
      <c r="BH34" s="190"/>
      <c r="BI34" s="190"/>
      <c r="BJ34" s="190"/>
      <c r="BK34" s="190"/>
      <c r="BL34" s="190"/>
      <c r="BM34" s="190"/>
      <c r="BN34" s="190"/>
      <c r="BO34" s="190"/>
      <c r="BP34" s="190"/>
      <c r="BQ34" s="190"/>
      <c r="BR34" s="190"/>
      <c r="BS34" s="190"/>
      <c r="BT34" s="190"/>
      <c r="BU34" s="190"/>
      <c r="BV34" s="190"/>
      <c r="BW34" s="190"/>
      <c r="BX34" s="190"/>
    </row>
    <row r="35" spans="1:76" s="191" customFormat="1" ht="151.5" customHeight="1" thickTop="1" thickBot="1" x14ac:dyDescent="0.3">
      <c r="A35" s="328"/>
      <c r="B35" s="345"/>
      <c r="C35" s="333"/>
      <c r="D35" s="333"/>
      <c r="E35" s="333"/>
      <c r="F35" s="351"/>
      <c r="G35" s="351"/>
      <c r="H35" s="350"/>
      <c r="I35" s="338"/>
      <c r="J35" s="338"/>
      <c r="K35" s="338"/>
      <c r="L35" s="338"/>
      <c r="M35" s="333"/>
      <c r="N35" s="333"/>
      <c r="O35" s="339"/>
      <c r="P35" s="340"/>
      <c r="Q35" s="341"/>
      <c r="R35" s="341"/>
      <c r="S35" s="341">
        <f ca="1">IF(NOT(ISERROR(MATCH(R35,_xlfn.ANCHORARRAY(H41),0))),#REF!&amp;"Por favor no seleccionar los criterios de impacto",R35)</f>
        <v>0</v>
      </c>
      <c r="T35" s="340"/>
      <c r="U35" s="341"/>
      <c r="V35" s="327"/>
      <c r="W35" s="233">
        <v>3</v>
      </c>
      <c r="X35" s="207" t="s">
        <v>524</v>
      </c>
      <c r="Y35" s="230" t="str">
        <f>IF(OR(Z35="Preventivo",Z35="Detectivo"),"Probabilidad",IF(Z35="Correctivo","Impacto",""))</f>
        <v>Probabilidad</v>
      </c>
      <c r="Z35" s="185" t="s">
        <v>210</v>
      </c>
      <c r="AA35" s="185" t="s">
        <v>216</v>
      </c>
      <c r="AB35" s="186" t="str">
        <f t="shared" si="1"/>
        <v>30%</v>
      </c>
      <c r="AC35" s="185" t="s">
        <v>219</v>
      </c>
      <c r="AD35" s="185" t="s">
        <v>224</v>
      </c>
      <c r="AE35" s="185" t="s">
        <v>228</v>
      </c>
      <c r="AF35" s="187">
        <f>IFERROR(IF(AND(Y34="Probabilidad",Y35="Probabilidad"),(AH34-(+AH34*AB35)),IF(Y35="Probabilidad",(Q34-(+Q34*AB35)),IF(Y35="Impacto",AH34,""))),"")</f>
        <v>0.1512</v>
      </c>
      <c r="AG35" s="188" t="str">
        <f t="shared" si="29"/>
        <v>Muy Baja</v>
      </c>
      <c r="AH35" s="186">
        <f t="shared" si="30"/>
        <v>0.1512</v>
      </c>
      <c r="AI35" s="188" t="str">
        <f t="shared" ca="1" si="31"/>
        <v>Catastrófico</v>
      </c>
      <c r="AJ35" s="186">
        <f ca="1">IFERROR(IF(AND(Y34="Impacto",Y35="Impacto"),(AJ34-(+AJ34*AB35)),IF(AND(Y34="Probabilidad",Y35="Impacto"),(AJ33-(+AJ33*AB35)),IF(Y35="Probabilidad",AJ34,""))),"")</f>
        <v>1</v>
      </c>
      <c r="AK35" s="189" t="str">
        <f t="shared" ca="1" si="33"/>
        <v>Extremo</v>
      </c>
      <c r="AL35" s="185" t="s">
        <v>262</v>
      </c>
      <c r="AM35" s="227"/>
      <c r="AN35" s="230"/>
      <c r="AO35" s="228"/>
      <c r="AP35" s="228"/>
      <c r="AQ35" s="227"/>
      <c r="AR35" s="229"/>
      <c r="AS35" s="190"/>
      <c r="AT35" s="190"/>
      <c r="AU35" s="190"/>
      <c r="AV35" s="190"/>
      <c r="AW35" s="190"/>
      <c r="AX35" s="190"/>
      <c r="AY35" s="190"/>
      <c r="AZ35" s="190"/>
      <c r="BA35" s="190"/>
      <c r="BB35" s="190"/>
      <c r="BC35" s="190"/>
      <c r="BD35" s="190"/>
      <c r="BE35" s="190"/>
      <c r="BF35" s="190"/>
      <c r="BG35" s="190"/>
      <c r="BH35" s="190"/>
      <c r="BI35" s="190"/>
      <c r="BJ35" s="190"/>
      <c r="BK35" s="190"/>
      <c r="BL35" s="190"/>
      <c r="BM35" s="190"/>
      <c r="BN35" s="190"/>
      <c r="BO35" s="190"/>
      <c r="BP35" s="190"/>
      <c r="BQ35" s="190"/>
      <c r="BR35" s="190"/>
      <c r="BS35" s="190"/>
      <c r="BT35" s="190"/>
      <c r="BU35" s="190"/>
      <c r="BV35" s="190"/>
      <c r="BW35" s="190"/>
      <c r="BX35" s="190"/>
    </row>
    <row r="36" spans="1:76" s="191" customFormat="1" ht="159.75" customHeight="1" thickTop="1" thickBot="1" x14ac:dyDescent="0.3">
      <c r="A36" s="328"/>
      <c r="B36" s="345"/>
      <c r="C36" s="333"/>
      <c r="D36" s="333"/>
      <c r="E36" s="333"/>
      <c r="F36" s="351"/>
      <c r="G36" s="351"/>
      <c r="H36" s="350"/>
      <c r="I36" s="338"/>
      <c r="J36" s="338"/>
      <c r="K36" s="338"/>
      <c r="L36" s="338"/>
      <c r="M36" s="333"/>
      <c r="N36" s="333"/>
      <c r="O36" s="339"/>
      <c r="P36" s="340"/>
      <c r="Q36" s="341"/>
      <c r="R36" s="341"/>
      <c r="S36" s="341">
        <f ca="1">IF(NOT(ISERROR(MATCH(R36,_xlfn.ANCHORARRAY(#REF!),0))),#REF!&amp;"Por favor no seleccionar los criterios de impacto",R36)</f>
        <v>0</v>
      </c>
      <c r="T36" s="340"/>
      <c r="U36" s="341"/>
      <c r="V36" s="327"/>
      <c r="W36" s="233">
        <v>4</v>
      </c>
      <c r="X36" s="207" t="s">
        <v>1204</v>
      </c>
      <c r="Y36" s="230" t="str">
        <f>IF(OR(Z36="Preventivo",Z36="Detectivo"),"Probabilidad",IF(Z36="Correctivo","Impacto",""))</f>
        <v>Probabilidad</v>
      </c>
      <c r="Z36" s="185" t="s">
        <v>208</v>
      </c>
      <c r="AA36" s="185" t="s">
        <v>214</v>
      </c>
      <c r="AB36" s="186" t="str">
        <f t="shared" si="1"/>
        <v>50%</v>
      </c>
      <c r="AC36" s="185" t="s">
        <v>219</v>
      </c>
      <c r="AD36" s="185" t="s">
        <v>224</v>
      </c>
      <c r="AE36" s="185" t="s">
        <v>228</v>
      </c>
      <c r="AF36" s="187">
        <f>IFERROR(IF(AND(Y35="Probabilidad",Y36="Probabilidad"),(AH35-(+AH35*AB36)),IF(Y36="Probabilidad",(Q35-(+Q35*AB36)),IF(Y36="Impacto",AH35,""))),"")</f>
        <v>7.5600000000000001E-2</v>
      </c>
      <c r="AG36" s="188" t="str">
        <f t="shared" si="29"/>
        <v>Muy Baja</v>
      </c>
      <c r="AH36" s="186">
        <f t="shared" si="30"/>
        <v>7.5600000000000001E-2</v>
      </c>
      <c r="AI36" s="188" t="str">
        <f t="shared" ca="1" si="31"/>
        <v>Catastrófico</v>
      </c>
      <c r="AJ36" s="186">
        <f ca="1">IFERROR(IF(AND(Y35="Impacto",Y36="Impacto"),(AJ35-(+AJ35*AB36)),IF(AND(Y35="Probabilidad",Y36="Impacto"),(AJ34-(+AJ34*AB36)),IF(Y36="Probabilidad",AJ35,""))),"")</f>
        <v>1</v>
      </c>
      <c r="AK36" s="189" t="str">
        <f t="shared" ca="1" si="33"/>
        <v>Extremo</v>
      </c>
      <c r="AL36" s="185" t="s">
        <v>262</v>
      </c>
      <c r="AM36" s="227"/>
      <c r="AN36" s="230"/>
      <c r="AO36" s="228"/>
      <c r="AP36" s="228"/>
      <c r="AQ36" s="227"/>
      <c r="AR36" s="229"/>
      <c r="AS36" s="190"/>
      <c r="AT36" s="190"/>
      <c r="AU36" s="190"/>
      <c r="AV36" s="190"/>
      <c r="AW36" s="190"/>
      <c r="AX36" s="190"/>
      <c r="AY36" s="190"/>
      <c r="AZ36" s="190"/>
      <c r="BA36" s="190"/>
      <c r="BB36" s="190"/>
      <c r="BC36" s="190"/>
      <c r="BD36" s="190"/>
      <c r="BE36" s="190"/>
      <c r="BF36" s="190"/>
      <c r="BG36" s="190"/>
      <c r="BH36" s="190"/>
      <c r="BI36" s="190"/>
      <c r="BJ36" s="190"/>
      <c r="BK36" s="190"/>
      <c r="BL36" s="190"/>
      <c r="BM36" s="190"/>
      <c r="BN36" s="190"/>
      <c r="BO36" s="190"/>
      <c r="BP36" s="190"/>
      <c r="BQ36" s="190"/>
      <c r="BR36" s="190"/>
      <c r="BS36" s="190"/>
      <c r="BT36" s="190"/>
      <c r="BU36" s="190"/>
      <c r="BV36" s="190"/>
      <c r="BW36" s="190"/>
      <c r="BX36" s="190"/>
    </row>
    <row r="37" spans="1:76" s="191" customFormat="1" ht="159.75" customHeight="1" thickTop="1" thickBot="1" x14ac:dyDescent="0.3">
      <c r="A37" s="328"/>
      <c r="B37" s="345"/>
      <c r="C37" s="333"/>
      <c r="D37" s="333"/>
      <c r="E37" s="333"/>
      <c r="F37" s="351"/>
      <c r="G37" s="351"/>
      <c r="H37" s="350"/>
      <c r="I37" s="338"/>
      <c r="J37" s="338"/>
      <c r="K37" s="338"/>
      <c r="L37" s="338"/>
      <c r="M37" s="333"/>
      <c r="N37" s="333"/>
      <c r="O37" s="339"/>
      <c r="P37" s="340"/>
      <c r="Q37" s="341"/>
      <c r="R37" s="341"/>
      <c r="S37" s="341">
        <f ca="1">IF(NOT(ISERROR(MATCH(R37,_xlfn.ANCHORARRAY(#REF!),0))),#REF!&amp;"Por favor no seleccionar los criterios de impacto",R37)</f>
        <v>0</v>
      </c>
      <c r="T37" s="340"/>
      <c r="U37" s="341"/>
      <c r="V37" s="327"/>
      <c r="W37" s="233">
        <v>5</v>
      </c>
      <c r="X37" s="207" t="s">
        <v>1206</v>
      </c>
      <c r="Y37" s="230" t="str">
        <f>IF(OR(Z37="Preventivo",Z37="Detectivo"),"Probabilidad",IF(Z37="Correctivo","Impacto",""))</f>
        <v>Probabilidad</v>
      </c>
      <c r="Z37" s="185" t="s">
        <v>210</v>
      </c>
      <c r="AA37" s="185" t="s">
        <v>214</v>
      </c>
      <c r="AB37" s="186" t="str">
        <f t="shared" si="1"/>
        <v>40%</v>
      </c>
      <c r="AC37" s="185" t="s">
        <v>219</v>
      </c>
      <c r="AD37" s="185" t="s">
        <v>224</v>
      </c>
      <c r="AE37" s="185" t="s">
        <v>228</v>
      </c>
      <c r="AF37" s="187">
        <f>IFERROR(IF(AND(Y36="Probabilidad",Y37="Probabilidad"),(AH36-(+AH36*AB37)),IF(Y37="Probabilidad",(Q36-(+Q36*AB37)),IF(Y37="Impacto",AH36,""))),"")</f>
        <v>4.5359999999999998E-2</v>
      </c>
      <c r="AG37" s="188" t="str">
        <f t="shared" si="29"/>
        <v>Muy Baja</v>
      </c>
      <c r="AH37" s="186">
        <f t="shared" si="30"/>
        <v>4.5359999999999998E-2</v>
      </c>
      <c r="AI37" s="188" t="str">
        <f t="shared" ca="1" si="31"/>
        <v>Catastrófico</v>
      </c>
      <c r="AJ37" s="186">
        <f ca="1">IFERROR(IF(AND(Y36="Impacto",Y37="Impacto"),(AJ36-(+AJ36*AB37)),IF(AND(Y36="Probabilidad",Y37="Impacto"),(AJ35-(+AJ35*AB37)),IF(Y37="Probabilidad",AJ36,""))),"")</f>
        <v>1</v>
      </c>
      <c r="AK37" s="189" t="str">
        <f t="shared" ca="1" si="33"/>
        <v>Extremo</v>
      </c>
      <c r="AL37" s="185" t="s">
        <v>262</v>
      </c>
      <c r="AM37" s="227"/>
      <c r="AN37" s="230"/>
      <c r="AO37" s="228"/>
      <c r="AP37" s="228"/>
      <c r="AQ37" s="227"/>
      <c r="AR37" s="229"/>
      <c r="AS37" s="190"/>
      <c r="AT37" s="190"/>
      <c r="AU37" s="190"/>
      <c r="AV37" s="190"/>
      <c r="AW37" s="190"/>
      <c r="AX37" s="190"/>
      <c r="AY37" s="190"/>
      <c r="AZ37" s="190"/>
      <c r="BA37" s="190"/>
      <c r="BB37" s="190"/>
      <c r="BC37" s="190"/>
      <c r="BD37" s="190"/>
      <c r="BE37" s="190"/>
      <c r="BF37" s="190"/>
      <c r="BG37" s="190"/>
      <c r="BH37" s="190"/>
      <c r="BI37" s="190"/>
      <c r="BJ37" s="190"/>
      <c r="BK37" s="190"/>
      <c r="BL37" s="190"/>
      <c r="BM37" s="190"/>
      <c r="BN37" s="190"/>
      <c r="BO37" s="190"/>
      <c r="BP37" s="190"/>
      <c r="BQ37" s="190"/>
      <c r="BR37" s="190"/>
      <c r="BS37" s="190"/>
      <c r="BT37" s="190"/>
      <c r="BU37" s="190"/>
      <c r="BV37" s="190"/>
      <c r="BW37" s="190"/>
      <c r="BX37" s="190"/>
    </row>
    <row r="38" spans="1:76" s="191" customFormat="1" ht="139.5" customHeight="1" thickTop="1" thickBot="1" x14ac:dyDescent="0.3">
      <c r="A38" s="328">
        <v>10</v>
      </c>
      <c r="B38" s="345" t="s">
        <v>531</v>
      </c>
      <c r="C38" s="333" t="s">
        <v>267</v>
      </c>
      <c r="D38" s="333" t="s">
        <v>972</v>
      </c>
      <c r="E38" s="333" t="s">
        <v>236</v>
      </c>
      <c r="F38" s="351" t="s">
        <v>532</v>
      </c>
      <c r="G38" s="351" t="s">
        <v>533</v>
      </c>
      <c r="H38" s="350" t="s">
        <v>1118</v>
      </c>
      <c r="I38" s="338" t="s">
        <v>474</v>
      </c>
      <c r="J38" s="338" t="s">
        <v>474</v>
      </c>
      <c r="K38" s="338" t="s">
        <v>474</v>
      </c>
      <c r="L38" s="338" t="s">
        <v>474</v>
      </c>
      <c r="M38" s="333" t="s">
        <v>249</v>
      </c>
      <c r="N38" s="333" t="s">
        <v>520</v>
      </c>
      <c r="O38" s="339">
        <v>8640</v>
      </c>
      <c r="P38" s="340" t="str">
        <f>IF(O38&lt;=0,"",IF(O38&lt;=2,"Muy Baja",IF(O38&lt;=24,"Baja",IF(O38&lt;=500,"Media",IF(O38&lt;=5000,"Alta","Muy Alta")))))</f>
        <v>Muy Alta</v>
      </c>
      <c r="Q38" s="341">
        <f>IF(P38="","",IF(P38="Muy Baja",0.2,IF(P38="Baja",0.4,IF(P38="Media",0.6,IF(P38="Alta",0.8,IF(P38="Muy Alta",1,))))))</f>
        <v>1</v>
      </c>
      <c r="R38" s="341" t="s">
        <v>192</v>
      </c>
      <c r="S38" s="341" t="str">
        <f ca="1">IF(NOT(ISERROR(MATCH(R38,'Tabla Impacto'!$B$221:$B$223,0))),'Tabla Impacto'!$F$223&amp;"Por favor no seleccionar los criterios de impacto(Afectación Económica o presupuestal y Pérdida Reputacional)",R38)</f>
        <v xml:space="preserve">Entre 100 y 500 SMLMV </v>
      </c>
      <c r="T38" s="340" t="str">
        <f ca="1">+IF(OR(S38='[1]Tabla Impacto'!$C$11,S38='[1]Tabla Impacto'!$D$11),"Leve",IF(OR(S38='[1]Tabla Impacto'!$C$12,S38='[1]Tabla Impacto'!$D$12),"Menor",IF(OR(S38='[1]Tabla Impacto'!$C$13,S38='[1]Tabla Impacto'!$D$13),"Moderado",IF(OR(S38='[1]Tabla Impacto'!$C$14,S38='[1]Tabla Impacto'!$D$14),"Mayor",IF(OR(S38='[1]Tabla Impacto'!$C$15,S38='[1]Tabla Impacto'!$D$15),"Catastrófico","")))))</f>
        <v>Mayor</v>
      </c>
      <c r="U38" s="341">
        <f t="shared" ref="U38" ca="1" si="59">IF(T38="","",IF(T38="Leve",0.2,IF(T38="Menor",0.4,IF(T38="Moderado",0.6,IF(T38="Mayor",0.8,IF(T38="Catastrófico",1,))))))</f>
        <v>0.8</v>
      </c>
      <c r="V38" s="327" t="str">
        <f t="shared" ref="V38" ca="1" si="60">IF(OR(AND(P38="Muy Baja",T38="Leve"),AND(P38="Muy Baja",T38="Menor"),AND(P38="Baja",T38="Leve")),"Bajo",IF(OR(AND(P38="Muy baja",T38="Moderado"),AND(P38="Baja",T38="Menor"),AND(P38="Baja",T38="Moderado"),AND(P38="Media",T38="Leve"),AND(P38="Media",T38="Menor"),AND(P38="Media",T38="Moderado"),AND(P38="Alta",T38="Leve"),AND(P38="Alta",T38="Menor")),"Moderado",IF(OR(AND(P38="Muy Baja",T38="Mayor"),AND(P38="Baja",T38="Mayor"),AND(P38="Media",T38="Mayor"),AND(P38="Alta",T38="Moderado"),AND(P38="Alta",T38="Mayor"),AND(P38="Muy Alta",T38="Leve"),AND(P38="Muy Alta",T38="Menor"),AND(P38="Muy Alta",T38="Moderado"),AND(P38="Muy Alta",T38="Mayor")),"Alto",IF(OR(AND(P38="Muy Baja",T38="Catastrófico"),AND(P38="Baja",T38="Catastrófico"),AND(P38="Media",T38="Catastrófico"),AND(P38="Alta",T38="Catastrófico"),AND(P38="Muy Alta",T38="Catastrófico")),"Extremo",""))))</f>
        <v>Alto</v>
      </c>
      <c r="W38" s="233">
        <v>1</v>
      </c>
      <c r="X38" s="207" t="s">
        <v>1207</v>
      </c>
      <c r="Y38" s="230" t="str">
        <f t="shared" si="28"/>
        <v>Probabilidad</v>
      </c>
      <c r="Z38" s="185" t="s">
        <v>208</v>
      </c>
      <c r="AA38" s="185" t="s">
        <v>214</v>
      </c>
      <c r="AB38" s="186" t="str">
        <f t="shared" si="1"/>
        <v>50%</v>
      </c>
      <c r="AC38" s="185" t="s">
        <v>219</v>
      </c>
      <c r="AD38" s="185" t="s">
        <v>224</v>
      </c>
      <c r="AE38" s="185" t="s">
        <v>228</v>
      </c>
      <c r="AF38" s="187">
        <f t="shared" ref="AF38" si="61">IFERROR(IF(Y38="Probabilidad",(Q38-(+Q38*AB38)),IF(Y38="Impacto",Q38,"")),"")</f>
        <v>0.5</v>
      </c>
      <c r="AG38" s="188" t="str">
        <f t="shared" si="29"/>
        <v>Media</v>
      </c>
      <c r="AH38" s="186">
        <f t="shared" si="30"/>
        <v>0.5</v>
      </c>
      <c r="AI38" s="188" t="str">
        <f t="shared" ca="1" si="31"/>
        <v>Mayor</v>
      </c>
      <c r="AJ38" s="186">
        <f t="shared" ref="AJ38" ca="1" si="62">IFERROR(IF(Y38="Impacto",(U38-(+U38*AB38)),IF(Y38="Probabilidad",U38,"")),"")</f>
        <v>0.8</v>
      </c>
      <c r="AK38" s="189" t="str">
        <f t="shared" ca="1" si="33"/>
        <v>Alto</v>
      </c>
      <c r="AL38" s="185" t="s">
        <v>262</v>
      </c>
      <c r="AM38" s="227" t="s">
        <v>534</v>
      </c>
      <c r="AN38" s="227" t="s">
        <v>526</v>
      </c>
      <c r="AO38" s="228">
        <v>45717</v>
      </c>
      <c r="AP38" s="228" t="s">
        <v>535</v>
      </c>
      <c r="AQ38" s="227" t="s">
        <v>536</v>
      </c>
      <c r="AR38" s="229" t="s">
        <v>259</v>
      </c>
      <c r="AS38" s="190"/>
      <c r="AT38" s="190"/>
      <c r="AU38" s="190"/>
      <c r="AV38" s="190"/>
      <c r="AW38" s="190"/>
      <c r="AX38" s="190"/>
      <c r="AY38" s="190"/>
      <c r="AZ38" s="190"/>
      <c r="BA38" s="190"/>
      <c r="BB38" s="190"/>
      <c r="BC38" s="190"/>
      <c r="BD38" s="190"/>
      <c r="BE38" s="190"/>
      <c r="BF38" s="190"/>
      <c r="BG38" s="190"/>
      <c r="BH38" s="190"/>
      <c r="BI38" s="190"/>
      <c r="BJ38" s="190"/>
      <c r="BK38" s="190"/>
      <c r="BL38" s="190"/>
      <c r="BM38" s="190"/>
      <c r="BN38" s="190"/>
      <c r="BO38" s="190"/>
      <c r="BP38" s="190"/>
      <c r="BQ38" s="190"/>
      <c r="BR38" s="190"/>
      <c r="BS38" s="190"/>
      <c r="BT38" s="190"/>
      <c r="BU38" s="190"/>
      <c r="BV38" s="190"/>
      <c r="BW38" s="190"/>
      <c r="BX38" s="190"/>
    </row>
    <row r="39" spans="1:76" s="191" customFormat="1" ht="159.75" customHeight="1" thickTop="1" thickBot="1" x14ac:dyDescent="0.3">
      <c r="A39" s="328"/>
      <c r="B39" s="345"/>
      <c r="C39" s="333"/>
      <c r="D39" s="333"/>
      <c r="E39" s="333"/>
      <c r="F39" s="351"/>
      <c r="G39" s="351"/>
      <c r="H39" s="350"/>
      <c r="I39" s="338"/>
      <c r="J39" s="338"/>
      <c r="K39" s="338"/>
      <c r="L39" s="338"/>
      <c r="M39" s="333"/>
      <c r="N39" s="333"/>
      <c r="O39" s="339"/>
      <c r="P39" s="340"/>
      <c r="Q39" s="341"/>
      <c r="R39" s="341"/>
      <c r="S39" s="341">
        <f ca="1">IF(NOT(ISERROR(MATCH(R39,_xlfn.ANCHORARRAY(H42),0))),#REF!&amp;"Por favor no seleccionar los criterios de impacto",R39)</f>
        <v>0</v>
      </c>
      <c r="T39" s="340"/>
      <c r="U39" s="341"/>
      <c r="V39" s="327"/>
      <c r="W39" s="233">
        <v>2</v>
      </c>
      <c r="X39" s="207" t="s">
        <v>1208</v>
      </c>
      <c r="Y39" s="230" t="str">
        <f t="shared" si="28"/>
        <v>Probabilidad</v>
      </c>
      <c r="Z39" s="185" t="s">
        <v>208</v>
      </c>
      <c r="AA39" s="185" t="s">
        <v>214</v>
      </c>
      <c r="AB39" s="186" t="str">
        <f t="shared" si="1"/>
        <v>50%</v>
      </c>
      <c r="AC39" s="185" t="s">
        <v>219</v>
      </c>
      <c r="AD39" s="185" t="s">
        <v>224</v>
      </c>
      <c r="AE39" s="185" t="s">
        <v>228</v>
      </c>
      <c r="AF39" s="187">
        <f t="shared" ref="AF39" si="63">IFERROR(IF(AND(Y38="Probabilidad",Y39="Probabilidad"),(AH38-(+AH38*AB39)),IF(Y39="Probabilidad",(Q38-(+Q38*AB39)),IF(Y39="Impacto",AH38,""))),"")</f>
        <v>0.25</v>
      </c>
      <c r="AG39" s="188" t="str">
        <f t="shared" si="29"/>
        <v>Baja</v>
      </c>
      <c r="AH39" s="186">
        <f t="shared" si="30"/>
        <v>0.25</v>
      </c>
      <c r="AI39" s="188" t="str">
        <f t="shared" ca="1" si="31"/>
        <v>Mayor</v>
      </c>
      <c r="AJ39" s="186">
        <f t="shared" ref="AJ39" ca="1" si="64">IFERROR(IF(AND(Y38="Impacto",Y39="Impacto"),(AJ38-(+AJ38*AB39)),IF(Y39="Impacto",(U38-(+U38*AB39)),IF(Y39="Probabilidad",AJ38,""))),"")</f>
        <v>0.8</v>
      </c>
      <c r="AK39" s="189" t="str">
        <f t="shared" ca="1" si="33"/>
        <v>Alto</v>
      </c>
      <c r="AL39" s="185" t="s">
        <v>262</v>
      </c>
      <c r="AM39" s="227" t="s">
        <v>534</v>
      </c>
      <c r="AN39" s="227" t="s">
        <v>526</v>
      </c>
      <c r="AO39" s="228">
        <v>45717</v>
      </c>
      <c r="AP39" s="228" t="s">
        <v>535</v>
      </c>
      <c r="AQ39" s="227" t="s">
        <v>536</v>
      </c>
      <c r="AR39" s="229" t="s">
        <v>259</v>
      </c>
    </row>
    <row r="40" spans="1:76" s="191" customFormat="1" ht="276" customHeight="1" thickTop="1" thickBot="1" x14ac:dyDescent="0.3">
      <c r="A40" s="328">
        <v>11</v>
      </c>
      <c r="B40" s="345" t="s">
        <v>539</v>
      </c>
      <c r="C40" s="333" t="s">
        <v>267</v>
      </c>
      <c r="D40" s="333" t="s">
        <v>1211</v>
      </c>
      <c r="E40" s="333" t="s">
        <v>240</v>
      </c>
      <c r="F40" s="351" t="s">
        <v>540</v>
      </c>
      <c r="G40" s="351" t="s">
        <v>541</v>
      </c>
      <c r="H40" s="350" t="s">
        <v>1119</v>
      </c>
      <c r="I40" s="338" t="s">
        <v>474</v>
      </c>
      <c r="J40" s="338" t="s">
        <v>474</v>
      </c>
      <c r="K40" s="338" t="s">
        <v>474</v>
      </c>
      <c r="L40" s="338" t="s">
        <v>474</v>
      </c>
      <c r="M40" s="333" t="s">
        <v>249</v>
      </c>
      <c r="N40" s="333" t="s">
        <v>520</v>
      </c>
      <c r="O40" s="339">
        <v>12</v>
      </c>
      <c r="P40" s="340" t="str">
        <f>IF(O40&lt;=0,"",IF(O40&lt;=2,"Muy Baja",IF(O40&lt;=24,"Baja",IF(O40&lt;=500,"Media",IF(O40&lt;=5000,"Alta","Muy Alta")))))</f>
        <v>Baja</v>
      </c>
      <c r="Q40" s="341">
        <f>IF(P40="","",IF(P40="Muy Baja",0.2,IF(P40="Baja",0.4,IF(P40="Media",0.6,IF(P40="Alta",0.8,IF(P40="Muy Alta",1,))))))</f>
        <v>0.4</v>
      </c>
      <c r="R40" s="341" t="s">
        <v>192</v>
      </c>
      <c r="S40" s="341" t="str">
        <f ca="1">IF(NOT(ISERROR(MATCH(R40,'Tabla Impacto'!$B$221:$B$223,0))),'Tabla Impacto'!$F$223&amp;"Por favor no seleccionar los criterios de impacto(Afectación Económica o presupuestal y Pérdida Reputacional)",R40)</f>
        <v xml:space="preserve">Entre 100 y 500 SMLMV </v>
      </c>
      <c r="T40" s="340" t="str">
        <f ca="1">+IF(OR(S40='[1]Tabla Impacto'!$C$11,S40='[1]Tabla Impacto'!$D$11),"Leve",IF(OR(S40='[1]Tabla Impacto'!$C$12,S40='[1]Tabla Impacto'!$D$12),"Menor",IF(OR(S40='[1]Tabla Impacto'!$C$13,S40='[1]Tabla Impacto'!$D$13),"Moderado",IF(OR(S40='[1]Tabla Impacto'!$C$14,S40='[1]Tabla Impacto'!$D$14),"Mayor",IF(OR(S40='[1]Tabla Impacto'!$C$15,S40='[1]Tabla Impacto'!$D$15),"Catastrófico","")))))</f>
        <v>Mayor</v>
      </c>
      <c r="U40" s="341">
        <f t="shared" ref="U40" ca="1" si="65">IF(T40="","",IF(T40="Leve",0.2,IF(T40="Menor",0.4,IF(T40="Moderado",0.6,IF(T40="Mayor",0.8,IF(T40="Catastrófico",1,))))))</f>
        <v>0.8</v>
      </c>
      <c r="V40" s="327" t="str">
        <f t="shared" ref="V40" ca="1" si="66">IF(OR(AND(P40="Muy Baja",T40="Leve"),AND(P40="Muy Baja",T40="Menor"),AND(P40="Baja",T40="Leve")),"Bajo",IF(OR(AND(P40="Muy baja",T40="Moderado"),AND(P40="Baja",T40="Menor"),AND(P40="Baja",T40="Moderado"),AND(P40="Media",T40="Leve"),AND(P40="Media",T40="Menor"),AND(P40="Media",T40="Moderado"),AND(P40="Alta",T40="Leve"),AND(P40="Alta",T40="Menor")),"Moderado",IF(OR(AND(P40="Muy Baja",T40="Mayor"),AND(P40="Baja",T40="Mayor"),AND(P40="Media",T40="Mayor"),AND(P40="Alta",T40="Moderado"),AND(P40="Alta",T40="Mayor"),AND(P40="Muy Alta",T40="Leve"),AND(P40="Muy Alta",T40="Menor"),AND(P40="Muy Alta",T40="Moderado"),AND(P40="Muy Alta",T40="Mayor")),"Alto",IF(OR(AND(P40="Muy Baja",T40="Catastrófico"),AND(P40="Baja",T40="Catastrófico"),AND(P40="Media",T40="Catastrófico"),AND(P40="Alta",T40="Catastrófico"),AND(P40="Muy Alta",T40="Catastrófico")),"Extremo",""))))</f>
        <v>Alto</v>
      </c>
      <c r="W40" s="233">
        <v>1</v>
      </c>
      <c r="X40" s="207" t="s">
        <v>1209</v>
      </c>
      <c r="Y40" s="230" t="str">
        <f t="shared" si="28"/>
        <v>Probabilidad</v>
      </c>
      <c r="Z40" s="185" t="s">
        <v>208</v>
      </c>
      <c r="AA40" s="185" t="s">
        <v>216</v>
      </c>
      <c r="AB40" s="186" t="str">
        <f t="shared" si="1"/>
        <v>40%</v>
      </c>
      <c r="AC40" s="185" t="s">
        <v>219</v>
      </c>
      <c r="AD40" s="185" t="s">
        <v>224</v>
      </c>
      <c r="AE40" s="185" t="s">
        <v>228</v>
      </c>
      <c r="AF40" s="187">
        <f t="shared" ref="AF40" si="67">IFERROR(IF(Y40="Probabilidad",(Q40-(+Q40*AB40)),IF(Y40="Impacto",Q40,"")),"")</f>
        <v>0.24</v>
      </c>
      <c r="AG40" s="188" t="str">
        <f t="shared" si="29"/>
        <v>Baja</v>
      </c>
      <c r="AH40" s="186">
        <f t="shared" si="30"/>
        <v>0.24</v>
      </c>
      <c r="AI40" s="188" t="str">
        <f t="shared" ca="1" si="31"/>
        <v>Mayor</v>
      </c>
      <c r="AJ40" s="186">
        <f t="shared" ref="AJ40" ca="1" si="68">IFERROR(IF(Y40="Impacto",(U40-(+U40*AB40)),IF(Y40="Probabilidad",U40,"")),"")</f>
        <v>0.8</v>
      </c>
      <c r="AK40" s="189" t="str">
        <f t="shared" ca="1" si="33"/>
        <v>Alto</v>
      </c>
      <c r="AL40" s="185" t="s">
        <v>262</v>
      </c>
      <c r="AM40" s="333" t="s">
        <v>537</v>
      </c>
      <c r="AN40" s="333" t="s">
        <v>526</v>
      </c>
      <c r="AO40" s="353">
        <v>45717</v>
      </c>
      <c r="AP40" s="353" t="s">
        <v>527</v>
      </c>
      <c r="AQ40" s="333" t="s">
        <v>538</v>
      </c>
      <c r="AR40" s="354" t="s">
        <v>259</v>
      </c>
    </row>
    <row r="41" spans="1:76" s="191" customFormat="1" ht="164.25" customHeight="1" thickTop="1" thickBot="1" x14ac:dyDescent="0.3">
      <c r="A41" s="328"/>
      <c r="B41" s="345"/>
      <c r="C41" s="333"/>
      <c r="D41" s="333"/>
      <c r="E41" s="333"/>
      <c r="F41" s="351"/>
      <c r="G41" s="351"/>
      <c r="H41" s="350"/>
      <c r="I41" s="338"/>
      <c r="J41" s="338"/>
      <c r="K41" s="338"/>
      <c r="L41" s="338"/>
      <c r="M41" s="333"/>
      <c r="N41" s="333"/>
      <c r="O41" s="339"/>
      <c r="P41" s="340"/>
      <c r="Q41" s="341"/>
      <c r="R41" s="341"/>
      <c r="S41" s="341">
        <f ca="1">IF(NOT(ISERROR(MATCH(R41,_xlfn.ANCHORARRAY(H43),0))),#REF!&amp;"Por favor no seleccionar los criterios de impacto",R41)</f>
        <v>0</v>
      </c>
      <c r="T41" s="340"/>
      <c r="U41" s="341"/>
      <c r="V41" s="327"/>
      <c r="W41" s="233">
        <v>2</v>
      </c>
      <c r="X41" s="207" t="s">
        <v>1210</v>
      </c>
      <c r="Y41" s="230" t="str">
        <f t="shared" si="28"/>
        <v>Probabilidad</v>
      </c>
      <c r="Z41" s="185" t="s">
        <v>208</v>
      </c>
      <c r="AA41" s="185" t="s">
        <v>216</v>
      </c>
      <c r="AB41" s="186" t="str">
        <f t="shared" si="1"/>
        <v>40%</v>
      </c>
      <c r="AC41" s="185" t="s">
        <v>219</v>
      </c>
      <c r="AD41" s="185" t="s">
        <v>224</v>
      </c>
      <c r="AE41" s="185" t="s">
        <v>228</v>
      </c>
      <c r="AF41" s="187">
        <f t="shared" ref="AF41" si="69">IFERROR(IF(AND(Y40="Probabilidad",Y41="Probabilidad"),(AH40-(+AH40*AB41)),IF(Y41="Probabilidad",(Q40-(+Q40*AB41)),IF(Y41="Impacto",AH40,""))),"")</f>
        <v>0.14399999999999999</v>
      </c>
      <c r="AG41" s="188" t="str">
        <f t="shared" si="29"/>
        <v>Muy Baja</v>
      </c>
      <c r="AH41" s="186">
        <f t="shared" si="30"/>
        <v>0.14399999999999999</v>
      </c>
      <c r="AI41" s="188" t="str">
        <f t="shared" ca="1" si="31"/>
        <v>Mayor</v>
      </c>
      <c r="AJ41" s="186">
        <f t="shared" ref="AJ41" ca="1" si="70">IFERROR(IF(AND(Y40="Impacto",Y41="Impacto"),(AJ40-(+AJ40*AB41)),IF(Y41="Impacto",(U40-(+U40*AB41)),IF(Y41="Probabilidad",AJ40,""))),"")</f>
        <v>0.8</v>
      </c>
      <c r="AK41" s="189" t="str">
        <f t="shared" ca="1" si="33"/>
        <v>Alto</v>
      </c>
      <c r="AL41" s="185" t="s">
        <v>262</v>
      </c>
      <c r="AM41" s="333"/>
      <c r="AN41" s="333"/>
      <c r="AO41" s="353"/>
      <c r="AP41" s="353"/>
      <c r="AQ41" s="333"/>
      <c r="AR41" s="354"/>
    </row>
    <row r="42" spans="1:76" s="191" customFormat="1" ht="275.25" customHeight="1" thickTop="1" thickBot="1" x14ac:dyDescent="0.3">
      <c r="A42" s="226">
        <v>12</v>
      </c>
      <c r="B42" s="242" t="s">
        <v>542</v>
      </c>
      <c r="C42" s="227" t="s">
        <v>268</v>
      </c>
      <c r="D42" s="244" t="s">
        <v>973</v>
      </c>
      <c r="E42" s="227" t="s">
        <v>238</v>
      </c>
      <c r="F42" s="234" t="s">
        <v>1076</v>
      </c>
      <c r="G42" s="234" t="s">
        <v>543</v>
      </c>
      <c r="H42" s="251" t="s">
        <v>1120</v>
      </c>
      <c r="I42" s="231" t="s">
        <v>474</v>
      </c>
      <c r="J42" s="231" t="s">
        <v>474</v>
      </c>
      <c r="K42" s="231" t="s">
        <v>474</v>
      </c>
      <c r="L42" s="231" t="s">
        <v>474</v>
      </c>
      <c r="M42" s="227" t="s">
        <v>239</v>
      </c>
      <c r="N42" s="227"/>
      <c r="O42" s="230">
        <v>340</v>
      </c>
      <c r="P42" s="232" t="str">
        <f>IF(O42&lt;=0,"",IF(O42&lt;=2,"Muy Baja",IF(O42&lt;=24,"Baja",IF(O42&lt;=500,"Media",IF(O42&lt;=5000,"Alta","Muy Alta")))))</f>
        <v>Media</v>
      </c>
      <c r="Q42" s="225">
        <f>IF(P42="","",IF(P42="Muy Baja",0.2,IF(P42="Baja",0.4,IF(P42="Media",0.6,IF(P42="Alta",0.8,IF(P42="Muy Alta",1,))))))</f>
        <v>0.6</v>
      </c>
      <c r="R42" s="225" t="s">
        <v>190</v>
      </c>
      <c r="S42" s="225" t="str">
        <f ca="1">IF(NOT(ISERROR(MATCH(R42,'Tabla Impacto'!$B$221:$B$223,0))),'Tabla Impacto'!$F$223&amp;"Por favor no seleccionar los criterios de impacto(Afectación Económica o presupuestal y Pérdida Reputacional)",R42)</f>
        <v>El riesgo afecta la imagen de la entidad con algunos usuarios de relevancia frente al logro de los objetivos</v>
      </c>
      <c r="T42" s="232" t="str">
        <f ca="1">+IF(OR(S42='[1]Tabla Impacto'!$C$11,S42='[1]Tabla Impacto'!$D$11),"Leve",IF(OR(S42='[1]Tabla Impacto'!$C$12,S42='[1]Tabla Impacto'!$D$12),"Menor",IF(OR(S42='[1]Tabla Impacto'!$C$13,S42='[1]Tabla Impacto'!$D$13),"Moderado",IF(OR(S42='[1]Tabla Impacto'!$C$14,S42='[1]Tabla Impacto'!$D$14),"Mayor",IF(OR(S42='[1]Tabla Impacto'!$C$15,S42='[1]Tabla Impacto'!$D$15),"Catastrófico","")))))</f>
        <v>Moderado</v>
      </c>
      <c r="U42" s="225">
        <f t="shared" ref="U42" ca="1" si="71">IF(T42="","",IF(T42="Leve",0.2,IF(T42="Menor",0.4,IF(T42="Moderado",0.6,IF(T42="Mayor",0.8,IF(T42="Catastrófico",1,))))))</f>
        <v>0.6</v>
      </c>
      <c r="V42" s="233" t="str">
        <f t="shared" ref="V42" ca="1" si="72">IF(OR(AND(P42="Muy Baja",T42="Leve"),AND(P42="Muy Baja",T42="Menor"),AND(P42="Baja",T42="Leve")),"Bajo",IF(OR(AND(P42="Muy baja",T42="Moderado"),AND(P42="Baja",T42="Menor"),AND(P42="Baja",T42="Moderado"),AND(P42="Media",T42="Leve"),AND(P42="Media",T42="Menor"),AND(P42="Media",T42="Moderado"),AND(P42="Alta",T42="Leve"),AND(P42="Alta",T42="Menor")),"Moderado",IF(OR(AND(P42="Muy Baja",T42="Mayor"),AND(P42="Baja",T42="Mayor"),AND(P42="Media",T42="Mayor"),AND(P42="Alta",T42="Moderado"),AND(P42="Alta",T42="Mayor"),AND(P42="Muy Alta",T42="Leve"),AND(P42="Muy Alta",T42="Menor"),AND(P42="Muy Alta",T42="Moderado"),AND(P42="Muy Alta",T42="Mayor")),"Alto",IF(OR(AND(P42="Muy Baja",T42="Catastrófico"),AND(P42="Baja",T42="Catastrófico"),AND(P42="Media",T42="Catastrófico"),AND(P42="Alta",T42="Catastrófico"),AND(P42="Muy Alta",T42="Catastrófico")),"Extremo",""))))</f>
        <v>Moderado</v>
      </c>
      <c r="W42" s="233">
        <v>1</v>
      </c>
      <c r="X42" s="207" t="s">
        <v>993</v>
      </c>
      <c r="Y42" s="230" t="str">
        <f t="shared" si="28"/>
        <v>Probabilidad</v>
      </c>
      <c r="Z42" s="185" t="s">
        <v>208</v>
      </c>
      <c r="AA42" s="185" t="s">
        <v>216</v>
      </c>
      <c r="AB42" s="186" t="str">
        <f t="shared" ref="AB42:AB70" si="73">IF(AND(Z42="Preventivo",AA42="Automático"),"50%",IF(AND(Z42="Preventivo",AA42="Manual"),"40%",IF(AND(Z42="Detectivo",AA42="Automático"),"40%",IF(AND(Z42="Detectivo",AA42="Manual"),"30%",IF(AND(Z42="Correctivo",AA42="Automático"),"35%",IF(AND(Z42="Correctivo",AA42="Manual"),"25%",""))))))</f>
        <v>40%</v>
      </c>
      <c r="AC42" s="185" t="s">
        <v>219</v>
      </c>
      <c r="AD42" s="185" t="s">
        <v>226</v>
      </c>
      <c r="AE42" s="185" t="s">
        <v>228</v>
      </c>
      <c r="AF42" s="187">
        <f t="shared" ref="AF42" si="74">IFERROR(IF(Y42="Probabilidad",(Q42-(+Q42*AB42)),IF(Y42="Impacto",Q42,"")),"")</f>
        <v>0.36</v>
      </c>
      <c r="AG42" s="188" t="str">
        <f t="shared" si="29"/>
        <v>Baja</v>
      </c>
      <c r="AH42" s="186">
        <f t="shared" si="30"/>
        <v>0.36</v>
      </c>
      <c r="AI42" s="188" t="str">
        <f t="shared" ca="1" si="31"/>
        <v>Moderado</v>
      </c>
      <c r="AJ42" s="186">
        <f t="shared" ref="AJ42" ca="1" si="75">IFERROR(IF(Y42="Impacto",(U42-(+U42*AB42)),IF(Y42="Probabilidad",U42,"")),"")</f>
        <v>0.6</v>
      </c>
      <c r="AK42" s="189" t="str">
        <f t="shared" ca="1" si="33"/>
        <v>Moderado</v>
      </c>
      <c r="AL42" s="185" t="s">
        <v>255</v>
      </c>
      <c r="AM42" s="227"/>
      <c r="AN42" s="230"/>
      <c r="AO42" s="228"/>
      <c r="AP42" s="228"/>
      <c r="AQ42" s="227"/>
      <c r="AR42" s="229"/>
    </row>
    <row r="43" spans="1:76" s="191" customFormat="1" ht="297" customHeight="1" thickTop="1" thickBot="1" x14ac:dyDescent="0.3">
      <c r="A43" s="226">
        <v>13</v>
      </c>
      <c r="B43" s="242" t="s">
        <v>544</v>
      </c>
      <c r="C43" s="227" t="s">
        <v>268</v>
      </c>
      <c r="D43" s="244" t="s">
        <v>973</v>
      </c>
      <c r="E43" s="227" t="s">
        <v>238</v>
      </c>
      <c r="F43" s="234" t="s">
        <v>1076</v>
      </c>
      <c r="G43" s="234" t="s">
        <v>545</v>
      </c>
      <c r="H43" s="251" t="s">
        <v>1121</v>
      </c>
      <c r="I43" s="231" t="s">
        <v>474</v>
      </c>
      <c r="J43" s="231" t="s">
        <v>474</v>
      </c>
      <c r="K43" s="231" t="s">
        <v>474</v>
      </c>
      <c r="L43" s="231" t="s">
        <v>474</v>
      </c>
      <c r="M43" s="227" t="s">
        <v>239</v>
      </c>
      <c r="N43" s="227"/>
      <c r="O43" s="230">
        <v>340</v>
      </c>
      <c r="P43" s="232" t="str">
        <f>IF(O43&lt;=0,"",IF(O43&lt;=2,"Muy Baja",IF(O43&lt;=24,"Baja",IF(O43&lt;=500,"Media",IF(O43&lt;=5000,"Alta","Muy Alta")))))</f>
        <v>Media</v>
      </c>
      <c r="Q43" s="225">
        <f>IF(P43="","",IF(P43="Muy Baja",0.2,IF(P43="Baja",0.4,IF(P43="Media",0.6,IF(P43="Alta",0.8,IF(P43="Muy Alta",1,))))))</f>
        <v>0.6</v>
      </c>
      <c r="R43" s="225" t="s">
        <v>190</v>
      </c>
      <c r="S43" s="225" t="str">
        <f ca="1">IF(NOT(ISERROR(MATCH(R43,'Tabla Impacto'!$B$221:$B$223,0))),'Tabla Impacto'!$F$223&amp;"Por favor no seleccionar los criterios de impacto(Afectación Económica o presupuestal y Pérdida Reputacional)",R43)</f>
        <v>El riesgo afecta la imagen de la entidad con algunos usuarios de relevancia frente al logro de los objetivos</v>
      </c>
      <c r="T43" s="232" t="str">
        <f ca="1">+IF(OR(S43='[1]Tabla Impacto'!$C$11,S43='[1]Tabla Impacto'!$D$11),"Leve",IF(OR(S43='[1]Tabla Impacto'!$C$12,S43='[1]Tabla Impacto'!$D$12),"Menor",IF(OR(S43='[1]Tabla Impacto'!$C$13,S43='[1]Tabla Impacto'!$D$13),"Moderado",IF(OR(S43='[1]Tabla Impacto'!$C$14,S43='[1]Tabla Impacto'!$D$14),"Mayor",IF(OR(S43='[1]Tabla Impacto'!$C$15,S43='[1]Tabla Impacto'!$D$15),"Catastrófico","")))))</f>
        <v>Moderado</v>
      </c>
      <c r="U43" s="225">
        <f t="shared" ref="U43" ca="1" si="76">IF(T43="","",IF(T43="Leve",0.2,IF(T43="Menor",0.4,IF(T43="Moderado",0.6,IF(T43="Mayor",0.8,IF(T43="Catastrófico",1,))))))</f>
        <v>0.6</v>
      </c>
      <c r="V43" s="233" t="str">
        <f t="shared" ref="V43" ca="1" si="77">IF(OR(AND(P43="Muy Baja",T43="Leve"),AND(P43="Muy Baja",T43="Menor"),AND(P43="Baja",T43="Leve")),"Bajo",IF(OR(AND(P43="Muy baja",T43="Moderado"),AND(P43="Baja",T43="Menor"),AND(P43="Baja",T43="Moderado"),AND(P43="Media",T43="Leve"),AND(P43="Media",T43="Menor"),AND(P43="Media",T43="Moderado"),AND(P43="Alta",T43="Leve"),AND(P43="Alta",T43="Menor")),"Moderado",IF(OR(AND(P43="Muy Baja",T43="Mayor"),AND(P43="Baja",T43="Mayor"),AND(P43="Media",T43="Mayor"),AND(P43="Alta",T43="Moderado"),AND(P43="Alta",T43="Mayor"),AND(P43="Muy Alta",T43="Leve"),AND(P43="Muy Alta",T43="Menor"),AND(P43="Muy Alta",T43="Moderado"),AND(P43="Muy Alta",T43="Mayor")),"Alto",IF(OR(AND(P43="Muy Baja",T43="Catastrófico"),AND(P43="Baja",T43="Catastrófico"),AND(P43="Media",T43="Catastrófico"),AND(P43="Alta",T43="Catastrófico"),AND(P43="Muy Alta",T43="Catastrófico")),"Extremo",""))))</f>
        <v>Moderado</v>
      </c>
      <c r="W43" s="233">
        <v>1</v>
      </c>
      <c r="X43" s="207" t="s">
        <v>994</v>
      </c>
      <c r="Y43" s="230" t="str">
        <f t="shared" ref="Y43:Y44" si="78">IF(OR(Z43="Preventivo",Z43="Detectivo"),"Probabilidad",IF(Z43="Correctivo","Impacto",""))</f>
        <v>Probabilidad</v>
      </c>
      <c r="Z43" s="185" t="s">
        <v>208</v>
      </c>
      <c r="AA43" s="185" t="s">
        <v>216</v>
      </c>
      <c r="AB43" s="186" t="str">
        <f t="shared" si="73"/>
        <v>40%</v>
      </c>
      <c r="AC43" s="185" t="s">
        <v>219</v>
      </c>
      <c r="AD43" s="185" t="s">
        <v>226</v>
      </c>
      <c r="AE43" s="185" t="s">
        <v>228</v>
      </c>
      <c r="AF43" s="187">
        <f t="shared" ref="AF43" si="79">IFERROR(IF(Y43="Probabilidad",(Q43-(+Q43*AB43)),IF(Y43="Impacto",Q43,"")),"")</f>
        <v>0.36</v>
      </c>
      <c r="AG43" s="188" t="str">
        <f t="shared" ref="AG43:AG44" si="80">IFERROR(IF(AF43="","",IF(AF43&lt;=0.2,"Muy Baja",IF(AF43&lt;=0.4,"Baja",IF(AF43&lt;=0.6,"Media",IF(AF43&lt;=0.8,"Alta","Muy Alta"))))),"")</f>
        <v>Baja</v>
      </c>
      <c r="AH43" s="186">
        <f t="shared" ref="AH43:AH44" si="81">+AF43</f>
        <v>0.36</v>
      </c>
      <c r="AI43" s="188" t="str">
        <f t="shared" ref="AI43:AI44" ca="1" si="82">IFERROR(IF(AJ43="","",IF(AJ43&lt;=0.2,"Leve",IF(AJ43&lt;=0.4,"Menor",IF(AJ43&lt;=0.6,"Moderado",IF(AJ43&lt;=0.8,"Mayor","Catastrófico"))))),"")</f>
        <v>Moderado</v>
      </c>
      <c r="AJ43" s="186">
        <f t="shared" ref="AJ43" ca="1" si="83">IFERROR(IF(Y43="Impacto",(U43-(+U43*AB43)),IF(Y43="Probabilidad",U43,"")),"")</f>
        <v>0.6</v>
      </c>
      <c r="AK43" s="189" t="str">
        <f t="shared" ref="AK43:AK44" ca="1" si="84">IFERROR(IF(OR(AND(AG43="Muy Baja",AI43="Leve"),AND(AG43="Muy Baja",AI43="Menor"),AND(AG43="Baja",AI43="Leve")),"Bajo",IF(OR(AND(AG43="Muy baja",AI43="Moderado"),AND(AG43="Baja",AI43="Menor"),AND(AG43="Baja",AI43="Moderado"),AND(AG43="Media",AI43="Leve"),AND(AG43="Media",AI43="Menor"),AND(AG43="Media",AI43="Moderado"),AND(AG43="Alta",AI43="Leve"),AND(AG43="Alta",AI43="Menor")),"Moderado",IF(OR(AND(AG43="Muy Baja",AI43="Mayor"),AND(AG43="Baja",AI43="Mayor"),AND(AG43="Media",AI43="Mayor"),AND(AG43="Alta",AI43="Moderado"),AND(AG43="Alta",AI43="Mayor"),AND(AG43="Muy Alta",AI43="Leve"),AND(AG43="Muy Alta",AI43="Menor"),AND(AG43="Muy Alta",AI43="Moderado"),AND(AG43="Muy Alta",AI43="Mayor")),"Alto",IF(OR(AND(AG43="Muy Baja",AI43="Catastrófico"),AND(AG43="Baja",AI43="Catastrófico"),AND(AG43="Media",AI43="Catastrófico"),AND(AG43="Alta",AI43="Catastrófico"),AND(AG43="Muy Alta",AI43="Catastrófico")),"Extremo","")))),"")</f>
        <v>Moderado</v>
      </c>
      <c r="AL43" s="185" t="s">
        <v>255</v>
      </c>
      <c r="AM43" s="227"/>
      <c r="AN43" s="230"/>
      <c r="AO43" s="228"/>
      <c r="AP43" s="228"/>
      <c r="AQ43" s="227"/>
      <c r="AR43" s="229"/>
    </row>
    <row r="44" spans="1:76" s="191" customFormat="1" ht="408.75" customHeight="1" thickTop="1" thickBot="1" x14ac:dyDescent="0.3">
      <c r="A44" s="226">
        <v>14</v>
      </c>
      <c r="B44" s="242" t="s">
        <v>546</v>
      </c>
      <c r="C44" s="227" t="s">
        <v>268</v>
      </c>
      <c r="D44" s="244" t="s">
        <v>974</v>
      </c>
      <c r="E44" s="227" t="s">
        <v>238</v>
      </c>
      <c r="F44" s="234" t="s">
        <v>1077</v>
      </c>
      <c r="G44" s="234" t="s">
        <v>547</v>
      </c>
      <c r="H44" s="251" t="s">
        <v>1122</v>
      </c>
      <c r="I44" s="231" t="s">
        <v>474</v>
      </c>
      <c r="J44" s="231" t="s">
        <v>474</v>
      </c>
      <c r="K44" s="231" t="s">
        <v>474</v>
      </c>
      <c r="L44" s="231" t="s">
        <v>474</v>
      </c>
      <c r="M44" s="227" t="s">
        <v>239</v>
      </c>
      <c r="N44" s="227"/>
      <c r="O44" s="230">
        <v>50001</v>
      </c>
      <c r="P44" s="232" t="str">
        <f t="shared" ref="P44" si="85">IF(O44&lt;=0,"",IF(O44&lt;=2,"Muy Baja",IF(O44&lt;=24,"Baja",IF(O44&lt;=500,"Media",IF(O44&lt;=5000,"Alta","Muy Alta")))))</f>
        <v>Muy Alta</v>
      </c>
      <c r="Q44" s="225">
        <f t="shared" ref="Q44" si="86">IF(P44="","",IF(P44="Muy Baja",0.2,IF(P44="Baja",0.4,IF(P44="Media",0.6,IF(P44="Alta",0.8,IF(P44="Muy Alta",1,))))))</f>
        <v>1</v>
      </c>
      <c r="R44" s="225" t="s">
        <v>190</v>
      </c>
      <c r="S44" s="225" t="str">
        <f ca="1">IF(NOT(ISERROR(MATCH(R44,'Tabla Impacto'!$B$221:$B$223,0))),'Tabla Impacto'!$F$223&amp;"Por favor no seleccionar los criterios de impacto(Afectación Económica o presupuestal y Pérdida Reputacional)",R44)</f>
        <v>El riesgo afecta la imagen de la entidad con algunos usuarios de relevancia frente al logro de los objetivos</v>
      </c>
      <c r="T44" s="232" t="str">
        <f ca="1">+IF(OR(S44='[1]Tabla Impacto'!$C$11,S44='[1]Tabla Impacto'!$D$11),"Leve",IF(OR(S44='[1]Tabla Impacto'!$C$12,S44='[1]Tabla Impacto'!$D$12),"Menor",IF(OR(S44='[1]Tabla Impacto'!$C$13,S44='[1]Tabla Impacto'!$D$13),"Moderado",IF(OR(S44='[1]Tabla Impacto'!$C$14,S44='[1]Tabla Impacto'!$D$14),"Mayor",IF(OR(S44='[1]Tabla Impacto'!$C$15,S44='[1]Tabla Impacto'!$D$15),"Catastrófico","")))))</f>
        <v>Moderado</v>
      </c>
      <c r="U44" s="225">
        <f t="shared" ref="U44" ca="1" si="87">IF(T44="","",IF(T44="Leve",0.2,IF(T44="Menor",0.4,IF(T44="Moderado",0.6,IF(T44="Mayor",0.8,IF(T44="Catastrófico",1,))))))</f>
        <v>0.6</v>
      </c>
      <c r="V44" s="233" t="str">
        <f t="shared" ref="V44" ca="1" si="88">IF(OR(AND(P44="Muy Baja",T44="Leve"),AND(P44="Muy Baja",T44="Menor"),AND(P44="Baja",T44="Leve")),"Bajo",IF(OR(AND(P44="Muy baja",T44="Moderado"),AND(P44="Baja",T44="Menor"),AND(P44="Baja",T44="Moderado"),AND(P44="Media",T44="Leve"),AND(P44="Media",T44="Menor"),AND(P44="Media",T44="Moderado"),AND(P44="Alta",T44="Leve"),AND(P44="Alta",T44="Menor")),"Moderado",IF(OR(AND(P44="Muy Baja",T44="Mayor"),AND(P44="Baja",T44="Mayor"),AND(P44="Media",T44="Mayor"),AND(P44="Alta",T44="Moderado"),AND(P44="Alta",T44="Mayor"),AND(P44="Muy Alta",T44="Leve"),AND(P44="Muy Alta",T44="Menor"),AND(P44="Muy Alta",T44="Moderado"),AND(P44="Muy Alta",T44="Mayor")),"Alto",IF(OR(AND(P44="Muy Baja",T44="Catastrófico"),AND(P44="Baja",T44="Catastrófico"),AND(P44="Media",T44="Catastrófico"),AND(P44="Alta",T44="Catastrófico"),AND(P44="Muy Alta",T44="Catastrófico")),"Extremo",""))))</f>
        <v>Alto</v>
      </c>
      <c r="W44" s="233">
        <v>1</v>
      </c>
      <c r="X44" s="207" t="s">
        <v>1074</v>
      </c>
      <c r="Y44" s="230" t="str">
        <f t="shared" si="78"/>
        <v>Probabilidad</v>
      </c>
      <c r="Z44" s="185" t="s">
        <v>208</v>
      </c>
      <c r="AA44" s="185" t="s">
        <v>216</v>
      </c>
      <c r="AB44" s="186" t="str">
        <f t="shared" si="73"/>
        <v>40%</v>
      </c>
      <c r="AC44" s="185" t="s">
        <v>219</v>
      </c>
      <c r="AD44" s="185" t="s">
        <v>224</v>
      </c>
      <c r="AE44" s="185" t="s">
        <v>228</v>
      </c>
      <c r="AF44" s="187">
        <f t="shared" ref="AF44" si="89">IFERROR(IF(Y44="Probabilidad",(Q44-(+Q44*AB44)),IF(Y44="Impacto",Q44,"")),"")</f>
        <v>0.6</v>
      </c>
      <c r="AG44" s="188" t="str">
        <f t="shared" si="80"/>
        <v>Media</v>
      </c>
      <c r="AH44" s="186">
        <f t="shared" si="81"/>
        <v>0.6</v>
      </c>
      <c r="AI44" s="188" t="str">
        <f t="shared" ca="1" si="82"/>
        <v>Moderado</v>
      </c>
      <c r="AJ44" s="186">
        <f t="shared" ref="AJ44" ca="1" si="90">IFERROR(IF(Y44="Impacto",(U44-(+U44*AB44)),IF(Y44="Probabilidad",U44,"")),"")</f>
        <v>0.6</v>
      </c>
      <c r="AK44" s="189" t="str">
        <f t="shared" ca="1" si="84"/>
        <v>Moderado</v>
      </c>
      <c r="AL44" s="185" t="s">
        <v>255</v>
      </c>
      <c r="AM44" s="227"/>
      <c r="AN44" s="230"/>
      <c r="AO44" s="228"/>
      <c r="AP44" s="228"/>
      <c r="AQ44" s="227"/>
      <c r="AR44" s="229"/>
    </row>
    <row r="45" spans="1:76" s="191" customFormat="1" ht="148.5" customHeight="1" thickTop="1" thickBot="1" x14ac:dyDescent="0.3">
      <c r="A45" s="328">
        <v>15</v>
      </c>
      <c r="B45" s="345" t="s">
        <v>548</v>
      </c>
      <c r="C45" s="333" t="s">
        <v>269</v>
      </c>
      <c r="D45" s="333" t="s">
        <v>549</v>
      </c>
      <c r="E45" s="333" t="s">
        <v>236</v>
      </c>
      <c r="F45" s="333" t="s">
        <v>550</v>
      </c>
      <c r="G45" s="333" t="s">
        <v>551</v>
      </c>
      <c r="H45" s="393" t="s">
        <v>552</v>
      </c>
      <c r="I45" s="338" t="s">
        <v>474</v>
      </c>
      <c r="J45" s="338" t="s">
        <v>474</v>
      </c>
      <c r="K45" s="338" t="s">
        <v>474</v>
      </c>
      <c r="L45" s="338" t="s">
        <v>474</v>
      </c>
      <c r="M45" s="333" t="s">
        <v>239</v>
      </c>
      <c r="N45" s="333"/>
      <c r="O45" s="339">
        <v>5000</v>
      </c>
      <c r="P45" s="340" t="str">
        <f t="shared" ref="P45" si="91">IF(O45&lt;=0,"",IF(O45&lt;=2,"Muy Baja",IF(O45&lt;=24,"Baja",IF(O45&lt;=500,"Media",IF(O45&lt;=5000,"Alta","Muy Alta")))))</f>
        <v>Alta</v>
      </c>
      <c r="Q45" s="341">
        <f t="shared" ref="Q45" si="92">IF(P45="","",IF(P45="Muy Baja",0.2,IF(P45="Baja",0.4,IF(P45="Media",0.6,IF(P45="Alta",0.8,IF(P45="Muy Alta",1,))))))</f>
        <v>0.8</v>
      </c>
      <c r="R45" s="341" t="s">
        <v>186</v>
      </c>
      <c r="S45" s="341" t="str">
        <f ca="1">IF(NOT(ISERROR(MATCH(R45,'Tabla Impacto'!$B$221:$B$223,0))),'Tabla Impacto'!$F$223&amp;"Por favor no seleccionar los criterios de impacto(Afectación Económica o presupuestal y Pérdida Reputacional)",R45)</f>
        <v xml:space="preserve">Entre 10 y 50 SMLMV </v>
      </c>
      <c r="T45" s="340" t="str">
        <f ca="1">+IF(OR(S45='[1]Tabla Impacto'!$C$11,S45='[1]Tabla Impacto'!$D$11),"Leve",IF(OR(S45='[1]Tabla Impacto'!$C$12,S45='[1]Tabla Impacto'!$D$12),"Menor",IF(OR(S45='[1]Tabla Impacto'!$C$13,S45='[1]Tabla Impacto'!$D$13),"Moderado",IF(OR(S45='[1]Tabla Impacto'!$C$14,S45='[1]Tabla Impacto'!$D$14),"Mayor",IF(OR(S45='[1]Tabla Impacto'!$C$15,S45='[1]Tabla Impacto'!$D$15),"Catastrófico","")))))</f>
        <v>Menor</v>
      </c>
      <c r="U45" s="341">
        <f t="shared" ref="U45" ca="1" si="93">IF(T45="","",IF(T45="Leve",0.2,IF(T45="Menor",0.4,IF(T45="Moderado",0.6,IF(T45="Mayor",0.8,IF(T45="Catastrófico",1,))))))</f>
        <v>0.4</v>
      </c>
      <c r="V45" s="327" t="str">
        <f t="shared" ref="V45" ca="1" si="94">IF(OR(AND(P45="Muy Baja",T45="Leve"),AND(P45="Muy Baja",T45="Menor"),AND(P45="Baja",T45="Leve")),"Bajo",IF(OR(AND(P45="Muy baja",T45="Moderado"),AND(P45="Baja",T45="Menor"),AND(P45="Baja",T45="Moderado"),AND(P45="Media",T45="Leve"),AND(P45="Media",T45="Menor"),AND(P45="Media",T45="Moderado"),AND(P45="Alta",T45="Leve"),AND(P45="Alta",T45="Menor")),"Moderado",IF(OR(AND(P45="Muy Baja",T45="Mayor"),AND(P45="Baja",T45="Mayor"),AND(P45="Media",T45="Mayor"),AND(P45="Alta",T45="Moderado"),AND(P45="Alta",T45="Mayor"),AND(P45="Muy Alta",T45="Leve"),AND(P45="Muy Alta",T45="Menor"),AND(P45="Muy Alta",T45="Moderado"),AND(P45="Muy Alta",T45="Mayor")),"Alto",IF(OR(AND(P45="Muy Baja",T45="Catastrófico"),AND(P45="Baja",T45="Catastrófico"),AND(P45="Media",T45="Catastrófico"),AND(P45="Alta",T45="Catastrófico"),AND(P45="Muy Alta",T45="Catastrófico")),"Extremo",""))))</f>
        <v>Moderado</v>
      </c>
      <c r="W45" s="233">
        <v>1</v>
      </c>
      <c r="X45" s="207" t="s">
        <v>995</v>
      </c>
      <c r="Y45" s="230" t="str">
        <f t="shared" ref="Y45:Y59" si="95">IF(OR(Z45="Preventivo",Z45="Detectivo"),"Probabilidad",IF(Z45="Correctivo","Impacto",""))</f>
        <v>Probabilidad</v>
      </c>
      <c r="Z45" s="185" t="s">
        <v>210</v>
      </c>
      <c r="AA45" s="185" t="s">
        <v>216</v>
      </c>
      <c r="AB45" s="186" t="str">
        <f t="shared" si="73"/>
        <v>30%</v>
      </c>
      <c r="AC45" s="185" t="s">
        <v>219</v>
      </c>
      <c r="AD45" s="185" t="s">
        <v>224</v>
      </c>
      <c r="AE45" s="185" t="s">
        <v>228</v>
      </c>
      <c r="AF45" s="187">
        <f t="shared" ref="AF45" si="96">IFERROR(IF(Y45="Probabilidad",(Q45-(+Q45*AB45)),IF(Y45="Impacto",Q45,"")),"")</f>
        <v>0.56000000000000005</v>
      </c>
      <c r="AG45" s="188" t="str">
        <f t="shared" ref="AG45:AG59" si="97">IFERROR(IF(AF45="","",IF(AF45&lt;=0.2,"Muy Baja",IF(AF45&lt;=0.4,"Baja",IF(AF45&lt;=0.6,"Media",IF(AF45&lt;=0.8,"Alta","Muy Alta"))))),"")</f>
        <v>Media</v>
      </c>
      <c r="AH45" s="186">
        <f t="shared" ref="AH45:AH59" si="98">+AF45</f>
        <v>0.56000000000000005</v>
      </c>
      <c r="AI45" s="188" t="str">
        <f t="shared" ref="AI45:AI59" ca="1" si="99">IFERROR(IF(AJ45="","",IF(AJ45&lt;=0.2,"Leve",IF(AJ45&lt;=0.4,"Menor",IF(AJ45&lt;=0.6,"Moderado",IF(AJ45&lt;=0.8,"Mayor","Catastrófico"))))),"")</f>
        <v>Menor</v>
      </c>
      <c r="AJ45" s="186">
        <f t="shared" ref="AJ45" ca="1" si="100">IFERROR(IF(Y45="Impacto",(U45-(+U45*AB45)),IF(Y45="Probabilidad",U45,"")),"")</f>
        <v>0.4</v>
      </c>
      <c r="AK45" s="189" t="str">
        <f t="shared" ref="AK45:AK59" ca="1" si="101">IFERROR(IF(OR(AND(AG45="Muy Baja",AI45="Leve"),AND(AG45="Muy Baja",AI45="Menor"),AND(AG45="Baja",AI45="Leve")),"Bajo",IF(OR(AND(AG45="Muy baja",AI45="Moderado"),AND(AG45="Baja",AI45="Menor"),AND(AG45="Baja",AI45="Moderado"),AND(AG45="Media",AI45="Leve"),AND(AG45="Media",AI45="Menor"),AND(AG45="Media",AI45="Moderado"),AND(AG45="Alta",AI45="Leve"),AND(AG45="Alta",AI45="Menor")),"Moderado",IF(OR(AND(AG45="Muy Baja",AI45="Mayor"),AND(AG45="Baja",AI45="Mayor"),AND(AG45="Media",AI45="Mayor"),AND(AG45="Alta",AI45="Moderado"),AND(AG45="Alta",AI45="Mayor"),AND(AG45="Muy Alta",AI45="Leve"),AND(AG45="Muy Alta",AI45="Menor"),AND(AG45="Muy Alta",AI45="Moderado"),AND(AG45="Muy Alta",AI45="Mayor")),"Alto",IF(OR(AND(AG45="Muy Baja",AI45="Catastrófico"),AND(AG45="Baja",AI45="Catastrófico"),AND(AG45="Media",AI45="Catastrófico"),AND(AG45="Alta",AI45="Catastrófico"),AND(AG45="Muy Alta",AI45="Catastrófico")),"Extremo","")))),"")</f>
        <v>Moderado</v>
      </c>
      <c r="AL45" s="185" t="s">
        <v>255</v>
      </c>
      <c r="AM45" s="227"/>
      <c r="AN45" s="230"/>
      <c r="AO45" s="228"/>
      <c r="AP45" s="228"/>
      <c r="AQ45" s="227"/>
      <c r="AR45" s="229"/>
    </row>
    <row r="46" spans="1:76" s="191" customFormat="1" ht="239.25" customHeight="1" thickTop="1" thickBot="1" x14ac:dyDescent="0.3">
      <c r="A46" s="328"/>
      <c r="B46" s="345"/>
      <c r="C46" s="333"/>
      <c r="D46" s="333"/>
      <c r="E46" s="333"/>
      <c r="F46" s="333"/>
      <c r="G46" s="333"/>
      <c r="H46" s="393"/>
      <c r="I46" s="338"/>
      <c r="J46" s="338"/>
      <c r="K46" s="338"/>
      <c r="L46" s="338"/>
      <c r="M46" s="333"/>
      <c r="N46" s="333"/>
      <c r="O46" s="339"/>
      <c r="P46" s="340"/>
      <c r="Q46" s="341"/>
      <c r="R46" s="341"/>
      <c r="S46" s="341"/>
      <c r="T46" s="340"/>
      <c r="U46" s="341"/>
      <c r="V46" s="327"/>
      <c r="W46" s="233">
        <v>2</v>
      </c>
      <c r="X46" s="207" t="s">
        <v>996</v>
      </c>
      <c r="Y46" s="230" t="str">
        <f t="shared" si="95"/>
        <v>Probabilidad</v>
      </c>
      <c r="Z46" s="185" t="s">
        <v>208</v>
      </c>
      <c r="AA46" s="185" t="s">
        <v>216</v>
      </c>
      <c r="AB46" s="186" t="str">
        <f t="shared" si="73"/>
        <v>40%</v>
      </c>
      <c r="AC46" s="185" t="s">
        <v>219</v>
      </c>
      <c r="AD46" s="185" t="s">
        <v>226</v>
      </c>
      <c r="AE46" s="185" t="s">
        <v>228</v>
      </c>
      <c r="AF46" s="187">
        <f t="shared" ref="AF46:AF53" si="102">IFERROR(IF(AND(Y45="Probabilidad",Y46="Probabilidad"),(AH45-(+AH45*AB46)),IF(Y46="Probabilidad",(Q45-(+Q45*AB46)),IF(Y46="Impacto",AH45,""))),"")</f>
        <v>0.33600000000000002</v>
      </c>
      <c r="AG46" s="188" t="str">
        <f t="shared" si="97"/>
        <v>Baja</v>
      </c>
      <c r="AH46" s="186">
        <f t="shared" si="98"/>
        <v>0.33600000000000002</v>
      </c>
      <c r="AI46" s="188" t="str">
        <f t="shared" ca="1" si="99"/>
        <v>Menor</v>
      </c>
      <c r="AJ46" s="186">
        <f t="shared" ref="AJ46" ca="1" si="103">IFERROR(IF(AND(Y45="Impacto",Y46="Impacto"),(AJ45-(+AJ45*AB46)),IF(Y46="Impacto",(U45-(+U45*AB46)),IF(Y46="Probabilidad",AJ45,""))),"")</f>
        <v>0.4</v>
      </c>
      <c r="AK46" s="189" t="str">
        <f t="shared" ca="1" si="101"/>
        <v>Moderado</v>
      </c>
      <c r="AL46" s="185" t="s">
        <v>255</v>
      </c>
      <c r="AM46" s="227"/>
      <c r="AN46" s="230"/>
      <c r="AO46" s="228"/>
      <c r="AP46" s="228"/>
      <c r="AQ46" s="227"/>
      <c r="AR46" s="229"/>
    </row>
    <row r="47" spans="1:76" s="191" customFormat="1" ht="233.25" customHeight="1" thickTop="1" thickBot="1" x14ac:dyDescent="0.3">
      <c r="A47" s="328"/>
      <c r="B47" s="345"/>
      <c r="C47" s="333"/>
      <c r="D47" s="333"/>
      <c r="E47" s="333"/>
      <c r="F47" s="333"/>
      <c r="G47" s="333"/>
      <c r="H47" s="393"/>
      <c r="I47" s="338"/>
      <c r="J47" s="338"/>
      <c r="K47" s="338"/>
      <c r="L47" s="338"/>
      <c r="M47" s="333"/>
      <c r="N47" s="333"/>
      <c r="O47" s="339"/>
      <c r="P47" s="340"/>
      <c r="Q47" s="341"/>
      <c r="R47" s="341"/>
      <c r="S47" s="341"/>
      <c r="T47" s="340"/>
      <c r="U47" s="341"/>
      <c r="V47" s="327"/>
      <c r="W47" s="233">
        <v>3</v>
      </c>
      <c r="X47" s="207" t="s">
        <v>997</v>
      </c>
      <c r="Y47" s="230" t="str">
        <f t="shared" si="95"/>
        <v>Probabilidad</v>
      </c>
      <c r="Z47" s="185" t="s">
        <v>208</v>
      </c>
      <c r="AA47" s="185" t="s">
        <v>216</v>
      </c>
      <c r="AB47" s="186" t="str">
        <f t="shared" si="73"/>
        <v>40%</v>
      </c>
      <c r="AC47" s="185" t="s">
        <v>219</v>
      </c>
      <c r="AD47" s="185" t="s">
        <v>224</v>
      </c>
      <c r="AE47" s="185" t="s">
        <v>228</v>
      </c>
      <c r="AF47" s="187">
        <f t="shared" si="102"/>
        <v>0.2016</v>
      </c>
      <c r="AG47" s="188" t="str">
        <f t="shared" si="97"/>
        <v>Baja</v>
      </c>
      <c r="AH47" s="186">
        <f t="shared" si="98"/>
        <v>0.2016</v>
      </c>
      <c r="AI47" s="188" t="str">
        <f t="shared" ca="1" si="99"/>
        <v>Menor</v>
      </c>
      <c r="AJ47" s="186">
        <f t="shared" ref="AJ47:AJ50" ca="1" si="104">IFERROR(IF(AND(Y46="Impacto",Y47="Impacto"),(AJ46-(+AJ46*AB47)),IF(AND(Y46="Probabilidad",Y47="Impacto"),(AJ45-(+AJ45*AB47)),IF(Y47="Probabilidad",AJ46,""))),"")</f>
        <v>0.4</v>
      </c>
      <c r="AK47" s="189" t="str">
        <f t="shared" ca="1" si="101"/>
        <v>Moderado</v>
      </c>
      <c r="AL47" s="185" t="s">
        <v>255</v>
      </c>
      <c r="AM47" s="227"/>
      <c r="AN47" s="230"/>
      <c r="AO47" s="228"/>
      <c r="AP47" s="228"/>
      <c r="AQ47" s="227"/>
      <c r="AR47" s="229"/>
    </row>
    <row r="48" spans="1:76" s="191" customFormat="1" ht="249" customHeight="1" thickTop="1" thickBot="1" x14ac:dyDescent="0.3">
      <c r="A48" s="328"/>
      <c r="B48" s="345"/>
      <c r="C48" s="333"/>
      <c r="D48" s="333"/>
      <c r="E48" s="333"/>
      <c r="F48" s="333"/>
      <c r="G48" s="333"/>
      <c r="H48" s="393"/>
      <c r="I48" s="338"/>
      <c r="J48" s="338"/>
      <c r="K48" s="338"/>
      <c r="L48" s="338"/>
      <c r="M48" s="333"/>
      <c r="N48" s="333"/>
      <c r="O48" s="339"/>
      <c r="P48" s="340"/>
      <c r="Q48" s="341"/>
      <c r="R48" s="341"/>
      <c r="S48" s="341"/>
      <c r="T48" s="340"/>
      <c r="U48" s="341"/>
      <c r="V48" s="327"/>
      <c r="W48" s="233">
        <v>4</v>
      </c>
      <c r="X48" s="207" t="s">
        <v>998</v>
      </c>
      <c r="Y48" s="230" t="str">
        <f t="shared" si="95"/>
        <v>Probabilidad</v>
      </c>
      <c r="Z48" s="185" t="s">
        <v>208</v>
      </c>
      <c r="AA48" s="185" t="s">
        <v>216</v>
      </c>
      <c r="AB48" s="186" t="str">
        <f t="shared" si="73"/>
        <v>40%</v>
      </c>
      <c r="AC48" s="185" t="s">
        <v>219</v>
      </c>
      <c r="AD48" s="185" t="s">
        <v>224</v>
      </c>
      <c r="AE48" s="185" t="s">
        <v>228</v>
      </c>
      <c r="AF48" s="187">
        <f t="shared" si="102"/>
        <v>0.12096</v>
      </c>
      <c r="AG48" s="188" t="str">
        <f t="shared" si="97"/>
        <v>Muy Baja</v>
      </c>
      <c r="AH48" s="186">
        <f t="shared" si="98"/>
        <v>0.12096</v>
      </c>
      <c r="AI48" s="188" t="str">
        <f t="shared" ca="1" si="99"/>
        <v>Menor</v>
      </c>
      <c r="AJ48" s="186">
        <f t="shared" ca="1" si="104"/>
        <v>0.4</v>
      </c>
      <c r="AK48" s="189" t="str">
        <f t="shared" ca="1" si="101"/>
        <v>Bajo</v>
      </c>
      <c r="AL48" s="185" t="s">
        <v>255</v>
      </c>
      <c r="AM48" s="227"/>
      <c r="AN48" s="230"/>
      <c r="AO48" s="228"/>
      <c r="AP48" s="228"/>
      <c r="AQ48" s="227"/>
      <c r="AR48" s="229"/>
    </row>
    <row r="49" spans="1:44" s="191" customFormat="1" ht="215.25" customHeight="1" thickTop="1" thickBot="1" x14ac:dyDescent="0.3">
      <c r="A49" s="328"/>
      <c r="B49" s="345"/>
      <c r="C49" s="333"/>
      <c r="D49" s="333"/>
      <c r="E49" s="333"/>
      <c r="F49" s="333"/>
      <c r="G49" s="333"/>
      <c r="H49" s="393"/>
      <c r="I49" s="338"/>
      <c r="J49" s="338"/>
      <c r="K49" s="338"/>
      <c r="L49" s="338"/>
      <c r="M49" s="333"/>
      <c r="N49" s="333"/>
      <c r="O49" s="339"/>
      <c r="P49" s="340"/>
      <c r="Q49" s="341"/>
      <c r="R49" s="341"/>
      <c r="S49" s="341"/>
      <c r="T49" s="340"/>
      <c r="U49" s="341"/>
      <c r="V49" s="327"/>
      <c r="W49" s="233">
        <v>5</v>
      </c>
      <c r="X49" s="207" t="s">
        <v>999</v>
      </c>
      <c r="Y49" s="230" t="str">
        <f t="shared" si="95"/>
        <v>Probabilidad</v>
      </c>
      <c r="Z49" s="185" t="s">
        <v>208</v>
      </c>
      <c r="AA49" s="185" t="s">
        <v>216</v>
      </c>
      <c r="AB49" s="186" t="str">
        <f t="shared" si="73"/>
        <v>40%</v>
      </c>
      <c r="AC49" s="185" t="s">
        <v>219</v>
      </c>
      <c r="AD49" s="185" t="s">
        <v>224</v>
      </c>
      <c r="AE49" s="185" t="s">
        <v>228</v>
      </c>
      <c r="AF49" s="187">
        <f t="shared" si="102"/>
        <v>7.2576000000000002E-2</v>
      </c>
      <c r="AG49" s="188" t="str">
        <f t="shared" si="97"/>
        <v>Muy Baja</v>
      </c>
      <c r="AH49" s="186">
        <f t="shared" si="98"/>
        <v>7.2576000000000002E-2</v>
      </c>
      <c r="AI49" s="188" t="str">
        <f t="shared" ca="1" si="99"/>
        <v>Menor</v>
      </c>
      <c r="AJ49" s="186">
        <f t="shared" ca="1" si="104"/>
        <v>0.4</v>
      </c>
      <c r="AK49" s="189" t="str">
        <f t="shared" ca="1" si="101"/>
        <v>Bajo</v>
      </c>
      <c r="AL49" s="185" t="s">
        <v>255</v>
      </c>
      <c r="AM49" s="227"/>
      <c r="AN49" s="230"/>
      <c r="AO49" s="228"/>
      <c r="AP49" s="228"/>
      <c r="AQ49" s="227"/>
      <c r="AR49" s="229"/>
    </row>
    <row r="50" spans="1:44" s="191" customFormat="1" ht="175.5" customHeight="1" thickTop="1" thickBot="1" x14ac:dyDescent="0.3">
      <c r="A50" s="328"/>
      <c r="B50" s="345"/>
      <c r="C50" s="333"/>
      <c r="D50" s="333"/>
      <c r="E50" s="333"/>
      <c r="F50" s="333"/>
      <c r="G50" s="333"/>
      <c r="H50" s="393"/>
      <c r="I50" s="338"/>
      <c r="J50" s="338"/>
      <c r="K50" s="338"/>
      <c r="L50" s="338"/>
      <c r="M50" s="333"/>
      <c r="N50" s="333"/>
      <c r="O50" s="339"/>
      <c r="P50" s="340"/>
      <c r="Q50" s="341"/>
      <c r="R50" s="341"/>
      <c r="S50" s="341"/>
      <c r="T50" s="340"/>
      <c r="U50" s="341"/>
      <c r="V50" s="327"/>
      <c r="W50" s="233">
        <v>6</v>
      </c>
      <c r="X50" s="209" t="s">
        <v>1000</v>
      </c>
      <c r="Y50" s="230" t="str">
        <f t="shared" si="95"/>
        <v>Probabilidad</v>
      </c>
      <c r="Z50" s="185" t="s">
        <v>208</v>
      </c>
      <c r="AA50" s="185" t="s">
        <v>216</v>
      </c>
      <c r="AB50" s="186" t="str">
        <f t="shared" si="73"/>
        <v>40%</v>
      </c>
      <c r="AC50" s="185" t="s">
        <v>219</v>
      </c>
      <c r="AD50" s="185" t="s">
        <v>224</v>
      </c>
      <c r="AE50" s="185" t="s">
        <v>228</v>
      </c>
      <c r="AF50" s="187">
        <f t="shared" si="102"/>
        <v>4.3545600000000004E-2</v>
      </c>
      <c r="AG50" s="188" t="str">
        <f t="shared" si="97"/>
        <v>Muy Baja</v>
      </c>
      <c r="AH50" s="186">
        <f t="shared" si="98"/>
        <v>4.3545600000000004E-2</v>
      </c>
      <c r="AI50" s="188" t="str">
        <f t="shared" ca="1" si="99"/>
        <v>Menor</v>
      </c>
      <c r="AJ50" s="186">
        <f t="shared" ca="1" si="104"/>
        <v>0.4</v>
      </c>
      <c r="AK50" s="189" t="str">
        <f t="shared" ca="1" si="101"/>
        <v>Bajo</v>
      </c>
      <c r="AL50" s="185" t="s">
        <v>255</v>
      </c>
      <c r="AM50" s="227"/>
      <c r="AN50" s="230"/>
      <c r="AO50" s="228"/>
      <c r="AP50" s="228"/>
      <c r="AQ50" s="227"/>
      <c r="AR50" s="229"/>
    </row>
    <row r="51" spans="1:44" s="191" customFormat="1" ht="219.75" customHeight="1" thickTop="1" thickBot="1" x14ac:dyDescent="0.3">
      <c r="A51" s="328"/>
      <c r="B51" s="345"/>
      <c r="C51" s="333"/>
      <c r="D51" s="333"/>
      <c r="E51" s="333"/>
      <c r="F51" s="333"/>
      <c r="G51" s="333"/>
      <c r="H51" s="393"/>
      <c r="I51" s="338"/>
      <c r="J51" s="338"/>
      <c r="K51" s="338"/>
      <c r="L51" s="338"/>
      <c r="M51" s="333"/>
      <c r="N51" s="333"/>
      <c r="O51" s="339"/>
      <c r="P51" s="340"/>
      <c r="Q51" s="341"/>
      <c r="R51" s="341"/>
      <c r="S51" s="341"/>
      <c r="T51" s="340"/>
      <c r="U51" s="341"/>
      <c r="V51" s="327"/>
      <c r="W51" s="233">
        <v>7</v>
      </c>
      <c r="X51" s="209" t="s">
        <v>1001</v>
      </c>
      <c r="Y51" s="230" t="str">
        <f t="shared" si="95"/>
        <v>Probabilidad</v>
      </c>
      <c r="Z51" s="185" t="s">
        <v>208</v>
      </c>
      <c r="AA51" s="185" t="s">
        <v>216</v>
      </c>
      <c r="AB51" s="186" t="str">
        <f t="shared" si="73"/>
        <v>40%</v>
      </c>
      <c r="AC51" s="185" t="s">
        <v>219</v>
      </c>
      <c r="AD51" s="185" t="s">
        <v>224</v>
      </c>
      <c r="AE51" s="185" t="s">
        <v>228</v>
      </c>
      <c r="AF51" s="187">
        <f t="shared" si="102"/>
        <v>2.6127360000000002E-2</v>
      </c>
      <c r="AG51" s="188" t="str">
        <f t="shared" si="97"/>
        <v>Muy Baja</v>
      </c>
      <c r="AH51" s="186">
        <f t="shared" si="98"/>
        <v>2.6127360000000002E-2</v>
      </c>
      <c r="AI51" s="188" t="str">
        <f t="shared" si="99"/>
        <v>Leve</v>
      </c>
      <c r="AJ51" s="186">
        <f t="shared" ref="AJ51" si="105">IFERROR(IF(Y51="Impacto",(U51-(+U51*AB51)),IF(Y51="Probabilidad",U51,"")),"")</f>
        <v>0</v>
      </c>
      <c r="AK51" s="189" t="str">
        <f t="shared" si="101"/>
        <v>Bajo</v>
      </c>
      <c r="AL51" s="185" t="s">
        <v>255</v>
      </c>
      <c r="AM51" s="227"/>
      <c r="AN51" s="230"/>
      <c r="AO51" s="228"/>
      <c r="AP51" s="228"/>
      <c r="AQ51" s="227"/>
      <c r="AR51" s="229"/>
    </row>
    <row r="52" spans="1:44" s="191" customFormat="1" ht="162" customHeight="1" thickTop="1" thickBot="1" x14ac:dyDescent="0.3">
      <c r="A52" s="328"/>
      <c r="B52" s="345"/>
      <c r="C52" s="333"/>
      <c r="D52" s="333"/>
      <c r="E52" s="333"/>
      <c r="F52" s="333"/>
      <c r="G52" s="333"/>
      <c r="H52" s="393"/>
      <c r="I52" s="338"/>
      <c r="J52" s="338"/>
      <c r="K52" s="338"/>
      <c r="L52" s="338"/>
      <c r="M52" s="333"/>
      <c r="N52" s="333"/>
      <c r="O52" s="339"/>
      <c r="P52" s="340"/>
      <c r="Q52" s="341"/>
      <c r="R52" s="341"/>
      <c r="S52" s="341"/>
      <c r="T52" s="340"/>
      <c r="U52" s="341"/>
      <c r="V52" s="327"/>
      <c r="W52" s="233">
        <v>8</v>
      </c>
      <c r="X52" s="209" t="s">
        <v>1002</v>
      </c>
      <c r="Y52" s="230" t="str">
        <f t="shared" si="95"/>
        <v>Probabilidad</v>
      </c>
      <c r="Z52" s="185" t="s">
        <v>208</v>
      </c>
      <c r="AA52" s="185" t="s">
        <v>216</v>
      </c>
      <c r="AB52" s="186" t="str">
        <f t="shared" si="73"/>
        <v>40%</v>
      </c>
      <c r="AC52" s="185" t="s">
        <v>219</v>
      </c>
      <c r="AD52" s="185" t="s">
        <v>224</v>
      </c>
      <c r="AE52" s="185" t="s">
        <v>228</v>
      </c>
      <c r="AF52" s="187">
        <f t="shared" si="102"/>
        <v>1.5676415999999999E-2</v>
      </c>
      <c r="AG52" s="188" t="str">
        <f t="shared" si="97"/>
        <v>Muy Baja</v>
      </c>
      <c r="AH52" s="186">
        <f t="shared" si="98"/>
        <v>1.5676415999999999E-2</v>
      </c>
      <c r="AI52" s="188" t="str">
        <f t="shared" si="99"/>
        <v>Leve</v>
      </c>
      <c r="AJ52" s="186">
        <f t="shared" ref="AJ52" si="106">IFERROR(IF(AND(Y51="Impacto",Y52="Impacto"),(AJ51-(+AJ51*AB52)),IF(Y52="Impacto",(U51-(+U51*AB52)),IF(Y52="Probabilidad",AJ51,""))),"")</f>
        <v>0</v>
      </c>
      <c r="AK52" s="189" t="str">
        <f t="shared" si="101"/>
        <v>Bajo</v>
      </c>
      <c r="AL52" s="185" t="s">
        <v>255</v>
      </c>
      <c r="AM52" s="227"/>
      <c r="AN52" s="230"/>
      <c r="AO52" s="228"/>
      <c r="AP52" s="228"/>
      <c r="AQ52" s="227"/>
      <c r="AR52" s="229"/>
    </row>
    <row r="53" spans="1:44" s="191" customFormat="1" ht="160.5" customHeight="1" thickTop="1" thickBot="1" x14ac:dyDescent="0.3">
      <c r="A53" s="328"/>
      <c r="B53" s="345"/>
      <c r="C53" s="333"/>
      <c r="D53" s="333"/>
      <c r="E53" s="333"/>
      <c r="F53" s="333"/>
      <c r="G53" s="333"/>
      <c r="H53" s="393"/>
      <c r="I53" s="338"/>
      <c r="J53" s="338"/>
      <c r="K53" s="338"/>
      <c r="L53" s="338"/>
      <c r="M53" s="333"/>
      <c r="N53" s="333"/>
      <c r="O53" s="339"/>
      <c r="P53" s="340"/>
      <c r="Q53" s="341"/>
      <c r="R53" s="341"/>
      <c r="S53" s="341"/>
      <c r="T53" s="340"/>
      <c r="U53" s="341"/>
      <c r="V53" s="327"/>
      <c r="W53" s="233">
        <v>9</v>
      </c>
      <c r="X53" s="209" t="s">
        <v>1003</v>
      </c>
      <c r="Y53" s="230" t="str">
        <f t="shared" si="95"/>
        <v>Probabilidad</v>
      </c>
      <c r="Z53" s="185" t="s">
        <v>208</v>
      </c>
      <c r="AA53" s="185" t="s">
        <v>216</v>
      </c>
      <c r="AB53" s="186" t="str">
        <f t="shared" si="73"/>
        <v>40%</v>
      </c>
      <c r="AC53" s="185" t="s">
        <v>219</v>
      </c>
      <c r="AD53" s="185" t="s">
        <v>224</v>
      </c>
      <c r="AE53" s="185" t="s">
        <v>228</v>
      </c>
      <c r="AF53" s="187">
        <f t="shared" si="102"/>
        <v>9.4058495999999985E-3</v>
      </c>
      <c r="AG53" s="188" t="str">
        <f t="shared" si="97"/>
        <v>Muy Baja</v>
      </c>
      <c r="AH53" s="186">
        <f t="shared" si="98"/>
        <v>9.4058495999999985E-3</v>
      </c>
      <c r="AI53" s="188" t="str">
        <f t="shared" si="99"/>
        <v>Leve</v>
      </c>
      <c r="AJ53" s="186">
        <f t="shared" ref="AJ53" si="107">IFERROR(IF(AND(Y52="Impacto",Y53="Impacto"),(AJ52-(+AJ52*AB53)),IF(AND(Y52="Probabilidad",Y53="Impacto"),(AJ51-(+AJ51*AB53)),IF(Y53="Probabilidad",AJ52,""))),"")</f>
        <v>0</v>
      </c>
      <c r="AK53" s="189" t="str">
        <f t="shared" si="101"/>
        <v>Bajo</v>
      </c>
      <c r="AL53" s="185" t="s">
        <v>255</v>
      </c>
      <c r="AM53" s="227"/>
      <c r="AN53" s="230"/>
      <c r="AO53" s="228"/>
      <c r="AP53" s="228"/>
      <c r="AQ53" s="227"/>
      <c r="AR53" s="229"/>
    </row>
    <row r="54" spans="1:44" s="191" customFormat="1" ht="187.5" customHeight="1" thickTop="1" thickBot="1" x14ac:dyDescent="0.3">
      <c r="A54" s="328">
        <v>16</v>
      </c>
      <c r="B54" s="345" t="s">
        <v>553</v>
      </c>
      <c r="C54" s="333" t="s">
        <v>269</v>
      </c>
      <c r="D54" s="335" t="s">
        <v>554</v>
      </c>
      <c r="E54" s="333" t="s">
        <v>238</v>
      </c>
      <c r="F54" s="351" t="s">
        <v>555</v>
      </c>
      <c r="G54" s="351" t="s">
        <v>556</v>
      </c>
      <c r="H54" s="350" t="s">
        <v>1123</v>
      </c>
      <c r="I54" s="338" t="s">
        <v>474</v>
      </c>
      <c r="J54" s="338" t="s">
        <v>474</v>
      </c>
      <c r="K54" s="338" t="s">
        <v>474</v>
      </c>
      <c r="L54" s="338" t="s">
        <v>474</v>
      </c>
      <c r="M54" s="333" t="s">
        <v>239</v>
      </c>
      <c r="N54" s="333"/>
      <c r="O54" s="339">
        <v>5000</v>
      </c>
      <c r="P54" s="340" t="str">
        <f t="shared" ref="P54" si="108">IF(O54&lt;=0,"",IF(O54&lt;=2,"Muy Baja",IF(O54&lt;=24,"Baja",IF(O54&lt;=500,"Media",IF(O54&lt;=5000,"Alta","Muy Alta")))))</f>
        <v>Alta</v>
      </c>
      <c r="Q54" s="341">
        <f t="shared" ref="Q54" si="109">IF(P54="","",IF(P54="Muy Baja",0.2,IF(P54="Baja",0.4,IF(P54="Media",0.6,IF(P54="Alta",0.8,IF(P54="Muy Alta",1,))))))</f>
        <v>0.8</v>
      </c>
      <c r="R54" s="341" t="s">
        <v>187</v>
      </c>
      <c r="S54" s="341" t="str">
        <f ca="1">IF(NOT(ISERROR(MATCH(R54,'Tabla Impacto'!$B$221:$B$223,0))),'Tabla Impacto'!$F$223&amp;"Por favor no seleccionar los criterios de impacto(Afectación Económica o presupuestal y Pérdida Reputacional)",R54)</f>
        <v>El riesgo afecta la imagen de la entidad internamente, de conocimiento general, nivel interno, de junta dircetiva y accionistas y/o de provedores</v>
      </c>
      <c r="T54" s="340" t="str">
        <f ca="1">+IF(OR(S54='[1]Tabla Impacto'!$C$11,S54='[1]Tabla Impacto'!$D$11),"Leve",IF(OR(S54='[1]Tabla Impacto'!$C$12,S54='[1]Tabla Impacto'!$D$12),"Menor",IF(OR(S54='[1]Tabla Impacto'!$C$13,S54='[1]Tabla Impacto'!$D$13),"Moderado",IF(OR(S54='[1]Tabla Impacto'!$C$14,S54='[1]Tabla Impacto'!$D$14),"Mayor",IF(OR(S54='[1]Tabla Impacto'!$C$15,S54='[1]Tabla Impacto'!$D$15),"Catastrófico","")))))</f>
        <v>Menor</v>
      </c>
      <c r="U54" s="341">
        <f t="shared" ref="U54" ca="1" si="110">IF(T54="","",IF(T54="Leve",0.2,IF(T54="Menor",0.4,IF(T54="Moderado",0.6,IF(T54="Mayor",0.8,IF(T54="Catastrófico",1,))))))</f>
        <v>0.4</v>
      </c>
      <c r="V54" s="327" t="str">
        <f t="shared" ref="V54" ca="1" si="111">IF(OR(AND(P54="Muy Baja",T54="Leve"),AND(P54="Muy Baja",T54="Menor"),AND(P54="Baja",T54="Leve")),"Bajo",IF(OR(AND(P54="Muy baja",T54="Moderado"),AND(P54="Baja",T54="Menor"),AND(P54="Baja",T54="Moderado"),AND(P54="Media",T54="Leve"),AND(P54="Media",T54="Menor"),AND(P54="Media",T54="Moderado"),AND(P54="Alta",T54="Leve"),AND(P54="Alta",T54="Menor")),"Moderado",IF(OR(AND(P54="Muy Baja",T54="Mayor"),AND(P54="Baja",T54="Mayor"),AND(P54="Media",T54="Mayor"),AND(P54="Alta",T54="Moderado"),AND(P54="Alta",T54="Mayor"),AND(P54="Muy Alta",T54="Leve"),AND(P54="Muy Alta",T54="Menor"),AND(P54="Muy Alta",T54="Moderado"),AND(P54="Muy Alta",T54="Mayor")),"Alto",IF(OR(AND(P54="Muy Baja",T54="Catastrófico"),AND(P54="Baja",T54="Catastrófico"),AND(P54="Media",T54="Catastrófico"),AND(P54="Alta",T54="Catastrófico"),AND(P54="Muy Alta",T54="Catastrófico")),"Extremo",""))))</f>
        <v>Moderado</v>
      </c>
      <c r="W54" s="233">
        <v>1</v>
      </c>
      <c r="X54" s="207" t="s">
        <v>1004</v>
      </c>
      <c r="Y54" s="230" t="str">
        <f t="shared" si="95"/>
        <v>Probabilidad</v>
      </c>
      <c r="Z54" s="185" t="s">
        <v>208</v>
      </c>
      <c r="AA54" s="185" t="s">
        <v>216</v>
      </c>
      <c r="AB54" s="186" t="str">
        <f t="shared" si="73"/>
        <v>40%</v>
      </c>
      <c r="AC54" s="185" t="s">
        <v>219</v>
      </c>
      <c r="AD54" s="185" t="s">
        <v>224</v>
      </c>
      <c r="AE54" s="185" t="s">
        <v>228</v>
      </c>
      <c r="AF54" s="187">
        <f t="shared" ref="AF54" si="112">IFERROR(IF(Y54="Probabilidad",(Q54-(+Q54*AB54)),IF(Y54="Impacto",Q54,"")),"")</f>
        <v>0.48</v>
      </c>
      <c r="AG54" s="188" t="str">
        <f t="shared" si="97"/>
        <v>Media</v>
      </c>
      <c r="AH54" s="186">
        <f t="shared" si="98"/>
        <v>0.48</v>
      </c>
      <c r="AI54" s="188" t="str">
        <f t="shared" ca="1" si="99"/>
        <v>Menor</v>
      </c>
      <c r="AJ54" s="186">
        <f t="shared" ref="AJ54" ca="1" si="113">IFERROR(IF(Y54="Impacto",(U54-(+U54*AB54)),IF(Y54="Probabilidad",U54,"")),"")</f>
        <v>0.4</v>
      </c>
      <c r="AK54" s="189" t="str">
        <f t="shared" ca="1" si="101"/>
        <v>Moderado</v>
      </c>
      <c r="AL54" s="185" t="s">
        <v>255</v>
      </c>
      <c r="AM54" s="227"/>
      <c r="AN54" s="230"/>
      <c r="AO54" s="228"/>
      <c r="AP54" s="228"/>
      <c r="AQ54" s="227"/>
      <c r="AR54" s="229"/>
    </row>
    <row r="55" spans="1:44" s="191" customFormat="1" ht="139.5" customHeight="1" thickTop="1" thickBot="1" x14ac:dyDescent="0.3">
      <c r="A55" s="328"/>
      <c r="B55" s="345"/>
      <c r="C55" s="333"/>
      <c r="D55" s="335"/>
      <c r="E55" s="333"/>
      <c r="F55" s="351"/>
      <c r="G55" s="351"/>
      <c r="H55" s="350"/>
      <c r="I55" s="338"/>
      <c r="J55" s="338"/>
      <c r="K55" s="338"/>
      <c r="L55" s="338"/>
      <c r="M55" s="333"/>
      <c r="N55" s="333"/>
      <c r="O55" s="339"/>
      <c r="P55" s="340"/>
      <c r="Q55" s="341"/>
      <c r="R55" s="341"/>
      <c r="S55" s="341">
        <f ca="1">IF(NOT(ISERROR(MATCH(R55,_xlfn.ANCHORARRAY(H60),0))),#REF!&amp;"Por favor no seleccionar los criterios de impacto",R55)</f>
        <v>0</v>
      </c>
      <c r="T55" s="340"/>
      <c r="U55" s="341"/>
      <c r="V55" s="327"/>
      <c r="W55" s="233">
        <v>2</v>
      </c>
      <c r="X55" s="207" t="s">
        <v>1005</v>
      </c>
      <c r="Y55" s="230" t="str">
        <f t="shared" si="95"/>
        <v>Probabilidad</v>
      </c>
      <c r="Z55" s="185" t="s">
        <v>208</v>
      </c>
      <c r="AA55" s="185" t="s">
        <v>216</v>
      </c>
      <c r="AB55" s="186" t="str">
        <f t="shared" si="73"/>
        <v>40%</v>
      </c>
      <c r="AC55" s="185" t="s">
        <v>219</v>
      </c>
      <c r="AD55" s="185" t="s">
        <v>224</v>
      </c>
      <c r="AE55" s="185" t="s">
        <v>228</v>
      </c>
      <c r="AF55" s="187">
        <f t="shared" ref="AF55:AF56" si="114">IFERROR(IF(AND(Y54="Probabilidad",Y55="Probabilidad"),(AH54-(+AH54*AB55)),IF(Y55="Probabilidad",(Q54-(+Q54*AB55)),IF(Y55="Impacto",AH54,""))),"")</f>
        <v>0.28799999999999998</v>
      </c>
      <c r="AG55" s="188" t="str">
        <f t="shared" si="97"/>
        <v>Baja</v>
      </c>
      <c r="AH55" s="186">
        <f t="shared" si="98"/>
        <v>0.28799999999999998</v>
      </c>
      <c r="AI55" s="188" t="str">
        <f t="shared" ca="1" si="99"/>
        <v>Menor</v>
      </c>
      <c r="AJ55" s="186">
        <f t="shared" ref="AJ55" ca="1" si="115">IFERROR(IF(AND(Y54="Impacto",Y55="Impacto"),(AJ54-(+AJ54*AB55)),IF(Y55="Impacto",(U54-(+U54*AB55)),IF(Y55="Probabilidad",AJ54,""))),"")</f>
        <v>0.4</v>
      </c>
      <c r="AK55" s="189" t="str">
        <f t="shared" ca="1" si="101"/>
        <v>Moderado</v>
      </c>
      <c r="AL55" s="185" t="s">
        <v>255</v>
      </c>
      <c r="AM55" s="227"/>
      <c r="AN55" s="230"/>
      <c r="AO55" s="228"/>
      <c r="AP55" s="228"/>
      <c r="AQ55" s="227"/>
      <c r="AR55" s="229"/>
    </row>
    <row r="56" spans="1:44" s="191" customFormat="1" ht="161.25" customHeight="1" thickTop="1" thickBot="1" x14ac:dyDescent="0.3">
      <c r="A56" s="328"/>
      <c r="B56" s="345"/>
      <c r="C56" s="333"/>
      <c r="D56" s="335"/>
      <c r="E56" s="333"/>
      <c r="F56" s="351"/>
      <c r="G56" s="351"/>
      <c r="H56" s="350"/>
      <c r="I56" s="338"/>
      <c r="J56" s="338"/>
      <c r="K56" s="338"/>
      <c r="L56" s="338"/>
      <c r="M56" s="333"/>
      <c r="N56" s="333"/>
      <c r="O56" s="339"/>
      <c r="P56" s="340"/>
      <c r="Q56" s="341"/>
      <c r="R56" s="341"/>
      <c r="S56" s="341">
        <f ca="1">IF(NOT(ISERROR(MATCH(R56,_xlfn.ANCHORARRAY(H61),0))),#REF!&amp;"Por favor no seleccionar los criterios de impacto",R56)</f>
        <v>0</v>
      </c>
      <c r="T56" s="340"/>
      <c r="U56" s="341"/>
      <c r="V56" s="327"/>
      <c r="W56" s="233">
        <v>3</v>
      </c>
      <c r="X56" s="207" t="s">
        <v>1006</v>
      </c>
      <c r="Y56" s="230" t="str">
        <f t="shared" si="95"/>
        <v>Impacto</v>
      </c>
      <c r="Z56" s="185" t="s">
        <v>212</v>
      </c>
      <c r="AA56" s="185" t="s">
        <v>216</v>
      </c>
      <c r="AB56" s="186" t="str">
        <f t="shared" si="73"/>
        <v>25%</v>
      </c>
      <c r="AC56" s="185" t="s">
        <v>219</v>
      </c>
      <c r="AD56" s="185" t="s">
        <v>226</v>
      </c>
      <c r="AE56" s="185" t="s">
        <v>228</v>
      </c>
      <c r="AF56" s="187">
        <f t="shared" si="114"/>
        <v>0.28799999999999998</v>
      </c>
      <c r="AG56" s="188" t="str">
        <f t="shared" si="97"/>
        <v>Baja</v>
      </c>
      <c r="AH56" s="186">
        <f t="shared" si="98"/>
        <v>0.28799999999999998</v>
      </c>
      <c r="AI56" s="188" t="str">
        <f t="shared" ca="1" si="99"/>
        <v>Menor</v>
      </c>
      <c r="AJ56" s="186">
        <f t="shared" ref="AJ56" ca="1" si="116">IFERROR(IF(AND(Y55="Impacto",Y56="Impacto"),(AJ55-(+AJ55*AB56)),IF(AND(Y55="Probabilidad",Y56="Impacto"),(AJ54-(+AJ54*AB56)),IF(Y56="Probabilidad",AJ55,""))),"")</f>
        <v>0.30000000000000004</v>
      </c>
      <c r="AK56" s="189" t="str">
        <f t="shared" ca="1" si="101"/>
        <v>Moderado</v>
      </c>
      <c r="AL56" s="185" t="s">
        <v>255</v>
      </c>
      <c r="AM56" s="227"/>
      <c r="AN56" s="230"/>
      <c r="AO56" s="228"/>
      <c r="AP56" s="228"/>
      <c r="AQ56" s="227"/>
      <c r="AR56" s="229"/>
    </row>
    <row r="57" spans="1:44" s="191" customFormat="1" ht="153.75" customHeight="1" thickTop="1" thickBot="1" x14ac:dyDescent="0.3">
      <c r="A57" s="328">
        <v>17</v>
      </c>
      <c r="B57" s="345" t="s">
        <v>557</v>
      </c>
      <c r="C57" s="333" t="s">
        <v>269</v>
      </c>
      <c r="D57" s="335" t="s">
        <v>558</v>
      </c>
      <c r="E57" s="333" t="s">
        <v>238</v>
      </c>
      <c r="F57" s="351" t="s">
        <v>559</v>
      </c>
      <c r="G57" s="351" t="s">
        <v>560</v>
      </c>
      <c r="H57" s="350" t="s">
        <v>1124</v>
      </c>
      <c r="I57" s="338" t="s">
        <v>474</v>
      </c>
      <c r="J57" s="338" t="s">
        <v>474</v>
      </c>
      <c r="K57" s="338" t="s">
        <v>474</v>
      </c>
      <c r="L57" s="338" t="s">
        <v>474</v>
      </c>
      <c r="M57" s="333" t="s">
        <v>239</v>
      </c>
      <c r="N57" s="333"/>
      <c r="O57" s="339">
        <v>5000</v>
      </c>
      <c r="P57" s="340" t="str">
        <f t="shared" ref="P57" si="117">IF(O57&lt;=0,"",IF(O57&lt;=2,"Muy Baja",IF(O57&lt;=24,"Baja",IF(O57&lt;=500,"Media",IF(O57&lt;=5000,"Alta","Muy Alta")))))</f>
        <v>Alta</v>
      </c>
      <c r="Q57" s="341">
        <f t="shared" ref="Q57" si="118">IF(P57="","",IF(P57="Muy Baja",0.2,IF(P57="Baja",0.4,IF(P57="Media",0.6,IF(P57="Alta",0.8,IF(P57="Muy Alta",1,))))))</f>
        <v>0.8</v>
      </c>
      <c r="R57" s="341" t="s">
        <v>187</v>
      </c>
      <c r="S57" s="341" t="str">
        <f ca="1">IF(NOT(ISERROR(MATCH(R57,'Tabla Impacto'!$B$221:$B$223,0))),'Tabla Impacto'!$F$223&amp;"Por favor no seleccionar los criterios de impacto(Afectación Económica o presupuestal y Pérdida Reputacional)",R57)</f>
        <v>El riesgo afecta la imagen de la entidad internamente, de conocimiento general, nivel interno, de junta dircetiva y accionistas y/o de provedores</v>
      </c>
      <c r="T57" s="340" t="str">
        <f ca="1">+IF(OR(S57='[1]Tabla Impacto'!$C$11,S57='[1]Tabla Impacto'!$D$11),"Leve",IF(OR(S57='[1]Tabla Impacto'!$C$12,S57='[1]Tabla Impacto'!$D$12),"Menor",IF(OR(S57='[1]Tabla Impacto'!$C$13,S57='[1]Tabla Impacto'!$D$13),"Moderado",IF(OR(S57='[1]Tabla Impacto'!$C$14,S57='[1]Tabla Impacto'!$D$14),"Mayor",IF(OR(S57='[1]Tabla Impacto'!$C$15,S57='[1]Tabla Impacto'!$D$15),"Catastrófico","")))))</f>
        <v>Menor</v>
      </c>
      <c r="U57" s="341">
        <f t="shared" ref="U57" ca="1" si="119">IF(T57="","",IF(T57="Leve",0.2,IF(T57="Menor",0.4,IF(T57="Moderado",0.6,IF(T57="Mayor",0.8,IF(T57="Catastrófico",1,))))))</f>
        <v>0.4</v>
      </c>
      <c r="V57" s="327" t="str">
        <f t="shared" ref="V57" ca="1" si="120">IF(OR(AND(P57="Muy Baja",T57="Leve"),AND(P57="Muy Baja",T57="Menor"),AND(P57="Baja",T57="Leve")),"Bajo",IF(OR(AND(P57="Muy baja",T57="Moderado"),AND(P57="Baja",T57="Menor"),AND(P57="Baja",T57="Moderado"),AND(P57="Media",T57="Leve"),AND(P57="Media",T57="Menor"),AND(P57="Media",T57="Moderado"),AND(P57="Alta",T57="Leve"),AND(P57="Alta",T57="Menor")),"Moderado",IF(OR(AND(P57="Muy Baja",T57="Mayor"),AND(P57="Baja",T57="Mayor"),AND(P57="Media",T57="Mayor"),AND(P57="Alta",T57="Moderado"),AND(P57="Alta",T57="Mayor"),AND(P57="Muy Alta",T57="Leve"),AND(P57="Muy Alta",T57="Menor"),AND(P57="Muy Alta",T57="Moderado"),AND(P57="Muy Alta",T57="Mayor")),"Alto",IF(OR(AND(P57="Muy Baja",T57="Catastrófico"),AND(P57="Baja",T57="Catastrófico"),AND(P57="Media",T57="Catastrófico"),AND(P57="Alta",T57="Catastrófico"),AND(P57="Muy Alta",T57="Catastrófico")),"Extremo",""))))</f>
        <v>Moderado</v>
      </c>
      <c r="W57" s="233">
        <v>1</v>
      </c>
      <c r="X57" s="207" t="s">
        <v>1007</v>
      </c>
      <c r="Y57" s="230" t="str">
        <f t="shared" si="95"/>
        <v>Probabilidad</v>
      </c>
      <c r="Z57" s="185" t="s">
        <v>208</v>
      </c>
      <c r="AA57" s="185" t="s">
        <v>216</v>
      </c>
      <c r="AB57" s="186" t="str">
        <f t="shared" si="73"/>
        <v>40%</v>
      </c>
      <c r="AC57" s="185" t="s">
        <v>219</v>
      </c>
      <c r="AD57" s="185" t="s">
        <v>224</v>
      </c>
      <c r="AE57" s="185" t="s">
        <v>228</v>
      </c>
      <c r="AF57" s="187">
        <f t="shared" ref="AF57" si="121">IFERROR(IF(Y57="Probabilidad",(Q57-(+Q57*AB57)),IF(Y57="Impacto",Q57,"")),"")</f>
        <v>0.48</v>
      </c>
      <c r="AG57" s="188" t="str">
        <f t="shared" si="97"/>
        <v>Media</v>
      </c>
      <c r="AH57" s="186">
        <f t="shared" si="98"/>
        <v>0.48</v>
      </c>
      <c r="AI57" s="188" t="str">
        <f t="shared" ca="1" si="99"/>
        <v>Menor</v>
      </c>
      <c r="AJ57" s="186">
        <f t="shared" ref="AJ57" ca="1" si="122">IFERROR(IF(Y57="Impacto",(U57-(+U57*AB57)),IF(Y57="Probabilidad",U57,"")),"")</f>
        <v>0.4</v>
      </c>
      <c r="AK57" s="189" t="str">
        <f t="shared" ca="1" si="101"/>
        <v>Moderado</v>
      </c>
      <c r="AL57" s="185" t="s">
        <v>255</v>
      </c>
      <c r="AM57" s="227"/>
      <c r="AN57" s="230"/>
      <c r="AO57" s="228"/>
      <c r="AP57" s="228"/>
      <c r="AQ57" s="227"/>
      <c r="AR57" s="229"/>
    </row>
    <row r="58" spans="1:44" s="191" customFormat="1" ht="147" customHeight="1" thickTop="1" thickBot="1" x14ac:dyDescent="0.3">
      <c r="A58" s="328"/>
      <c r="B58" s="345"/>
      <c r="C58" s="333"/>
      <c r="D58" s="335"/>
      <c r="E58" s="333"/>
      <c r="F58" s="351"/>
      <c r="G58" s="351"/>
      <c r="H58" s="350"/>
      <c r="I58" s="338"/>
      <c r="J58" s="338"/>
      <c r="K58" s="338"/>
      <c r="L58" s="338"/>
      <c r="M58" s="333"/>
      <c r="N58" s="333"/>
      <c r="O58" s="339"/>
      <c r="P58" s="340"/>
      <c r="Q58" s="341"/>
      <c r="R58" s="341"/>
      <c r="S58" s="341">
        <f ca="1">IF(NOT(ISERROR(MATCH(R58,_xlfn.ANCHORARRAY(H62),0))),Q64&amp;"Por favor no seleccionar los criterios de impacto",R58)</f>
        <v>0</v>
      </c>
      <c r="T58" s="340"/>
      <c r="U58" s="341"/>
      <c r="V58" s="327"/>
      <c r="W58" s="233">
        <v>2</v>
      </c>
      <c r="X58" s="207" t="s">
        <v>1008</v>
      </c>
      <c r="Y58" s="230" t="str">
        <f t="shared" si="95"/>
        <v>Probabilidad</v>
      </c>
      <c r="Z58" s="185" t="s">
        <v>208</v>
      </c>
      <c r="AA58" s="185" t="s">
        <v>216</v>
      </c>
      <c r="AB58" s="186" t="str">
        <f t="shared" si="73"/>
        <v>40%</v>
      </c>
      <c r="AC58" s="185" t="s">
        <v>219</v>
      </c>
      <c r="AD58" s="185" t="s">
        <v>224</v>
      </c>
      <c r="AE58" s="185" t="s">
        <v>228</v>
      </c>
      <c r="AF58" s="187">
        <f t="shared" ref="AF58:AF59" si="123">IFERROR(IF(AND(Y57="Probabilidad",Y58="Probabilidad"),(AH57-(+AH57*AB58)),IF(Y58="Probabilidad",(Q57-(+Q57*AB58)),IF(Y58="Impacto",AH57,""))),"")</f>
        <v>0.28799999999999998</v>
      </c>
      <c r="AG58" s="188" t="str">
        <f t="shared" si="97"/>
        <v>Baja</v>
      </c>
      <c r="AH58" s="186">
        <f t="shared" si="98"/>
        <v>0.28799999999999998</v>
      </c>
      <c r="AI58" s="188" t="str">
        <f t="shared" ca="1" si="99"/>
        <v>Menor</v>
      </c>
      <c r="AJ58" s="186">
        <f t="shared" ref="AJ58" ca="1" si="124">IFERROR(IF(AND(Y57="Impacto",Y58="Impacto"),(AJ57-(+AJ57*AB58)),IF(Y58="Impacto",(U57-(+U57*AB58)),IF(Y58="Probabilidad",AJ57,""))),"")</f>
        <v>0.4</v>
      </c>
      <c r="AK58" s="189" t="str">
        <f t="shared" ca="1" si="101"/>
        <v>Moderado</v>
      </c>
      <c r="AL58" s="185" t="s">
        <v>255</v>
      </c>
      <c r="AM58" s="227"/>
      <c r="AN58" s="230"/>
      <c r="AO58" s="228"/>
      <c r="AP58" s="228"/>
      <c r="AQ58" s="227"/>
      <c r="AR58" s="229"/>
    </row>
    <row r="59" spans="1:44" s="191" customFormat="1" ht="159.75" customHeight="1" thickTop="1" thickBot="1" x14ac:dyDescent="0.3">
      <c r="A59" s="328"/>
      <c r="B59" s="345"/>
      <c r="C59" s="333"/>
      <c r="D59" s="335"/>
      <c r="E59" s="333"/>
      <c r="F59" s="351"/>
      <c r="G59" s="351"/>
      <c r="H59" s="350"/>
      <c r="I59" s="338"/>
      <c r="J59" s="338"/>
      <c r="K59" s="338"/>
      <c r="L59" s="338"/>
      <c r="M59" s="333"/>
      <c r="N59" s="333"/>
      <c r="O59" s="339"/>
      <c r="P59" s="340"/>
      <c r="Q59" s="341"/>
      <c r="R59" s="341"/>
      <c r="S59" s="341">
        <f ca="1">IF(NOT(ISERROR(MATCH(R59,_xlfn.ANCHORARRAY(H63),0))),Q65&amp;"Por favor no seleccionar los criterios de impacto",R59)</f>
        <v>0</v>
      </c>
      <c r="T59" s="340"/>
      <c r="U59" s="341"/>
      <c r="V59" s="327"/>
      <c r="W59" s="233">
        <v>3</v>
      </c>
      <c r="X59" s="207" t="s">
        <v>1009</v>
      </c>
      <c r="Y59" s="230" t="str">
        <f t="shared" si="95"/>
        <v>Probabilidad</v>
      </c>
      <c r="Z59" s="185" t="s">
        <v>208</v>
      </c>
      <c r="AA59" s="185" t="s">
        <v>216</v>
      </c>
      <c r="AB59" s="186" t="str">
        <f t="shared" si="73"/>
        <v>40%</v>
      </c>
      <c r="AC59" s="185" t="s">
        <v>219</v>
      </c>
      <c r="AD59" s="185" t="s">
        <v>224</v>
      </c>
      <c r="AE59" s="185" t="s">
        <v>228</v>
      </c>
      <c r="AF59" s="187">
        <f t="shared" si="123"/>
        <v>0.17279999999999998</v>
      </c>
      <c r="AG59" s="188" t="str">
        <f t="shared" si="97"/>
        <v>Muy Baja</v>
      </c>
      <c r="AH59" s="186">
        <f t="shared" si="98"/>
        <v>0.17279999999999998</v>
      </c>
      <c r="AI59" s="188" t="str">
        <f t="shared" ca="1" si="99"/>
        <v>Menor</v>
      </c>
      <c r="AJ59" s="186">
        <f t="shared" ref="AJ59" ca="1" si="125">IFERROR(IF(AND(Y58="Impacto",Y59="Impacto"),(AJ58-(+AJ58*AB59)),IF(AND(Y58="Probabilidad",Y59="Impacto"),(AJ57-(+AJ57*AB59)),IF(Y59="Probabilidad",AJ58,""))),"")</f>
        <v>0.4</v>
      </c>
      <c r="AK59" s="189" t="str">
        <f t="shared" ca="1" si="101"/>
        <v>Bajo</v>
      </c>
      <c r="AL59" s="185" t="s">
        <v>255</v>
      </c>
      <c r="AM59" s="227"/>
      <c r="AN59" s="230"/>
      <c r="AO59" s="228"/>
      <c r="AP59" s="228"/>
      <c r="AQ59" s="227"/>
      <c r="AR59" s="229"/>
    </row>
    <row r="60" spans="1:44" s="191" customFormat="1" ht="141" customHeight="1" thickTop="1" thickBot="1" x14ac:dyDescent="0.3">
      <c r="A60" s="328">
        <v>18</v>
      </c>
      <c r="B60" s="345" t="s">
        <v>561</v>
      </c>
      <c r="C60" s="333" t="s">
        <v>269</v>
      </c>
      <c r="D60" s="335" t="s">
        <v>562</v>
      </c>
      <c r="E60" s="333" t="s">
        <v>238</v>
      </c>
      <c r="F60" s="351" t="s">
        <v>563</v>
      </c>
      <c r="G60" s="351" t="s">
        <v>564</v>
      </c>
      <c r="H60" s="350" t="s">
        <v>1125</v>
      </c>
      <c r="I60" s="338" t="s">
        <v>474</v>
      </c>
      <c r="J60" s="338" t="s">
        <v>474</v>
      </c>
      <c r="K60" s="338" t="s">
        <v>474</v>
      </c>
      <c r="L60" s="338" t="s">
        <v>474</v>
      </c>
      <c r="M60" s="333" t="s">
        <v>239</v>
      </c>
      <c r="N60" s="333"/>
      <c r="O60" s="339">
        <v>5000</v>
      </c>
      <c r="P60" s="340" t="str">
        <f t="shared" ref="P60:P75" si="126">IF(O60&lt;=0,"",IF(O60&lt;=2,"Muy Baja",IF(O60&lt;=24,"Baja",IF(O60&lt;=500,"Media",IF(O60&lt;=5000,"Alta","Muy Alta")))))</f>
        <v>Alta</v>
      </c>
      <c r="Q60" s="341">
        <f t="shared" ref="Q60:Q75" si="127">IF(P60="","",IF(P60="Muy Baja",0.2,IF(P60="Baja",0.4,IF(P60="Media",0.6,IF(P60="Alta",0.8,IF(P60="Muy Alta",1,))))))</f>
        <v>0.8</v>
      </c>
      <c r="R60" s="341" t="s">
        <v>190</v>
      </c>
      <c r="S60" s="341" t="str">
        <f ca="1">IF(NOT(ISERROR(MATCH(R60,'Tabla Impacto'!$B$221:$B$223,0))),'Tabla Impacto'!$F$223&amp;"Por favor no seleccionar los criterios de impacto(Afectación Económica o presupuestal y Pérdida Reputacional)",R60)</f>
        <v>El riesgo afecta la imagen de la entidad con algunos usuarios de relevancia frente al logro de los objetivos</v>
      </c>
      <c r="T60" s="340" t="str">
        <f ca="1">+IF(OR(S60='[1]Tabla Impacto'!$C$11,S60='[1]Tabla Impacto'!$D$11),"Leve",IF(OR(S60='[1]Tabla Impacto'!$C$12,S60='[1]Tabla Impacto'!$D$12),"Menor",IF(OR(S60='[1]Tabla Impacto'!$C$13,S60='[1]Tabla Impacto'!$D$13),"Moderado",IF(OR(S60='[1]Tabla Impacto'!$C$14,S60='[1]Tabla Impacto'!$D$14),"Mayor",IF(OR(S60='[1]Tabla Impacto'!$C$15,S60='[1]Tabla Impacto'!$D$15),"Catastrófico","")))))</f>
        <v>Moderado</v>
      </c>
      <c r="U60" s="341">
        <f t="shared" ref="U60" ca="1" si="128">IF(T60="","",IF(T60="Leve",0.2,IF(T60="Menor",0.4,IF(T60="Moderado",0.6,IF(T60="Mayor",0.8,IF(T60="Catastrófico",1,))))))</f>
        <v>0.6</v>
      </c>
      <c r="V60" s="327" t="str">
        <f t="shared" ref="V60" ca="1" si="129">IF(OR(AND(P60="Muy Baja",T60="Leve"),AND(P60="Muy Baja",T60="Menor"),AND(P60="Baja",T60="Leve")),"Bajo",IF(OR(AND(P60="Muy baja",T60="Moderado"),AND(P60="Baja",T60="Menor"),AND(P60="Baja",T60="Moderado"),AND(P60="Media",T60="Leve"),AND(P60="Media",T60="Menor"),AND(P60="Media",T60="Moderado"),AND(P60="Alta",T60="Leve"),AND(P60="Alta",T60="Menor")),"Moderado",IF(OR(AND(P60="Muy Baja",T60="Mayor"),AND(P60="Baja",T60="Mayor"),AND(P60="Media",T60="Mayor"),AND(P60="Alta",T60="Moderado"),AND(P60="Alta",T60="Mayor"),AND(P60="Muy Alta",T60="Leve"),AND(P60="Muy Alta",T60="Menor"),AND(P60="Muy Alta",T60="Moderado"),AND(P60="Muy Alta",T60="Mayor")),"Alto",IF(OR(AND(P60="Muy Baja",T60="Catastrófico"),AND(P60="Baja",T60="Catastrófico"),AND(P60="Media",T60="Catastrófico"),AND(P60="Alta",T60="Catastrófico"),AND(P60="Muy Alta",T60="Catastrófico")),"Extremo",""))))</f>
        <v>Alto</v>
      </c>
      <c r="W60" s="233">
        <v>1</v>
      </c>
      <c r="X60" s="207" t="s">
        <v>1010</v>
      </c>
      <c r="Y60" s="230" t="str">
        <f t="shared" ref="Y60:Y76" si="130">IF(OR(Z60="Preventivo",Z60="Detectivo"),"Probabilidad",IF(Z60="Correctivo","Impacto",""))</f>
        <v>Probabilidad</v>
      </c>
      <c r="Z60" s="185" t="s">
        <v>208</v>
      </c>
      <c r="AA60" s="185" t="s">
        <v>216</v>
      </c>
      <c r="AB60" s="186" t="str">
        <f t="shared" si="73"/>
        <v>40%</v>
      </c>
      <c r="AC60" s="185" t="s">
        <v>219</v>
      </c>
      <c r="AD60" s="185" t="s">
        <v>224</v>
      </c>
      <c r="AE60" s="185" t="s">
        <v>228</v>
      </c>
      <c r="AF60" s="187">
        <f t="shared" ref="AF60" si="131">IFERROR(IF(Y60="Probabilidad",(Q60-(+Q60*AB60)),IF(Y60="Impacto",Q60,"")),"")</f>
        <v>0.48</v>
      </c>
      <c r="AG60" s="188" t="str">
        <f t="shared" ref="AG60:AG76" si="132">IFERROR(IF(AF60="","",IF(AF60&lt;=0.2,"Muy Baja",IF(AF60&lt;=0.4,"Baja",IF(AF60&lt;=0.6,"Media",IF(AF60&lt;=0.8,"Alta","Muy Alta"))))),"")</f>
        <v>Media</v>
      </c>
      <c r="AH60" s="186">
        <f t="shared" ref="AH60:AH76" si="133">+AF60</f>
        <v>0.48</v>
      </c>
      <c r="AI60" s="188" t="str">
        <f t="shared" ref="AI60:AI76" ca="1" si="134">IFERROR(IF(AJ60="","",IF(AJ60&lt;=0.2,"Leve",IF(AJ60&lt;=0.4,"Menor",IF(AJ60&lt;=0.6,"Moderado",IF(AJ60&lt;=0.8,"Mayor","Catastrófico"))))),"")</f>
        <v>Moderado</v>
      </c>
      <c r="AJ60" s="186">
        <f t="shared" ref="AJ60" ca="1" si="135">IFERROR(IF(Y60="Impacto",(U60-(+U60*AB60)),IF(Y60="Probabilidad",U60,"")),"")</f>
        <v>0.6</v>
      </c>
      <c r="AK60" s="189" t="str">
        <f t="shared" ref="AK60:AK76" ca="1" si="136">IFERROR(IF(OR(AND(AG60="Muy Baja",AI60="Leve"),AND(AG60="Muy Baja",AI60="Menor"),AND(AG60="Baja",AI60="Leve")),"Bajo",IF(OR(AND(AG60="Muy baja",AI60="Moderado"),AND(AG60="Baja",AI60="Menor"),AND(AG60="Baja",AI60="Moderado"),AND(AG60="Media",AI60="Leve"),AND(AG60="Media",AI60="Menor"),AND(AG60="Media",AI60="Moderado"),AND(AG60="Alta",AI60="Leve"),AND(AG60="Alta",AI60="Menor")),"Moderado",IF(OR(AND(AG60="Muy Baja",AI60="Mayor"),AND(AG60="Baja",AI60="Mayor"),AND(AG60="Media",AI60="Mayor"),AND(AG60="Alta",AI60="Moderado"),AND(AG60="Alta",AI60="Mayor"),AND(AG60="Muy Alta",AI60="Leve"),AND(AG60="Muy Alta",AI60="Menor"),AND(AG60="Muy Alta",AI60="Moderado"),AND(AG60="Muy Alta",AI60="Mayor")),"Alto",IF(OR(AND(AG60="Muy Baja",AI60="Catastrófico"),AND(AG60="Baja",AI60="Catastrófico"),AND(AG60="Media",AI60="Catastrófico"),AND(AG60="Alta",AI60="Catastrófico"),AND(AG60="Muy Alta",AI60="Catastrófico")),"Extremo","")))),"")</f>
        <v>Moderado</v>
      </c>
      <c r="AL60" s="185" t="s">
        <v>255</v>
      </c>
      <c r="AM60" s="227"/>
      <c r="AN60" s="230"/>
      <c r="AO60" s="228"/>
      <c r="AP60" s="228"/>
      <c r="AQ60" s="227"/>
      <c r="AR60" s="229"/>
    </row>
    <row r="61" spans="1:44" s="191" customFormat="1" ht="187.5" customHeight="1" thickTop="1" thickBot="1" x14ac:dyDescent="0.3">
      <c r="A61" s="328"/>
      <c r="B61" s="345"/>
      <c r="C61" s="333"/>
      <c r="D61" s="335"/>
      <c r="E61" s="333"/>
      <c r="F61" s="351"/>
      <c r="G61" s="351"/>
      <c r="H61" s="350"/>
      <c r="I61" s="338"/>
      <c r="J61" s="338"/>
      <c r="K61" s="338"/>
      <c r="L61" s="338"/>
      <c r="M61" s="333"/>
      <c r="N61" s="333"/>
      <c r="O61" s="339"/>
      <c r="P61" s="340"/>
      <c r="Q61" s="341"/>
      <c r="R61" s="341"/>
      <c r="S61" s="341">
        <f ca="1">IF(NOT(ISERROR(MATCH(R61,_xlfn.ANCHORARRAY(H67),0))),#REF!&amp;"Por favor no seleccionar los criterios de impacto",R61)</f>
        <v>0</v>
      </c>
      <c r="T61" s="340"/>
      <c r="U61" s="341"/>
      <c r="V61" s="327"/>
      <c r="W61" s="233">
        <v>2</v>
      </c>
      <c r="X61" s="207" t="s">
        <v>1011</v>
      </c>
      <c r="Y61" s="230" t="str">
        <f t="shared" si="130"/>
        <v>Probabilidad</v>
      </c>
      <c r="Z61" s="185" t="s">
        <v>208</v>
      </c>
      <c r="AA61" s="185" t="s">
        <v>216</v>
      </c>
      <c r="AB61" s="186" t="str">
        <f t="shared" si="73"/>
        <v>40%</v>
      </c>
      <c r="AC61" s="185" t="s">
        <v>219</v>
      </c>
      <c r="AD61" s="185" t="s">
        <v>224</v>
      </c>
      <c r="AE61" s="185" t="s">
        <v>228</v>
      </c>
      <c r="AF61" s="187">
        <f t="shared" ref="AF61" si="137">IFERROR(IF(AND(Y60="Probabilidad",Y61="Probabilidad"),(AH60-(+AH60*AB61)),IF(Y61="Probabilidad",(Q60-(+Q60*AB61)),IF(Y61="Impacto",AH60,""))),"")</f>
        <v>0.28799999999999998</v>
      </c>
      <c r="AG61" s="188" t="str">
        <f t="shared" si="132"/>
        <v>Baja</v>
      </c>
      <c r="AH61" s="186">
        <f t="shared" si="133"/>
        <v>0.28799999999999998</v>
      </c>
      <c r="AI61" s="188" t="str">
        <f t="shared" ca="1" si="134"/>
        <v>Moderado</v>
      </c>
      <c r="AJ61" s="186">
        <f t="shared" ref="AJ61" ca="1" si="138">IFERROR(IF(AND(Y60="Impacto",Y61="Impacto"),(AJ60-(+AJ60*AB61)),IF(Y61="Impacto",(U60-(+U60*AB61)),IF(Y61="Probabilidad",AJ60,""))),"")</f>
        <v>0.6</v>
      </c>
      <c r="AK61" s="189" t="str">
        <f t="shared" ca="1" si="136"/>
        <v>Moderado</v>
      </c>
      <c r="AL61" s="185" t="s">
        <v>255</v>
      </c>
      <c r="AM61" s="227"/>
      <c r="AN61" s="230"/>
      <c r="AO61" s="228"/>
      <c r="AP61" s="228"/>
      <c r="AQ61" s="227"/>
      <c r="AR61" s="229"/>
    </row>
    <row r="62" spans="1:44" s="191" customFormat="1" ht="138" customHeight="1" thickTop="1" thickBot="1" x14ac:dyDescent="0.3">
      <c r="A62" s="328">
        <v>19</v>
      </c>
      <c r="B62" s="345" t="s">
        <v>565</v>
      </c>
      <c r="C62" s="333" t="s">
        <v>269</v>
      </c>
      <c r="D62" s="335" t="s">
        <v>566</v>
      </c>
      <c r="E62" s="333" t="s">
        <v>240</v>
      </c>
      <c r="F62" s="351" t="s">
        <v>567</v>
      </c>
      <c r="G62" s="351" t="s">
        <v>568</v>
      </c>
      <c r="H62" s="350" t="s">
        <v>1126</v>
      </c>
      <c r="I62" s="338" t="s">
        <v>474</v>
      </c>
      <c r="J62" s="338" t="s">
        <v>474</v>
      </c>
      <c r="K62" s="338" t="s">
        <v>474</v>
      </c>
      <c r="L62" s="338" t="s">
        <v>474</v>
      </c>
      <c r="M62" s="333" t="s">
        <v>239</v>
      </c>
      <c r="N62" s="333"/>
      <c r="O62" s="339">
        <v>365</v>
      </c>
      <c r="P62" s="340" t="str">
        <f t="shared" si="126"/>
        <v>Media</v>
      </c>
      <c r="Q62" s="341">
        <f t="shared" si="127"/>
        <v>0.6</v>
      </c>
      <c r="R62" s="341" t="s">
        <v>190</v>
      </c>
      <c r="S62" s="341" t="str">
        <f ca="1">IF(NOT(ISERROR(MATCH(R62,'Tabla Impacto'!$B$221:$B$223,0))),'Tabla Impacto'!$F$223&amp;"Por favor no seleccionar los criterios de impacto(Afectación Económica o presupuestal y Pérdida Reputacional)",R62)</f>
        <v>El riesgo afecta la imagen de la entidad con algunos usuarios de relevancia frente al logro de los objetivos</v>
      </c>
      <c r="T62" s="340" t="str">
        <f ca="1">+IF(OR(S62='[1]Tabla Impacto'!$C$11,S62='[1]Tabla Impacto'!$D$11),"Leve",IF(OR(S62='[1]Tabla Impacto'!$C$12,S62='[1]Tabla Impacto'!$D$12),"Menor",IF(OR(S62='[1]Tabla Impacto'!$C$13,S62='[1]Tabla Impacto'!$D$13),"Moderado",IF(OR(S62='[1]Tabla Impacto'!$C$14,S62='[1]Tabla Impacto'!$D$14),"Mayor",IF(OR(S62='[1]Tabla Impacto'!$C$15,S62='[1]Tabla Impacto'!$D$15),"Catastrófico","")))))</f>
        <v>Moderado</v>
      </c>
      <c r="U62" s="341">
        <f t="shared" ref="U62" ca="1" si="139">IF(T62="","",IF(T62="Leve",0.2,IF(T62="Menor",0.4,IF(T62="Moderado",0.6,IF(T62="Mayor",0.8,IF(T62="Catastrófico",1,))))))</f>
        <v>0.6</v>
      </c>
      <c r="V62" s="327" t="str">
        <f t="shared" ref="V62" ca="1" si="140">IF(OR(AND(P62="Muy Baja",T62="Leve"),AND(P62="Muy Baja",T62="Menor"),AND(P62="Baja",T62="Leve")),"Bajo",IF(OR(AND(P62="Muy baja",T62="Moderado"),AND(P62="Baja",T62="Menor"),AND(P62="Baja",T62="Moderado"),AND(P62="Media",T62="Leve"),AND(P62="Media",T62="Menor"),AND(P62="Media",T62="Moderado"),AND(P62="Alta",T62="Leve"),AND(P62="Alta",T62="Menor")),"Moderado",IF(OR(AND(P62="Muy Baja",T62="Mayor"),AND(P62="Baja",T62="Mayor"),AND(P62="Media",T62="Mayor"),AND(P62="Alta",T62="Moderado"),AND(P62="Alta",T62="Mayor"),AND(P62="Muy Alta",T62="Leve"),AND(P62="Muy Alta",T62="Menor"),AND(P62="Muy Alta",T62="Moderado"),AND(P62="Muy Alta",T62="Mayor")),"Alto",IF(OR(AND(P62="Muy Baja",T62="Catastrófico"),AND(P62="Baja",T62="Catastrófico"),AND(P62="Media",T62="Catastrófico"),AND(P62="Alta",T62="Catastrófico"),AND(P62="Muy Alta",T62="Catastrófico")),"Extremo",""))))</f>
        <v>Moderado</v>
      </c>
      <c r="W62" s="233">
        <v>1</v>
      </c>
      <c r="X62" s="207" t="s">
        <v>1012</v>
      </c>
      <c r="Y62" s="230" t="str">
        <f t="shared" si="130"/>
        <v>Probabilidad</v>
      </c>
      <c r="Z62" s="185" t="s">
        <v>210</v>
      </c>
      <c r="AA62" s="185" t="s">
        <v>216</v>
      </c>
      <c r="AB62" s="186" t="str">
        <f t="shared" si="73"/>
        <v>30%</v>
      </c>
      <c r="AC62" s="185" t="s">
        <v>219</v>
      </c>
      <c r="AD62" s="185" t="s">
        <v>224</v>
      </c>
      <c r="AE62" s="185" t="s">
        <v>228</v>
      </c>
      <c r="AF62" s="187">
        <f t="shared" ref="AF62" si="141">IFERROR(IF(Y62="Probabilidad",(Q62-(+Q62*AB62)),IF(Y62="Impacto",Q62,"")),"")</f>
        <v>0.42</v>
      </c>
      <c r="AG62" s="188" t="str">
        <f t="shared" si="132"/>
        <v>Media</v>
      </c>
      <c r="AH62" s="186">
        <f t="shared" si="133"/>
        <v>0.42</v>
      </c>
      <c r="AI62" s="188" t="str">
        <f t="shared" ca="1" si="134"/>
        <v>Moderado</v>
      </c>
      <c r="AJ62" s="186">
        <f t="shared" ref="AJ62" ca="1" si="142">IFERROR(IF(Y62="Impacto",(U62-(+U62*AB62)),IF(Y62="Probabilidad",U62,"")),"")</f>
        <v>0.6</v>
      </c>
      <c r="AK62" s="189" t="str">
        <f t="shared" ca="1" si="136"/>
        <v>Moderado</v>
      </c>
      <c r="AL62" s="185" t="s">
        <v>255</v>
      </c>
      <c r="AM62" s="227"/>
      <c r="AN62" s="230"/>
      <c r="AO62" s="228"/>
      <c r="AP62" s="228"/>
      <c r="AQ62" s="227"/>
      <c r="AR62" s="229"/>
    </row>
    <row r="63" spans="1:44" s="191" customFormat="1" ht="208.5" customHeight="1" thickTop="1" thickBot="1" x14ac:dyDescent="0.3">
      <c r="A63" s="328"/>
      <c r="B63" s="345"/>
      <c r="C63" s="333"/>
      <c r="D63" s="335"/>
      <c r="E63" s="333"/>
      <c r="F63" s="351"/>
      <c r="G63" s="351"/>
      <c r="H63" s="350"/>
      <c r="I63" s="338"/>
      <c r="J63" s="338"/>
      <c r="K63" s="338"/>
      <c r="L63" s="338"/>
      <c r="M63" s="333"/>
      <c r="N63" s="333"/>
      <c r="O63" s="339"/>
      <c r="P63" s="340"/>
      <c r="Q63" s="341"/>
      <c r="R63" s="341"/>
      <c r="S63" s="341">
        <f ca="1">IF(NOT(ISERROR(MATCH(R63,_xlfn.ANCHORARRAY(H69),0))),#REF!&amp;"Por favor no seleccionar los criterios de impacto",R63)</f>
        <v>0</v>
      </c>
      <c r="T63" s="340"/>
      <c r="U63" s="341"/>
      <c r="V63" s="327"/>
      <c r="W63" s="233">
        <v>2</v>
      </c>
      <c r="X63" s="207" t="s">
        <v>1013</v>
      </c>
      <c r="Y63" s="230" t="str">
        <f t="shared" si="130"/>
        <v>Probabilidad</v>
      </c>
      <c r="Z63" s="185" t="s">
        <v>208</v>
      </c>
      <c r="AA63" s="185" t="s">
        <v>216</v>
      </c>
      <c r="AB63" s="186" t="str">
        <f t="shared" si="73"/>
        <v>40%</v>
      </c>
      <c r="AC63" s="185" t="s">
        <v>219</v>
      </c>
      <c r="AD63" s="185" t="s">
        <v>224</v>
      </c>
      <c r="AE63" s="185" t="s">
        <v>228</v>
      </c>
      <c r="AF63" s="187">
        <f t="shared" ref="AF63:AF66" si="143">IFERROR(IF(AND(Y62="Probabilidad",Y63="Probabilidad"),(AH62-(+AH62*AB63)),IF(Y63="Probabilidad",(Q62-(+Q62*AB63)),IF(Y63="Impacto",AH62,""))),"")</f>
        <v>0.252</v>
      </c>
      <c r="AG63" s="188" t="str">
        <f t="shared" si="132"/>
        <v>Baja</v>
      </c>
      <c r="AH63" s="186">
        <f t="shared" si="133"/>
        <v>0.252</v>
      </c>
      <c r="AI63" s="188" t="str">
        <f t="shared" ca="1" si="134"/>
        <v>Moderado</v>
      </c>
      <c r="AJ63" s="186">
        <f t="shared" ref="AJ63" ca="1" si="144">IFERROR(IF(AND(Y62="Impacto",Y63="Impacto"),(AJ62-(+AJ62*AB63)),IF(Y63="Impacto",(U62-(+U62*AB63)),IF(Y63="Probabilidad",AJ62,""))),"")</f>
        <v>0.6</v>
      </c>
      <c r="AK63" s="189" t="str">
        <f t="shared" ca="1" si="136"/>
        <v>Moderado</v>
      </c>
      <c r="AL63" s="185" t="s">
        <v>255</v>
      </c>
      <c r="AM63" s="227"/>
      <c r="AN63" s="230"/>
      <c r="AO63" s="228"/>
      <c r="AP63" s="228"/>
      <c r="AQ63" s="227"/>
      <c r="AR63" s="229"/>
    </row>
    <row r="64" spans="1:44" s="191" customFormat="1" ht="168.75" customHeight="1" thickTop="1" thickBot="1" x14ac:dyDescent="0.3">
      <c r="A64" s="328"/>
      <c r="B64" s="345"/>
      <c r="C64" s="333"/>
      <c r="D64" s="335"/>
      <c r="E64" s="333"/>
      <c r="F64" s="351"/>
      <c r="G64" s="351"/>
      <c r="H64" s="350"/>
      <c r="I64" s="338"/>
      <c r="J64" s="338"/>
      <c r="K64" s="338"/>
      <c r="L64" s="338"/>
      <c r="M64" s="333"/>
      <c r="N64" s="333"/>
      <c r="O64" s="339"/>
      <c r="P64" s="340"/>
      <c r="Q64" s="341"/>
      <c r="R64" s="341"/>
      <c r="S64" s="341">
        <f ca="1">IF(NOT(ISERROR(MATCH(R64,_xlfn.ANCHORARRAY(H70),0))),#REF!&amp;"Por favor no seleccionar los criterios de impacto",R64)</f>
        <v>0</v>
      </c>
      <c r="T64" s="340"/>
      <c r="U64" s="341"/>
      <c r="V64" s="327"/>
      <c r="W64" s="233">
        <v>3</v>
      </c>
      <c r="X64" s="207" t="s">
        <v>1014</v>
      </c>
      <c r="Y64" s="230" t="str">
        <f t="shared" si="130"/>
        <v>Probabilidad</v>
      </c>
      <c r="Z64" s="185" t="s">
        <v>208</v>
      </c>
      <c r="AA64" s="185" t="s">
        <v>216</v>
      </c>
      <c r="AB64" s="186" t="str">
        <f t="shared" si="73"/>
        <v>40%</v>
      </c>
      <c r="AC64" s="185" t="s">
        <v>219</v>
      </c>
      <c r="AD64" s="185" t="s">
        <v>224</v>
      </c>
      <c r="AE64" s="185" t="s">
        <v>228</v>
      </c>
      <c r="AF64" s="187">
        <f t="shared" si="143"/>
        <v>0.1512</v>
      </c>
      <c r="AG64" s="188" t="str">
        <f t="shared" si="132"/>
        <v>Muy Baja</v>
      </c>
      <c r="AH64" s="186">
        <f t="shared" si="133"/>
        <v>0.1512</v>
      </c>
      <c r="AI64" s="188" t="str">
        <f t="shared" ca="1" si="134"/>
        <v>Moderado</v>
      </c>
      <c r="AJ64" s="186">
        <f t="shared" ref="AJ64:AJ66" ca="1" si="145">IFERROR(IF(AND(Y63="Impacto",Y64="Impacto"),(AJ63-(+AJ63*AB64)),IF(AND(Y63="Probabilidad",Y64="Impacto"),(AJ62-(+AJ62*AB64)),IF(Y64="Probabilidad",AJ63,""))),"")</f>
        <v>0.6</v>
      </c>
      <c r="AK64" s="189" t="str">
        <f t="shared" ca="1" si="136"/>
        <v>Moderado</v>
      </c>
      <c r="AL64" s="185" t="s">
        <v>255</v>
      </c>
      <c r="AM64" s="227"/>
      <c r="AN64" s="230"/>
      <c r="AO64" s="228"/>
      <c r="AP64" s="228"/>
      <c r="AQ64" s="227"/>
      <c r="AR64" s="229"/>
    </row>
    <row r="65" spans="1:44" s="191" customFormat="1" ht="168" customHeight="1" thickTop="1" thickBot="1" x14ac:dyDescent="0.3">
      <c r="A65" s="328"/>
      <c r="B65" s="345"/>
      <c r="C65" s="333"/>
      <c r="D65" s="335"/>
      <c r="E65" s="333"/>
      <c r="F65" s="351"/>
      <c r="G65" s="351"/>
      <c r="H65" s="350"/>
      <c r="I65" s="338"/>
      <c r="J65" s="338"/>
      <c r="K65" s="338"/>
      <c r="L65" s="338"/>
      <c r="M65" s="333"/>
      <c r="N65" s="333"/>
      <c r="O65" s="339"/>
      <c r="P65" s="340"/>
      <c r="Q65" s="341"/>
      <c r="R65" s="341"/>
      <c r="S65" s="341">
        <f ca="1">IF(NOT(ISERROR(MATCH(R65,_xlfn.ANCHORARRAY(#REF!),0))),#REF!&amp;"Por favor no seleccionar los criterios de impacto",R65)</f>
        <v>0</v>
      </c>
      <c r="T65" s="340"/>
      <c r="U65" s="341"/>
      <c r="V65" s="327"/>
      <c r="W65" s="233">
        <v>4</v>
      </c>
      <c r="X65" s="209" t="s">
        <v>1015</v>
      </c>
      <c r="Y65" s="230" t="str">
        <f t="shared" si="130"/>
        <v>Probabilidad</v>
      </c>
      <c r="Z65" s="185" t="s">
        <v>208</v>
      </c>
      <c r="AA65" s="185" t="s">
        <v>216</v>
      </c>
      <c r="AB65" s="186" t="str">
        <f t="shared" si="73"/>
        <v>40%</v>
      </c>
      <c r="AC65" s="185" t="s">
        <v>219</v>
      </c>
      <c r="AD65" s="185" t="s">
        <v>224</v>
      </c>
      <c r="AE65" s="185" t="s">
        <v>228</v>
      </c>
      <c r="AF65" s="187">
        <f t="shared" si="143"/>
        <v>9.0719999999999995E-2</v>
      </c>
      <c r="AG65" s="188" t="str">
        <f t="shared" si="132"/>
        <v>Muy Baja</v>
      </c>
      <c r="AH65" s="186">
        <f t="shared" si="133"/>
        <v>9.0719999999999995E-2</v>
      </c>
      <c r="AI65" s="188" t="str">
        <f t="shared" ca="1" si="134"/>
        <v>Moderado</v>
      </c>
      <c r="AJ65" s="186">
        <f t="shared" ca="1" si="145"/>
        <v>0.6</v>
      </c>
      <c r="AK65" s="189" t="str">
        <f t="shared" ca="1" si="136"/>
        <v>Moderado</v>
      </c>
      <c r="AL65" s="185" t="s">
        <v>255</v>
      </c>
      <c r="AM65" s="227"/>
      <c r="AN65" s="230"/>
      <c r="AO65" s="228"/>
      <c r="AP65" s="228"/>
      <c r="AQ65" s="227"/>
      <c r="AR65" s="229"/>
    </row>
    <row r="66" spans="1:44" s="191" customFormat="1" ht="145.5" customHeight="1" thickTop="1" thickBot="1" x14ac:dyDescent="0.3">
      <c r="A66" s="328"/>
      <c r="B66" s="345"/>
      <c r="C66" s="333"/>
      <c r="D66" s="335"/>
      <c r="E66" s="333"/>
      <c r="F66" s="351"/>
      <c r="G66" s="351"/>
      <c r="H66" s="350"/>
      <c r="I66" s="338"/>
      <c r="J66" s="338"/>
      <c r="K66" s="338"/>
      <c r="L66" s="338"/>
      <c r="M66" s="333"/>
      <c r="N66" s="333"/>
      <c r="O66" s="339"/>
      <c r="P66" s="340"/>
      <c r="Q66" s="341"/>
      <c r="R66" s="341"/>
      <c r="S66" s="341">
        <f ca="1">IF(NOT(ISERROR(MATCH(R66,_xlfn.ANCHORARRAY(#REF!),0))),#REF!&amp;"Por favor no seleccionar los criterios de impacto",R66)</f>
        <v>0</v>
      </c>
      <c r="T66" s="340"/>
      <c r="U66" s="341"/>
      <c r="V66" s="327"/>
      <c r="W66" s="233">
        <v>5</v>
      </c>
      <c r="X66" s="209" t="s">
        <v>1016</v>
      </c>
      <c r="Y66" s="230" t="str">
        <f t="shared" si="130"/>
        <v>Probabilidad</v>
      </c>
      <c r="Z66" s="185" t="s">
        <v>208</v>
      </c>
      <c r="AA66" s="185" t="s">
        <v>216</v>
      </c>
      <c r="AB66" s="186" t="str">
        <f t="shared" si="73"/>
        <v>40%</v>
      </c>
      <c r="AC66" s="185" t="s">
        <v>219</v>
      </c>
      <c r="AD66" s="185" t="s">
        <v>224</v>
      </c>
      <c r="AE66" s="185" t="s">
        <v>228</v>
      </c>
      <c r="AF66" s="187">
        <f t="shared" si="143"/>
        <v>5.4431999999999994E-2</v>
      </c>
      <c r="AG66" s="188" t="str">
        <f t="shared" si="132"/>
        <v>Muy Baja</v>
      </c>
      <c r="AH66" s="186">
        <f t="shared" si="133"/>
        <v>5.4431999999999994E-2</v>
      </c>
      <c r="AI66" s="188" t="str">
        <f t="shared" ca="1" si="134"/>
        <v>Moderado</v>
      </c>
      <c r="AJ66" s="186">
        <f t="shared" ca="1" si="145"/>
        <v>0.6</v>
      </c>
      <c r="AK66" s="189" t="str">
        <f t="shared" ca="1" si="136"/>
        <v>Moderado</v>
      </c>
      <c r="AL66" s="185" t="s">
        <v>255</v>
      </c>
      <c r="AM66" s="227"/>
      <c r="AN66" s="230"/>
      <c r="AO66" s="228"/>
      <c r="AP66" s="228"/>
      <c r="AQ66" s="227"/>
      <c r="AR66" s="229"/>
    </row>
    <row r="67" spans="1:44" s="191" customFormat="1" ht="135" customHeight="1" thickTop="1" thickBot="1" x14ac:dyDescent="0.3">
      <c r="A67" s="328">
        <v>20</v>
      </c>
      <c r="B67" s="345" t="s">
        <v>569</v>
      </c>
      <c r="C67" s="333" t="s">
        <v>269</v>
      </c>
      <c r="D67" s="333" t="s">
        <v>975</v>
      </c>
      <c r="E67" s="333" t="s">
        <v>238</v>
      </c>
      <c r="F67" s="351" t="s">
        <v>570</v>
      </c>
      <c r="G67" s="351" t="s">
        <v>571</v>
      </c>
      <c r="H67" s="350" t="s">
        <v>1127</v>
      </c>
      <c r="I67" s="338" t="s">
        <v>474</v>
      </c>
      <c r="J67" s="338" t="s">
        <v>474</v>
      </c>
      <c r="K67" s="338" t="s">
        <v>474</v>
      </c>
      <c r="L67" s="338" t="s">
        <v>474</v>
      </c>
      <c r="M67" s="333" t="s">
        <v>239</v>
      </c>
      <c r="N67" s="333"/>
      <c r="O67" s="339">
        <v>5001</v>
      </c>
      <c r="P67" s="340" t="str">
        <f t="shared" si="126"/>
        <v>Muy Alta</v>
      </c>
      <c r="Q67" s="341">
        <f t="shared" si="127"/>
        <v>1</v>
      </c>
      <c r="R67" s="341" t="s">
        <v>190</v>
      </c>
      <c r="S67" s="341" t="str">
        <f ca="1">IF(NOT(ISERROR(MATCH(R67,'Tabla Impacto'!$B$221:$B$223,0))),'Tabla Impacto'!$F$223&amp;"Por favor no seleccionar los criterios de impacto(Afectación Económica o presupuestal y Pérdida Reputacional)",R67)</f>
        <v>El riesgo afecta la imagen de la entidad con algunos usuarios de relevancia frente al logro de los objetivos</v>
      </c>
      <c r="T67" s="340" t="str">
        <f ca="1">+IF(OR(S67='[1]Tabla Impacto'!$C$11,S67='[1]Tabla Impacto'!$D$11),"Leve",IF(OR(S67='[1]Tabla Impacto'!$C$12,S67='[1]Tabla Impacto'!$D$12),"Menor",IF(OR(S67='[1]Tabla Impacto'!$C$13,S67='[1]Tabla Impacto'!$D$13),"Moderado",IF(OR(S67='[1]Tabla Impacto'!$C$14,S67='[1]Tabla Impacto'!$D$14),"Mayor",IF(OR(S67='[1]Tabla Impacto'!$C$15,S67='[1]Tabla Impacto'!$D$15),"Catastrófico","")))))</f>
        <v>Moderado</v>
      </c>
      <c r="U67" s="341">
        <f t="shared" ref="U67" ca="1" si="146">IF(T67="","",IF(T67="Leve",0.2,IF(T67="Menor",0.4,IF(T67="Moderado",0.6,IF(T67="Mayor",0.8,IF(T67="Catastrófico",1,))))))</f>
        <v>0.6</v>
      </c>
      <c r="V67" s="327" t="str">
        <f t="shared" ref="V67" ca="1" si="147">IF(OR(AND(P67="Muy Baja",T67="Leve"),AND(P67="Muy Baja",T67="Menor"),AND(P67="Baja",T67="Leve")),"Bajo",IF(OR(AND(P67="Muy baja",T67="Moderado"),AND(P67="Baja",T67="Menor"),AND(P67="Baja",T67="Moderado"),AND(P67="Media",T67="Leve"),AND(P67="Media",T67="Menor"),AND(P67="Media",T67="Moderado"),AND(P67="Alta",T67="Leve"),AND(P67="Alta",T67="Menor")),"Moderado",IF(OR(AND(P67="Muy Baja",T67="Mayor"),AND(P67="Baja",T67="Mayor"),AND(P67="Media",T67="Mayor"),AND(P67="Alta",T67="Moderado"),AND(P67="Alta",T67="Mayor"),AND(P67="Muy Alta",T67="Leve"),AND(P67="Muy Alta",T67="Menor"),AND(P67="Muy Alta",T67="Moderado"),AND(P67="Muy Alta",T67="Mayor")),"Alto",IF(OR(AND(P67="Muy Baja",T67="Catastrófico"),AND(P67="Baja",T67="Catastrófico"),AND(P67="Media",T67="Catastrófico"),AND(P67="Alta",T67="Catastrófico"),AND(P67="Muy Alta",T67="Catastrófico")),"Extremo",""))))</f>
        <v>Alto</v>
      </c>
      <c r="W67" s="233">
        <v>1</v>
      </c>
      <c r="X67" s="207" t="s">
        <v>572</v>
      </c>
      <c r="Y67" s="230" t="str">
        <f t="shared" si="130"/>
        <v>Probabilidad</v>
      </c>
      <c r="Z67" s="185" t="s">
        <v>208</v>
      </c>
      <c r="AA67" s="185" t="s">
        <v>216</v>
      </c>
      <c r="AB67" s="186" t="str">
        <f t="shared" si="73"/>
        <v>40%</v>
      </c>
      <c r="AC67" s="185" t="s">
        <v>219</v>
      </c>
      <c r="AD67" s="185" t="s">
        <v>224</v>
      </c>
      <c r="AE67" s="185" t="s">
        <v>228</v>
      </c>
      <c r="AF67" s="187">
        <f t="shared" ref="AF67" si="148">IFERROR(IF(Y67="Probabilidad",(Q67-(+Q67*AB67)),IF(Y67="Impacto",Q67,"")),"")</f>
        <v>0.6</v>
      </c>
      <c r="AG67" s="188" t="str">
        <f t="shared" si="132"/>
        <v>Media</v>
      </c>
      <c r="AH67" s="186">
        <f t="shared" si="133"/>
        <v>0.6</v>
      </c>
      <c r="AI67" s="188" t="str">
        <f t="shared" ca="1" si="134"/>
        <v>Moderado</v>
      </c>
      <c r="AJ67" s="186">
        <f t="shared" ref="AJ67" ca="1" si="149">IFERROR(IF(Y67="Impacto",(U67-(+U67*AB67)),IF(Y67="Probabilidad",U67,"")),"")</f>
        <v>0.6</v>
      </c>
      <c r="AK67" s="189" t="str">
        <f t="shared" ca="1" si="136"/>
        <v>Moderado</v>
      </c>
      <c r="AL67" s="185" t="s">
        <v>255</v>
      </c>
      <c r="AM67" s="227"/>
      <c r="AN67" s="230"/>
      <c r="AO67" s="228"/>
      <c r="AP67" s="228"/>
      <c r="AQ67" s="227"/>
      <c r="AR67" s="229"/>
    </row>
    <row r="68" spans="1:44" s="191" customFormat="1" ht="195" customHeight="1" thickTop="1" thickBot="1" x14ac:dyDescent="0.3">
      <c r="A68" s="328"/>
      <c r="B68" s="345"/>
      <c r="C68" s="333"/>
      <c r="D68" s="333"/>
      <c r="E68" s="333"/>
      <c r="F68" s="351"/>
      <c r="G68" s="351"/>
      <c r="H68" s="350"/>
      <c r="I68" s="338"/>
      <c r="J68" s="338"/>
      <c r="K68" s="338"/>
      <c r="L68" s="338"/>
      <c r="M68" s="333"/>
      <c r="N68" s="333"/>
      <c r="O68" s="339"/>
      <c r="P68" s="340"/>
      <c r="Q68" s="341"/>
      <c r="R68" s="341"/>
      <c r="S68" s="341">
        <f ca="1">IF(NOT(ISERROR(MATCH(R68,_xlfn.ANCHORARRAY(H71),0))),Q73&amp;"Por favor no seleccionar los criterios de impacto",R68)</f>
        <v>0</v>
      </c>
      <c r="T68" s="340"/>
      <c r="U68" s="341"/>
      <c r="V68" s="327"/>
      <c r="W68" s="233">
        <v>2</v>
      </c>
      <c r="X68" s="209" t="s">
        <v>1017</v>
      </c>
      <c r="Y68" s="230" t="str">
        <f t="shared" si="130"/>
        <v>Probabilidad</v>
      </c>
      <c r="Z68" s="185" t="s">
        <v>208</v>
      </c>
      <c r="AA68" s="185" t="s">
        <v>216</v>
      </c>
      <c r="AB68" s="186" t="str">
        <f t="shared" si="73"/>
        <v>40%</v>
      </c>
      <c r="AC68" s="185" t="s">
        <v>219</v>
      </c>
      <c r="AD68" s="185" t="s">
        <v>224</v>
      </c>
      <c r="AE68" s="185" t="s">
        <v>228</v>
      </c>
      <c r="AF68" s="187">
        <f t="shared" ref="AF68" si="150">IFERROR(IF(AND(Y67="Probabilidad",Y68="Probabilidad"),(AH67-(+AH67*AB68)),IF(Y68="Probabilidad",(Q67-(+Q67*AB68)),IF(Y68="Impacto",AH67,""))),"")</f>
        <v>0.36</v>
      </c>
      <c r="AG68" s="188" t="str">
        <f t="shared" si="132"/>
        <v>Baja</v>
      </c>
      <c r="AH68" s="186">
        <f t="shared" si="133"/>
        <v>0.36</v>
      </c>
      <c r="AI68" s="188" t="str">
        <f t="shared" ca="1" si="134"/>
        <v>Moderado</v>
      </c>
      <c r="AJ68" s="186">
        <f t="shared" ref="AJ68" ca="1" si="151">IFERROR(IF(AND(Y67="Impacto",Y68="Impacto"),(AJ67-(+AJ67*AB68)),IF(Y68="Impacto",(U67-(+U67*AB68)),IF(Y68="Probabilidad",AJ67,""))),"")</f>
        <v>0.6</v>
      </c>
      <c r="AK68" s="189" t="str">
        <f t="shared" ca="1" si="136"/>
        <v>Moderado</v>
      </c>
      <c r="AL68" s="185" t="s">
        <v>255</v>
      </c>
      <c r="AM68" s="227"/>
      <c r="AN68" s="230"/>
      <c r="AO68" s="228"/>
      <c r="AP68" s="228"/>
      <c r="AQ68" s="227"/>
      <c r="AR68" s="229"/>
    </row>
    <row r="69" spans="1:44" s="191" customFormat="1" ht="143.25" customHeight="1" thickTop="1" thickBot="1" x14ac:dyDescent="0.3">
      <c r="A69" s="328">
        <v>21</v>
      </c>
      <c r="B69" s="345" t="s">
        <v>573</v>
      </c>
      <c r="C69" s="333" t="s">
        <v>269</v>
      </c>
      <c r="D69" s="333" t="s">
        <v>574</v>
      </c>
      <c r="E69" s="333" t="s">
        <v>238</v>
      </c>
      <c r="F69" s="351" t="s">
        <v>575</v>
      </c>
      <c r="G69" s="351" t="s">
        <v>576</v>
      </c>
      <c r="H69" s="350" t="s">
        <v>1128</v>
      </c>
      <c r="I69" s="338" t="s">
        <v>474</v>
      </c>
      <c r="J69" s="338" t="s">
        <v>474</v>
      </c>
      <c r="K69" s="338" t="s">
        <v>474</v>
      </c>
      <c r="L69" s="338" t="s">
        <v>474</v>
      </c>
      <c r="M69" s="333" t="s">
        <v>239</v>
      </c>
      <c r="N69" s="333"/>
      <c r="O69" s="339">
        <v>5001</v>
      </c>
      <c r="P69" s="340" t="str">
        <f t="shared" si="126"/>
        <v>Muy Alta</v>
      </c>
      <c r="Q69" s="341">
        <f t="shared" si="127"/>
        <v>1</v>
      </c>
      <c r="R69" s="341" t="s">
        <v>190</v>
      </c>
      <c r="S69" s="341" t="str">
        <f ca="1">IF(NOT(ISERROR(MATCH(R69,'Tabla Impacto'!$B$221:$B$223,0))),'Tabla Impacto'!$F$223&amp;"Por favor no seleccionar los criterios de impacto(Afectación Económica o presupuestal y Pérdida Reputacional)",R69)</f>
        <v>El riesgo afecta la imagen de la entidad con algunos usuarios de relevancia frente al logro de los objetivos</v>
      </c>
      <c r="T69" s="340" t="str">
        <f ca="1">+IF(OR(S69='[1]Tabla Impacto'!$C$11,S69='[1]Tabla Impacto'!$D$11),"Leve",IF(OR(S69='[1]Tabla Impacto'!$C$12,S69='[1]Tabla Impacto'!$D$12),"Menor",IF(OR(S69='[1]Tabla Impacto'!$C$13,S69='[1]Tabla Impacto'!$D$13),"Moderado",IF(OR(S69='[1]Tabla Impacto'!$C$14,S69='[1]Tabla Impacto'!$D$14),"Mayor",IF(OR(S69='[1]Tabla Impacto'!$C$15,S69='[1]Tabla Impacto'!$D$15),"Catastrófico","")))))</f>
        <v>Moderado</v>
      </c>
      <c r="U69" s="341">
        <f t="shared" ref="U69" ca="1" si="152">IF(T69="","",IF(T69="Leve",0.2,IF(T69="Menor",0.4,IF(T69="Moderado",0.6,IF(T69="Mayor",0.8,IF(T69="Catastrófico",1,))))))</f>
        <v>0.6</v>
      </c>
      <c r="V69" s="327" t="str">
        <f t="shared" ref="V69" ca="1" si="153">IF(OR(AND(P69="Muy Baja",T69="Leve"),AND(P69="Muy Baja",T69="Menor"),AND(P69="Baja",T69="Leve")),"Bajo",IF(OR(AND(P69="Muy baja",T69="Moderado"),AND(P69="Baja",T69="Menor"),AND(P69="Baja",T69="Moderado"),AND(P69="Media",T69="Leve"),AND(P69="Media",T69="Menor"),AND(P69="Media",T69="Moderado"),AND(P69="Alta",T69="Leve"),AND(P69="Alta",T69="Menor")),"Moderado",IF(OR(AND(P69="Muy Baja",T69="Mayor"),AND(P69="Baja",T69="Mayor"),AND(P69="Media",T69="Mayor"),AND(P69="Alta",T69="Moderado"),AND(P69="Alta",T69="Mayor"),AND(P69="Muy Alta",T69="Leve"),AND(P69="Muy Alta",T69="Menor"),AND(P69="Muy Alta",T69="Moderado"),AND(P69="Muy Alta",T69="Mayor")),"Alto",IF(OR(AND(P69="Muy Baja",T69="Catastrófico"),AND(P69="Baja",T69="Catastrófico"),AND(P69="Media",T69="Catastrófico"),AND(P69="Alta",T69="Catastrófico"),AND(P69="Muy Alta",T69="Catastrófico")),"Extremo",""))))</f>
        <v>Alto</v>
      </c>
      <c r="W69" s="233">
        <v>1</v>
      </c>
      <c r="X69" s="207" t="s">
        <v>1018</v>
      </c>
      <c r="Y69" s="230" t="str">
        <f t="shared" si="130"/>
        <v>Probabilidad</v>
      </c>
      <c r="Z69" s="185" t="s">
        <v>208</v>
      </c>
      <c r="AA69" s="185" t="s">
        <v>216</v>
      </c>
      <c r="AB69" s="186" t="str">
        <f t="shared" si="73"/>
        <v>40%</v>
      </c>
      <c r="AC69" s="185" t="s">
        <v>219</v>
      </c>
      <c r="AD69" s="185" t="s">
        <v>224</v>
      </c>
      <c r="AE69" s="185" t="s">
        <v>228</v>
      </c>
      <c r="AF69" s="187">
        <f t="shared" ref="AF69" si="154">IFERROR(IF(Y69="Probabilidad",(Q69-(+Q69*AB69)),IF(Y69="Impacto",Q69,"")),"")</f>
        <v>0.6</v>
      </c>
      <c r="AG69" s="188" t="str">
        <f t="shared" si="132"/>
        <v>Media</v>
      </c>
      <c r="AH69" s="186">
        <f t="shared" si="133"/>
        <v>0.6</v>
      </c>
      <c r="AI69" s="188" t="str">
        <f t="shared" ca="1" si="134"/>
        <v>Moderado</v>
      </c>
      <c r="AJ69" s="186">
        <f t="shared" ref="AJ69" ca="1" si="155">IFERROR(IF(Y69="Impacto",(U69-(+U69*AB69)),IF(Y69="Probabilidad",U69,"")),"")</f>
        <v>0.6</v>
      </c>
      <c r="AK69" s="189" t="str">
        <f t="shared" ca="1" si="136"/>
        <v>Moderado</v>
      </c>
      <c r="AL69" s="185" t="s">
        <v>255</v>
      </c>
      <c r="AM69" s="227"/>
      <c r="AN69" s="230"/>
      <c r="AO69" s="228"/>
      <c r="AP69" s="228"/>
      <c r="AQ69" s="227"/>
      <c r="AR69" s="229"/>
    </row>
    <row r="70" spans="1:44" s="191" customFormat="1" ht="149.25" customHeight="1" thickTop="1" thickBot="1" x14ac:dyDescent="0.3">
      <c r="A70" s="328"/>
      <c r="B70" s="345"/>
      <c r="C70" s="333"/>
      <c r="D70" s="333"/>
      <c r="E70" s="333"/>
      <c r="F70" s="351"/>
      <c r="G70" s="351"/>
      <c r="H70" s="350"/>
      <c r="I70" s="338"/>
      <c r="J70" s="338"/>
      <c r="K70" s="338"/>
      <c r="L70" s="338"/>
      <c r="M70" s="333"/>
      <c r="N70" s="333"/>
      <c r="O70" s="339"/>
      <c r="P70" s="340"/>
      <c r="Q70" s="341"/>
      <c r="R70" s="341"/>
      <c r="S70" s="341">
        <f ca="1">IF(NOT(ISERROR(MATCH(R70,_xlfn.ANCHORARRAY(H74),0))),#REF!&amp;"Por favor no seleccionar los criterios de impacto",R70)</f>
        <v>0</v>
      </c>
      <c r="T70" s="340"/>
      <c r="U70" s="341"/>
      <c r="V70" s="327"/>
      <c r="W70" s="233">
        <v>2</v>
      </c>
      <c r="X70" s="207" t="s">
        <v>1019</v>
      </c>
      <c r="Y70" s="230" t="str">
        <f t="shared" si="130"/>
        <v>Probabilidad</v>
      </c>
      <c r="Z70" s="185" t="s">
        <v>208</v>
      </c>
      <c r="AA70" s="185" t="s">
        <v>216</v>
      </c>
      <c r="AB70" s="186" t="str">
        <f t="shared" si="73"/>
        <v>40%</v>
      </c>
      <c r="AC70" s="185" t="s">
        <v>219</v>
      </c>
      <c r="AD70" s="185" t="s">
        <v>224</v>
      </c>
      <c r="AE70" s="185" t="s">
        <v>228</v>
      </c>
      <c r="AF70" s="187">
        <f t="shared" ref="AF70" si="156">IFERROR(IF(AND(Y69="Probabilidad",Y70="Probabilidad"),(AH69-(+AH69*AB70)),IF(Y70="Probabilidad",(Q69-(+Q69*AB70)),IF(Y70="Impacto",AH69,""))),"")</f>
        <v>0.36</v>
      </c>
      <c r="AG70" s="188" t="str">
        <f t="shared" si="132"/>
        <v>Baja</v>
      </c>
      <c r="AH70" s="186">
        <f t="shared" si="133"/>
        <v>0.36</v>
      </c>
      <c r="AI70" s="188" t="str">
        <f t="shared" ca="1" si="134"/>
        <v>Moderado</v>
      </c>
      <c r="AJ70" s="186">
        <f t="shared" ref="AJ70" ca="1" si="157">IFERROR(IF(AND(Y69="Impacto",Y70="Impacto"),(AJ69-(+AJ69*AB70)),IF(Y70="Impacto",(U69-(+U69*AB70)),IF(Y70="Probabilidad",AJ69,""))),"")</f>
        <v>0.6</v>
      </c>
      <c r="AK70" s="189" t="str">
        <f t="shared" ca="1" si="136"/>
        <v>Moderado</v>
      </c>
      <c r="AL70" s="185" t="s">
        <v>255</v>
      </c>
      <c r="AM70" s="227"/>
      <c r="AN70" s="230"/>
      <c r="AO70" s="228"/>
      <c r="AP70" s="228"/>
      <c r="AQ70" s="227"/>
      <c r="AR70" s="229"/>
    </row>
    <row r="71" spans="1:44" s="191" customFormat="1" ht="116.25" customHeight="1" thickTop="1" thickBot="1" x14ac:dyDescent="0.3">
      <c r="A71" s="328">
        <v>22</v>
      </c>
      <c r="B71" s="345" t="s">
        <v>577</v>
      </c>
      <c r="C71" s="333" t="s">
        <v>269</v>
      </c>
      <c r="D71" s="333" t="s">
        <v>975</v>
      </c>
      <c r="E71" s="333" t="s">
        <v>238</v>
      </c>
      <c r="F71" s="351" t="s">
        <v>578</v>
      </c>
      <c r="G71" s="351" t="s">
        <v>579</v>
      </c>
      <c r="H71" s="350" t="s">
        <v>1129</v>
      </c>
      <c r="I71" s="338" t="s">
        <v>474</v>
      </c>
      <c r="J71" s="338" t="s">
        <v>474</v>
      </c>
      <c r="K71" s="338" t="s">
        <v>474</v>
      </c>
      <c r="L71" s="338" t="s">
        <v>474</v>
      </c>
      <c r="M71" s="333" t="s">
        <v>239</v>
      </c>
      <c r="N71" s="333"/>
      <c r="O71" s="339">
        <v>24</v>
      </c>
      <c r="P71" s="340" t="str">
        <f t="shared" si="126"/>
        <v>Baja</v>
      </c>
      <c r="Q71" s="341">
        <f t="shared" si="127"/>
        <v>0.4</v>
      </c>
      <c r="R71" s="341" t="s">
        <v>190</v>
      </c>
      <c r="S71" s="341" t="str">
        <f ca="1">IF(NOT(ISERROR(MATCH(R71,'Tabla Impacto'!$B$221:$B$223,0))),'Tabla Impacto'!$F$223&amp;"Por favor no seleccionar los criterios de impacto(Afectación Económica o presupuestal y Pérdida Reputacional)",R71)</f>
        <v>El riesgo afecta la imagen de la entidad con algunos usuarios de relevancia frente al logro de los objetivos</v>
      </c>
      <c r="T71" s="340" t="str">
        <f ca="1">+IF(OR(S71='[1]Tabla Impacto'!$C$11,S71='[1]Tabla Impacto'!$D$11),"Leve",IF(OR(S71='[1]Tabla Impacto'!$C$12,S71='[1]Tabla Impacto'!$D$12),"Menor",IF(OR(S71='[1]Tabla Impacto'!$C$13,S71='[1]Tabla Impacto'!$D$13),"Moderado",IF(OR(S71='[1]Tabla Impacto'!$C$14,S71='[1]Tabla Impacto'!$D$14),"Mayor",IF(OR(S71='[1]Tabla Impacto'!$C$15,S71='[1]Tabla Impacto'!$D$15),"Catastrófico","")))))</f>
        <v>Moderado</v>
      </c>
      <c r="U71" s="341">
        <f t="shared" ref="U71" ca="1" si="158">IF(T71="","",IF(T71="Leve",0.2,IF(T71="Menor",0.4,IF(T71="Moderado",0.6,IF(T71="Mayor",0.8,IF(T71="Catastrófico",1,))))))</f>
        <v>0.6</v>
      </c>
      <c r="V71" s="327" t="str">
        <f t="shared" ref="V71" ca="1" si="159">IF(OR(AND(P71="Muy Baja",T71="Leve"),AND(P71="Muy Baja",T71="Menor"),AND(P71="Baja",T71="Leve")),"Bajo",IF(OR(AND(P71="Muy baja",T71="Moderado"),AND(P71="Baja",T71="Menor"),AND(P71="Baja",T71="Moderado"),AND(P71="Media",T71="Leve"),AND(P71="Media",T71="Menor"),AND(P71="Media",T71="Moderado"),AND(P71="Alta",T71="Leve"),AND(P71="Alta",T71="Menor")),"Moderado",IF(OR(AND(P71="Muy Baja",T71="Mayor"),AND(P71="Baja",T71="Mayor"),AND(P71="Media",T71="Mayor"),AND(P71="Alta",T71="Moderado"),AND(P71="Alta",T71="Mayor"),AND(P71="Muy Alta",T71="Leve"),AND(P71="Muy Alta",T71="Menor"),AND(P71="Muy Alta",T71="Moderado"),AND(P71="Muy Alta",T71="Mayor")),"Alto",IF(OR(AND(P71="Muy Baja",T71="Catastrófico"),AND(P71="Baja",T71="Catastrófico"),AND(P71="Media",T71="Catastrófico"),AND(P71="Alta",T71="Catastrófico"),AND(P71="Muy Alta",T71="Catastrófico")),"Extremo",""))))</f>
        <v>Moderado</v>
      </c>
      <c r="W71" s="233">
        <v>1</v>
      </c>
      <c r="X71" s="208" t="s">
        <v>580</v>
      </c>
      <c r="Y71" s="230" t="str">
        <f t="shared" si="130"/>
        <v>Probabilidad</v>
      </c>
      <c r="Z71" s="185" t="s">
        <v>208</v>
      </c>
      <c r="AA71" s="185" t="s">
        <v>216</v>
      </c>
      <c r="AB71" s="186" t="str">
        <f t="shared" ref="AB71:AB89" si="160">IF(AND(Z71="Preventivo",AA71="Automático"),"50%",IF(AND(Z71="Preventivo",AA71="Manual"),"40%",IF(AND(Z71="Detectivo",AA71="Automático"),"40%",IF(AND(Z71="Detectivo",AA71="Manual"),"30%",IF(AND(Z71="Correctivo",AA71="Automático"),"35%",IF(AND(Z71="Correctivo",AA71="Manual"),"25%",""))))))</f>
        <v>40%</v>
      </c>
      <c r="AC71" s="185" t="s">
        <v>219</v>
      </c>
      <c r="AD71" s="185" t="s">
        <v>224</v>
      </c>
      <c r="AE71" s="185" t="s">
        <v>228</v>
      </c>
      <c r="AF71" s="187">
        <f t="shared" ref="AF71" si="161">IFERROR(IF(Y71="Probabilidad",(Q71-(+Q71*AB71)),IF(Y71="Impacto",Q71,"")),"")</f>
        <v>0.24</v>
      </c>
      <c r="AG71" s="188" t="str">
        <f t="shared" si="132"/>
        <v>Baja</v>
      </c>
      <c r="AH71" s="186">
        <f t="shared" si="133"/>
        <v>0.24</v>
      </c>
      <c r="AI71" s="188" t="str">
        <f t="shared" ca="1" si="134"/>
        <v>Moderado</v>
      </c>
      <c r="AJ71" s="186">
        <f t="shared" ref="AJ71" ca="1" si="162">IFERROR(IF(Y71="Impacto",(U71-(+U71*AB71)),IF(Y71="Probabilidad",U71,"")),"")</f>
        <v>0.6</v>
      </c>
      <c r="AK71" s="189" t="str">
        <f t="shared" ca="1" si="136"/>
        <v>Moderado</v>
      </c>
      <c r="AL71" s="185" t="s">
        <v>255</v>
      </c>
      <c r="AM71" s="227"/>
      <c r="AN71" s="230"/>
      <c r="AO71" s="228"/>
      <c r="AP71" s="228"/>
      <c r="AQ71" s="227"/>
      <c r="AR71" s="229"/>
    </row>
    <row r="72" spans="1:44" s="191" customFormat="1" ht="125.25" customHeight="1" thickTop="1" thickBot="1" x14ac:dyDescent="0.3">
      <c r="A72" s="328"/>
      <c r="B72" s="345"/>
      <c r="C72" s="333"/>
      <c r="D72" s="333"/>
      <c r="E72" s="333"/>
      <c r="F72" s="351"/>
      <c r="G72" s="351"/>
      <c r="H72" s="350"/>
      <c r="I72" s="338"/>
      <c r="J72" s="338"/>
      <c r="K72" s="338"/>
      <c r="L72" s="338"/>
      <c r="M72" s="333"/>
      <c r="N72" s="333"/>
      <c r="O72" s="339"/>
      <c r="P72" s="340"/>
      <c r="Q72" s="341"/>
      <c r="R72" s="341"/>
      <c r="S72" s="341">
        <f ca="1">IF(NOT(ISERROR(MATCH(R72,_xlfn.ANCHORARRAY(H75),0))),#REF!&amp;"Por favor no seleccionar los criterios de impacto",R72)</f>
        <v>0</v>
      </c>
      <c r="T72" s="340"/>
      <c r="U72" s="341"/>
      <c r="V72" s="327"/>
      <c r="W72" s="233">
        <v>2</v>
      </c>
      <c r="X72" s="208" t="s">
        <v>1020</v>
      </c>
      <c r="Y72" s="230" t="str">
        <f t="shared" si="130"/>
        <v>Probabilidad</v>
      </c>
      <c r="Z72" s="185" t="s">
        <v>208</v>
      </c>
      <c r="AA72" s="185" t="s">
        <v>216</v>
      </c>
      <c r="AB72" s="186" t="str">
        <f t="shared" si="160"/>
        <v>40%</v>
      </c>
      <c r="AC72" s="185" t="s">
        <v>219</v>
      </c>
      <c r="AD72" s="185" t="s">
        <v>224</v>
      </c>
      <c r="AE72" s="185" t="s">
        <v>228</v>
      </c>
      <c r="AF72" s="187">
        <f t="shared" ref="AF72:AF73" si="163">IFERROR(IF(AND(Y71="Probabilidad",Y72="Probabilidad"),(AH71-(+AH71*AB72)),IF(Y72="Probabilidad",(Q71-(+Q71*AB72)),IF(Y72="Impacto",AH71,""))),"")</f>
        <v>0.14399999999999999</v>
      </c>
      <c r="AG72" s="188" t="str">
        <f t="shared" si="132"/>
        <v>Muy Baja</v>
      </c>
      <c r="AH72" s="186">
        <f t="shared" si="133"/>
        <v>0.14399999999999999</v>
      </c>
      <c r="AI72" s="188" t="str">
        <f t="shared" ca="1" si="134"/>
        <v>Moderado</v>
      </c>
      <c r="AJ72" s="186">
        <f t="shared" ref="AJ72" ca="1" si="164">IFERROR(IF(AND(Y71="Impacto",Y72="Impacto"),(AJ71-(+AJ71*AB72)),IF(Y72="Impacto",(U71-(+U71*AB72)),IF(Y72="Probabilidad",AJ71,""))),"")</f>
        <v>0.6</v>
      </c>
      <c r="AK72" s="189" t="str">
        <f t="shared" ca="1" si="136"/>
        <v>Moderado</v>
      </c>
      <c r="AL72" s="185" t="s">
        <v>255</v>
      </c>
      <c r="AM72" s="227"/>
      <c r="AN72" s="230"/>
      <c r="AO72" s="228"/>
      <c r="AP72" s="228"/>
      <c r="AQ72" s="227"/>
      <c r="AR72" s="229"/>
    </row>
    <row r="73" spans="1:44" s="191" customFormat="1" ht="142.5" customHeight="1" thickTop="1" thickBot="1" x14ac:dyDescent="0.3">
      <c r="A73" s="328"/>
      <c r="B73" s="345"/>
      <c r="C73" s="333"/>
      <c r="D73" s="333"/>
      <c r="E73" s="333"/>
      <c r="F73" s="351"/>
      <c r="G73" s="351"/>
      <c r="H73" s="350"/>
      <c r="I73" s="338"/>
      <c r="J73" s="338"/>
      <c r="K73" s="338"/>
      <c r="L73" s="338"/>
      <c r="M73" s="333"/>
      <c r="N73" s="333"/>
      <c r="O73" s="339"/>
      <c r="P73" s="340"/>
      <c r="Q73" s="341"/>
      <c r="R73" s="341"/>
      <c r="S73" s="341">
        <f ca="1">IF(NOT(ISERROR(MATCH(R73,_xlfn.ANCHORARRAY(H76),0))),#REF!&amp;"Por favor no seleccionar los criterios de impacto",R73)</f>
        <v>0</v>
      </c>
      <c r="T73" s="340"/>
      <c r="U73" s="341"/>
      <c r="V73" s="327"/>
      <c r="W73" s="233">
        <v>3</v>
      </c>
      <c r="X73" s="207" t="s">
        <v>581</v>
      </c>
      <c r="Y73" s="230" t="str">
        <f t="shared" si="130"/>
        <v>Probabilidad</v>
      </c>
      <c r="Z73" s="185" t="s">
        <v>208</v>
      </c>
      <c r="AA73" s="185" t="s">
        <v>216</v>
      </c>
      <c r="AB73" s="186" t="str">
        <f t="shared" si="160"/>
        <v>40%</v>
      </c>
      <c r="AC73" s="185" t="s">
        <v>219</v>
      </c>
      <c r="AD73" s="185" t="s">
        <v>224</v>
      </c>
      <c r="AE73" s="185" t="s">
        <v>228</v>
      </c>
      <c r="AF73" s="187">
        <f t="shared" si="163"/>
        <v>8.6399999999999991E-2</v>
      </c>
      <c r="AG73" s="188" t="str">
        <f t="shared" si="132"/>
        <v>Muy Baja</v>
      </c>
      <c r="AH73" s="186">
        <f t="shared" si="133"/>
        <v>8.6399999999999991E-2</v>
      </c>
      <c r="AI73" s="188" t="str">
        <f t="shared" ca="1" si="134"/>
        <v>Moderado</v>
      </c>
      <c r="AJ73" s="186">
        <f t="shared" ref="AJ73" ca="1" si="165">IFERROR(IF(AND(Y72="Impacto",Y73="Impacto"),(AJ72-(+AJ72*AB73)),IF(AND(Y72="Probabilidad",Y73="Impacto"),(AJ71-(+AJ71*AB73)),IF(Y73="Probabilidad",AJ72,""))),"")</f>
        <v>0.6</v>
      </c>
      <c r="AK73" s="189" t="str">
        <f t="shared" ca="1" si="136"/>
        <v>Moderado</v>
      </c>
      <c r="AL73" s="185" t="s">
        <v>255</v>
      </c>
      <c r="AM73" s="227"/>
      <c r="AN73" s="230"/>
      <c r="AO73" s="228"/>
      <c r="AP73" s="228"/>
      <c r="AQ73" s="227"/>
      <c r="AR73" s="229"/>
    </row>
    <row r="74" spans="1:44" s="191" customFormat="1" ht="230.25" customHeight="1" thickTop="1" thickBot="1" x14ac:dyDescent="0.3">
      <c r="A74" s="226">
        <v>23</v>
      </c>
      <c r="B74" s="242" t="s">
        <v>582</v>
      </c>
      <c r="C74" s="227" t="s">
        <v>269</v>
      </c>
      <c r="D74" s="245" t="s">
        <v>976</v>
      </c>
      <c r="E74" s="227" t="s">
        <v>238</v>
      </c>
      <c r="F74" s="234" t="s">
        <v>583</v>
      </c>
      <c r="G74" s="234" t="s">
        <v>584</v>
      </c>
      <c r="H74" s="251" t="s">
        <v>1130</v>
      </c>
      <c r="I74" s="231" t="s">
        <v>474</v>
      </c>
      <c r="J74" s="231" t="s">
        <v>474</v>
      </c>
      <c r="K74" s="231" t="s">
        <v>474</v>
      </c>
      <c r="L74" s="231" t="s">
        <v>474</v>
      </c>
      <c r="M74" s="227" t="s">
        <v>239</v>
      </c>
      <c r="N74" s="227"/>
      <c r="O74" s="230">
        <v>365</v>
      </c>
      <c r="P74" s="232" t="str">
        <f t="shared" si="126"/>
        <v>Media</v>
      </c>
      <c r="Q74" s="225">
        <f t="shared" si="127"/>
        <v>0.6</v>
      </c>
      <c r="R74" s="225" t="s">
        <v>190</v>
      </c>
      <c r="S74" s="225" t="str">
        <f ca="1">IF(NOT(ISERROR(MATCH(R74,'Tabla Impacto'!$B$221:$B$223,0))),'Tabla Impacto'!$F$223&amp;"Por favor no seleccionar los criterios de impacto(Afectación Económica o presupuestal y Pérdida Reputacional)",R74)</f>
        <v>El riesgo afecta la imagen de la entidad con algunos usuarios de relevancia frente al logro de los objetivos</v>
      </c>
      <c r="T74" s="232" t="str">
        <f ca="1">+IF(OR(S74='[1]Tabla Impacto'!$C$11,S74='[1]Tabla Impacto'!$D$11),"Leve",IF(OR(S74='[1]Tabla Impacto'!$C$12,S74='[1]Tabla Impacto'!$D$12),"Menor",IF(OR(S74='[1]Tabla Impacto'!$C$13,S74='[1]Tabla Impacto'!$D$13),"Moderado",IF(OR(S74='[1]Tabla Impacto'!$C$14,S74='[1]Tabla Impacto'!$D$14),"Mayor",IF(OR(S74='[1]Tabla Impacto'!$C$15,S74='[1]Tabla Impacto'!$D$15),"Catastrófico","")))))</f>
        <v>Moderado</v>
      </c>
      <c r="U74" s="225">
        <f t="shared" ref="U74" ca="1" si="166">IF(T74="","",IF(T74="Leve",0.2,IF(T74="Menor",0.4,IF(T74="Moderado",0.6,IF(T74="Mayor",0.8,IF(T74="Catastrófico",1,))))))</f>
        <v>0.6</v>
      </c>
      <c r="V74" s="233" t="str">
        <f t="shared" ref="V74" ca="1" si="167">IF(OR(AND(P74="Muy Baja",T74="Leve"),AND(P74="Muy Baja",T74="Menor"),AND(P74="Baja",T74="Leve")),"Bajo",IF(OR(AND(P74="Muy baja",T74="Moderado"),AND(P74="Baja",T74="Menor"),AND(P74="Baja",T74="Moderado"),AND(P74="Media",T74="Leve"),AND(P74="Media",T74="Menor"),AND(P74="Media",T74="Moderado"),AND(P74="Alta",T74="Leve"),AND(P74="Alta",T74="Menor")),"Moderado",IF(OR(AND(P74="Muy Baja",T74="Mayor"),AND(P74="Baja",T74="Mayor"),AND(P74="Media",T74="Mayor"),AND(P74="Alta",T74="Moderado"),AND(P74="Alta",T74="Mayor"),AND(P74="Muy Alta",T74="Leve"),AND(P74="Muy Alta",T74="Menor"),AND(P74="Muy Alta",T74="Moderado"),AND(P74="Muy Alta",T74="Mayor")),"Alto",IF(OR(AND(P74="Muy Baja",T74="Catastrófico"),AND(P74="Baja",T74="Catastrófico"),AND(P74="Media",T74="Catastrófico"),AND(P74="Alta",T74="Catastrófico"),AND(P74="Muy Alta",T74="Catastrófico")),"Extremo",""))))</f>
        <v>Moderado</v>
      </c>
      <c r="W74" s="233">
        <v>1</v>
      </c>
      <c r="X74" s="207" t="s">
        <v>1021</v>
      </c>
      <c r="Y74" s="230" t="str">
        <f t="shared" si="130"/>
        <v>Probabilidad</v>
      </c>
      <c r="Z74" s="185" t="s">
        <v>208</v>
      </c>
      <c r="AA74" s="185" t="s">
        <v>216</v>
      </c>
      <c r="AB74" s="186" t="str">
        <f t="shared" si="160"/>
        <v>40%</v>
      </c>
      <c r="AC74" s="185" t="s">
        <v>219</v>
      </c>
      <c r="AD74" s="185" t="s">
        <v>224</v>
      </c>
      <c r="AE74" s="185" t="s">
        <v>228</v>
      </c>
      <c r="AF74" s="187">
        <f t="shared" ref="AF74" si="168">IFERROR(IF(Y74="Probabilidad",(Q74-(+Q74*AB74)),IF(Y74="Impacto",Q74,"")),"")</f>
        <v>0.36</v>
      </c>
      <c r="AG74" s="188" t="str">
        <f t="shared" si="132"/>
        <v>Baja</v>
      </c>
      <c r="AH74" s="186">
        <f t="shared" si="133"/>
        <v>0.36</v>
      </c>
      <c r="AI74" s="188" t="str">
        <f t="shared" ca="1" si="134"/>
        <v>Moderado</v>
      </c>
      <c r="AJ74" s="186">
        <f t="shared" ref="AJ74" ca="1" si="169">IFERROR(IF(Y74="Impacto",(U74-(+U74*AB74)),IF(Y74="Probabilidad",U74,"")),"")</f>
        <v>0.6</v>
      </c>
      <c r="AK74" s="189" t="str">
        <f t="shared" ca="1" si="136"/>
        <v>Moderado</v>
      </c>
      <c r="AL74" s="185" t="s">
        <v>255</v>
      </c>
      <c r="AM74" s="227"/>
      <c r="AN74" s="230"/>
      <c r="AO74" s="228"/>
      <c r="AP74" s="228"/>
      <c r="AQ74" s="227"/>
      <c r="AR74" s="229"/>
    </row>
    <row r="75" spans="1:44" s="191" customFormat="1" ht="147" customHeight="1" thickTop="1" thickBot="1" x14ac:dyDescent="0.3">
      <c r="A75" s="328">
        <v>24</v>
      </c>
      <c r="B75" s="345" t="s">
        <v>585</v>
      </c>
      <c r="C75" s="333" t="s">
        <v>269</v>
      </c>
      <c r="D75" s="335" t="s">
        <v>586</v>
      </c>
      <c r="E75" s="333" t="s">
        <v>236</v>
      </c>
      <c r="F75" s="336" t="s">
        <v>587</v>
      </c>
      <c r="G75" s="336" t="s">
        <v>588</v>
      </c>
      <c r="H75" s="337" t="s">
        <v>1131</v>
      </c>
      <c r="I75" s="338" t="s">
        <v>474</v>
      </c>
      <c r="J75" s="338" t="s">
        <v>474</v>
      </c>
      <c r="K75" s="338" t="s">
        <v>474</v>
      </c>
      <c r="L75" s="338" t="s">
        <v>474</v>
      </c>
      <c r="M75" s="333" t="s">
        <v>246</v>
      </c>
      <c r="N75" s="333"/>
      <c r="O75" s="339">
        <v>3650</v>
      </c>
      <c r="P75" s="340" t="str">
        <f t="shared" si="126"/>
        <v>Alta</v>
      </c>
      <c r="Q75" s="341">
        <f t="shared" si="127"/>
        <v>0.8</v>
      </c>
      <c r="R75" s="341" t="s">
        <v>186</v>
      </c>
      <c r="S75" s="341" t="str">
        <f ca="1">IF(NOT(ISERROR(MATCH(R75,'Tabla Impacto'!$B$221:$B$223,0))),'Tabla Impacto'!$F$223&amp;"Por favor no seleccionar los criterios de impacto(Afectación Económica o presupuestal y Pérdida Reputacional)",R75)</f>
        <v xml:space="preserve">Entre 10 y 50 SMLMV </v>
      </c>
      <c r="T75" s="340" t="str">
        <f ca="1">+IF(OR(S75='[1]Tabla Impacto'!$C$11,S75='[1]Tabla Impacto'!$D$11),"Leve",IF(OR(S75='[1]Tabla Impacto'!$C$12,S75='[1]Tabla Impacto'!$D$12),"Menor",IF(OR(S75='[1]Tabla Impacto'!$C$13,S75='[1]Tabla Impacto'!$D$13),"Moderado",IF(OR(S75='[1]Tabla Impacto'!$C$14,S75='[1]Tabla Impacto'!$D$14),"Mayor",IF(OR(S75='[1]Tabla Impacto'!$C$15,S75='[1]Tabla Impacto'!$D$15),"Catastrófico","")))))</f>
        <v>Menor</v>
      </c>
      <c r="U75" s="341">
        <f t="shared" ref="U75" ca="1" si="170">IF(T75="","",IF(T75="Leve",0.2,IF(T75="Menor",0.4,IF(T75="Moderado",0.6,IF(T75="Mayor",0.8,IF(T75="Catastrófico",1,))))))</f>
        <v>0.4</v>
      </c>
      <c r="V75" s="327" t="str">
        <f t="shared" ref="V75" ca="1" si="171">IF(OR(AND(P75="Muy Baja",T75="Leve"),AND(P75="Muy Baja",T75="Menor"),AND(P75="Baja",T75="Leve")),"Bajo",IF(OR(AND(P75="Muy baja",T75="Moderado"),AND(P75="Baja",T75="Menor"),AND(P75="Baja",T75="Moderado"),AND(P75="Media",T75="Leve"),AND(P75="Media",T75="Menor"),AND(P75="Media",T75="Moderado"),AND(P75="Alta",T75="Leve"),AND(P75="Alta",T75="Menor")),"Moderado",IF(OR(AND(P75="Muy Baja",T75="Mayor"),AND(P75="Baja",T75="Mayor"),AND(P75="Media",T75="Mayor"),AND(P75="Alta",T75="Moderado"),AND(P75="Alta",T75="Mayor"),AND(P75="Muy Alta",T75="Leve"),AND(P75="Muy Alta",T75="Menor"),AND(P75="Muy Alta",T75="Moderado"),AND(P75="Muy Alta",T75="Mayor")),"Alto",IF(OR(AND(P75="Muy Baja",T75="Catastrófico"),AND(P75="Baja",T75="Catastrófico"),AND(P75="Media",T75="Catastrófico"),AND(P75="Alta",T75="Catastrófico"),AND(P75="Muy Alta",T75="Catastrófico")),"Extremo",""))))</f>
        <v>Moderado</v>
      </c>
      <c r="W75" s="233">
        <v>1</v>
      </c>
      <c r="X75" s="209" t="s">
        <v>1022</v>
      </c>
      <c r="Y75" s="230" t="str">
        <f t="shared" si="130"/>
        <v>Probabilidad</v>
      </c>
      <c r="Z75" s="185" t="s">
        <v>210</v>
      </c>
      <c r="AA75" s="185" t="s">
        <v>216</v>
      </c>
      <c r="AB75" s="186" t="str">
        <f t="shared" si="160"/>
        <v>30%</v>
      </c>
      <c r="AC75" s="185" t="s">
        <v>219</v>
      </c>
      <c r="AD75" s="185" t="s">
        <v>226</v>
      </c>
      <c r="AE75" s="185" t="s">
        <v>228</v>
      </c>
      <c r="AF75" s="187">
        <f t="shared" ref="AF75" si="172">IFERROR(IF(Y75="Probabilidad",(Q75-(+Q75*AB75)),IF(Y75="Impacto",Q75,"")),"")</f>
        <v>0.56000000000000005</v>
      </c>
      <c r="AG75" s="188" t="str">
        <f t="shared" si="132"/>
        <v>Media</v>
      </c>
      <c r="AH75" s="186">
        <f t="shared" si="133"/>
        <v>0.56000000000000005</v>
      </c>
      <c r="AI75" s="188" t="str">
        <f t="shared" ca="1" si="134"/>
        <v>Menor</v>
      </c>
      <c r="AJ75" s="186">
        <f t="shared" ref="AJ75" ca="1" si="173">IFERROR(IF(Y75="Impacto",(U75-(+U75*AB75)),IF(Y75="Probabilidad",U75,"")),"")</f>
        <v>0.4</v>
      </c>
      <c r="AK75" s="189" t="str">
        <f t="shared" ca="1" si="136"/>
        <v>Moderado</v>
      </c>
      <c r="AL75" s="185" t="s">
        <v>255</v>
      </c>
      <c r="AM75" s="227"/>
      <c r="AN75" s="230"/>
      <c r="AO75" s="228"/>
      <c r="AP75" s="228"/>
      <c r="AQ75" s="227"/>
      <c r="AR75" s="229"/>
    </row>
    <row r="76" spans="1:44" s="191" customFormat="1" ht="183.75" customHeight="1" thickTop="1" thickBot="1" x14ac:dyDescent="0.3">
      <c r="A76" s="328"/>
      <c r="B76" s="345"/>
      <c r="C76" s="333"/>
      <c r="D76" s="335"/>
      <c r="E76" s="333"/>
      <c r="F76" s="336"/>
      <c r="G76" s="336"/>
      <c r="H76" s="337"/>
      <c r="I76" s="338"/>
      <c r="J76" s="338"/>
      <c r="K76" s="338"/>
      <c r="L76" s="338"/>
      <c r="M76" s="333"/>
      <c r="N76" s="333"/>
      <c r="O76" s="339"/>
      <c r="P76" s="340"/>
      <c r="Q76" s="341"/>
      <c r="R76" s="341"/>
      <c r="S76" s="341">
        <f ca="1">IF(NOT(ISERROR(MATCH(R76,_xlfn.ANCHORARRAY(H81),0))),#REF!&amp;"Por favor no seleccionar los criterios de impacto",R76)</f>
        <v>0</v>
      </c>
      <c r="T76" s="340"/>
      <c r="U76" s="341"/>
      <c r="V76" s="327"/>
      <c r="W76" s="233">
        <v>2</v>
      </c>
      <c r="X76" s="209" t="s">
        <v>1023</v>
      </c>
      <c r="Y76" s="230" t="str">
        <f t="shared" si="130"/>
        <v>Probabilidad</v>
      </c>
      <c r="Z76" s="185" t="s">
        <v>208</v>
      </c>
      <c r="AA76" s="185" t="s">
        <v>216</v>
      </c>
      <c r="AB76" s="186" t="str">
        <f t="shared" si="160"/>
        <v>40%</v>
      </c>
      <c r="AC76" s="185" t="s">
        <v>219</v>
      </c>
      <c r="AD76" s="185" t="s">
        <v>226</v>
      </c>
      <c r="AE76" s="185" t="s">
        <v>228</v>
      </c>
      <c r="AF76" s="187">
        <f t="shared" ref="AF76" si="174">IFERROR(IF(AND(Y75="Probabilidad",Y76="Probabilidad"),(AH75-(+AH75*AB76)),IF(Y76="Probabilidad",(Q75-(+Q75*AB76)),IF(Y76="Impacto",AH75,""))),"")</f>
        <v>0.33600000000000002</v>
      </c>
      <c r="AG76" s="188" t="str">
        <f t="shared" si="132"/>
        <v>Baja</v>
      </c>
      <c r="AH76" s="186">
        <f t="shared" si="133"/>
        <v>0.33600000000000002</v>
      </c>
      <c r="AI76" s="188" t="str">
        <f t="shared" ca="1" si="134"/>
        <v>Menor</v>
      </c>
      <c r="AJ76" s="186">
        <f t="shared" ref="AJ76" ca="1" si="175">IFERROR(IF(AND(Y75="Impacto",Y76="Impacto"),(AJ75-(+AJ75*AB76)),IF(Y76="Impacto",(U75-(+U75*AB76)),IF(Y76="Probabilidad",AJ75,""))),"")</f>
        <v>0.4</v>
      </c>
      <c r="AK76" s="189" t="str">
        <f t="shared" ca="1" si="136"/>
        <v>Moderado</v>
      </c>
      <c r="AL76" s="185" t="s">
        <v>255</v>
      </c>
      <c r="AM76" s="227"/>
      <c r="AN76" s="230"/>
      <c r="AO76" s="228"/>
      <c r="AP76" s="228"/>
      <c r="AQ76" s="227"/>
      <c r="AR76" s="229"/>
    </row>
    <row r="77" spans="1:44" s="191" customFormat="1" ht="216" customHeight="1" thickTop="1" thickBot="1" x14ac:dyDescent="0.3">
      <c r="A77" s="328">
        <v>25</v>
      </c>
      <c r="B77" s="345" t="s">
        <v>589</v>
      </c>
      <c r="C77" s="333" t="s">
        <v>269</v>
      </c>
      <c r="D77" s="335" t="s">
        <v>590</v>
      </c>
      <c r="E77" s="333" t="s">
        <v>236</v>
      </c>
      <c r="F77" s="336" t="s">
        <v>591</v>
      </c>
      <c r="G77" s="336" t="s">
        <v>592</v>
      </c>
      <c r="H77" s="337" t="s">
        <v>1186</v>
      </c>
      <c r="I77" s="338" t="s">
        <v>593</v>
      </c>
      <c r="J77" s="338" t="s">
        <v>593</v>
      </c>
      <c r="K77" s="338" t="s">
        <v>593</v>
      </c>
      <c r="L77" s="338" t="s">
        <v>593</v>
      </c>
      <c r="M77" s="349" t="s">
        <v>244</v>
      </c>
      <c r="N77" s="333"/>
      <c r="O77" s="339">
        <v>500</v>
      </c>
      <c r="P77" s="340" t="str">
        <f t="shared" ref="P77:P85" si="176">IF(O77&lt;=0,"",IF(O77&lt;=2,"Muy Baja",IF(O77&lt;=24,"Baja",IF(O77&lt;=500,"Media",IF(O77&lt;=5000,"Alta","Muy Alta")))))</f>
        <v>Media</v>
      </c>
      <c r="Q77" s="341">
        <f t="shared" ref="Q77:Q85" si="177">IF(P77="","",IF(P77="Muy Baja",0.2,IF(P77="Baja",0.4,IF(P77="Media",0.6,IF(P77="Alta",0.8,IF(P77="Muy Alta",1,))))))</f>
        <v>0.6</v>
      </c>
      <c r="R77" s="341" t="s">
        <v>195</v>
      </c>
      <c r="S77" s="341" t="str">
        <f ca="1">IF(NOT(ISERROR(MATCH(R77,'Tabla Impacto'!$B$221:$B$223,0))),'Tabla Impacto'!$F$223&amp;"Por favor no seleccionar los criterios de impacto(Afectación Económica o presupuestal y Pérdida Reputacional)",R77)</f>
        <v xml:space="preserve">Mayor a 500 SMLMV </v>
      </c>
      <c r="T77" s="340" t="str">
        <f ca="1">+IF(OR(S77='[1]Tabla Impacto'!$C$11,S77='[1]Tabla Impacto'!$D$11),"Leve",IF(OR(S77='[1]Tabla Impacto'!$C$12,S77='[1]Tabla Impacto'!$D$12),"Menor",IF(OR(S77='[1]Tabla Impacto'!$C$13,S77='[1]Tabla Impacto'!$D$13),"Moderado",IF(OR(S77='[1]Tabla Impacto'!$C$14,S77='[1]Tabla Impacto'!$D$14),"Mayor",IF(OR(S77='[1]Tabla Impacto'!$C$15,S77='[1]Tabla Impacto'!$D$15),"Catastrófico","")))))</f>
        <v>Catastrófico</v>
      </c>
      <c r="U77" s="341">
        <f t="shared" ref="U77" ca="1" si="178">IF(T77="","",IF(T77="Leve",0.2,IF(T77="Menor",0.4,IF(T77="Moderado",0.6,IF(T77="Mayor",0.8,IF(T77="Catastrófico",1,))))))</f>
        <v>1</v>
      </c>
      <c r="V77" s="327" t="str">
        <f t="shared" ref="V77" ca="1" si="179">IF(OR(AND(P77="Muy Baja",T77="Leve"),AND(P77="Muy Baja",T77="Menor"),AND(P77="Baja",T77="Leve")),"Bajo",IF(OR(AND(P77="Muy baja",T77="Moderado"),AND(P77="Baja",T77="Menor"),AND(P77="Baja",T77="Moderado"),AND(P77="Media",T77="Leve"),AND(P77="Media",T77="Menor"),AND(P77="Media",T77="Moderado"),AND(P77="Alta",T77="Leve"),AND(P77="Alta",T77="Menor")),"Moderado",IF(OR(AND(P77="Muy Baja",T77="Mayor"),AND(P77="Baja",T77="Mayor"),AND(P77="Media",T77="Mayor"),AND(P77="Alta",T77="Moderado"),AND(P77="Alta",T77="Mayor"),AND(P77="Muy Alta",T77="Leve"),AND(P77="Muy Alta",T77="Menor"),AND(P77="Muy Alta",T77="Moderado"),AND(P77="Muy Alta",T77="Mayor")),"Alto",IF(OR(AND(P77="Muy Baja",T77="Catastrófico"),AND(P77="Baja",T77="Catastrófico"),AND(P77="Media",T77="Catastrófico"),AND(P77="Alta",T77="Catastrófico"),AND(P77="Muy Alta",T77="Catastrófico")),"Extremo",""))))</f>
        <v>Extremo</v>
      </c>
      <c r="W77" s="233">
        <v>1</v>
      </c>
      <c r="X77" s="207" t="s">
        <v>1024</v>
      </c>
      <c r="Y77" s="230" t="str">
        <f t="shared" ref="Y77:Y85" si="180">IF(OR(Z77="Preventivo",Z77="Detectivo"),"Probabilidad",IF(Z77="Correctivo","Impacto",""))</f>
        <v>Probabilidad</v>
      </c>
      <c r="Z77" s="185" t="s">
        <v>208</v>
      </c>
      <c r="AA77" s="185" t="s">
        <v>216</v>
      </c>
      <c r="AB77" s="186" t="str">
        <f t="shared" si="160"/>
        <v>40%</v>
      </c>
      <c r="AC77" s="185" t="s">
        <v>219</v>
      </c>
      <c r="AD77" s="185" t="s">
        <v>224</v>
      </c>
      <c r="AE77" s="185" t="s">
        <v>228</v>
      </c>
      <c r="AF77" s="187">
        <f t="shared" ref="AF77" si="181">IFERROR(IF(Y77="Probabilidad",(Q77-(+Q77*AB77)),IF(Y77="Impacto",Q77,"")),"")</f>
        <v>0.36</v>
      </c>
      <c r="AG77" s="188" t="str">
        <f t="shared" ref="AG77:AG85" si="182">IFERROR(IF(AF77="","",IF(AF77&lt;=0.2,"Muy Baja",IF(AF77&lt;=0.4,"Baja",IF(AF77&lt;=0.6,"Media",IF(AF77&lt;=0.8,"Alta","Muy Alta"))))),"")</f>
        <v>Baja</v>
      </c>
      <c r="AH77" s="186">
        <f t="shared" ref="AH77:AH85" si="183">+AF77</f>
        <v>0.36</v>
      </c>
      <c r="AI77" s="188" t="str">
        <f t="shared" ref="AI77:AI85" ca="1" si="184">IFERROR(IF(AJ77="","",IF(AJ77&lt;=0.2,"Leve",IF(AJ77&lt;=0.4,"Menor",IF(AJ77&lt;=0.6,"Moderado",IF(AJ77&lt;=0.8,"Mayor","Catastrófico"))))),"")</f>
        <v>Catastrófico</v>
      </c>
      <c r="AJ77" s="186">
        <f t="shared" ref="AJ77" ca="1" si="185">IFERROR(IF(Y77="Impacto",(U77-(+U77*AB77)),IF(Y77="Probabilidad",U77,"")),"")</f>
        <v>1</v>
      </c>
      <c r="AK77" s="189" t="str">
        <f t="shared" ref="AK77:AK85" ca="1" si="186">IFERROR(IF(OR(AND(AG77="Muy Baja",AI77="Leve"),AND(AG77="Muy Baja",AI77="Menor"),AND(AG77="Baja",AI77="Leve")),"Bajo",IF(OR(AND(AG77="Muy baja",AI77="Moderado"),AND(AG77="Baja",AI77="Menor"),AND(AG77="Baja",AI77="Moderado"),AND(AG77="Media",AI77="Leve"),AND(AG77="Media",AI77="Menor"),AND(AG77="Media",AI77="Moderado"),AND(AG77="Alta",AI77="Leve"),AND(AG77="Alta",AI77="Menor")),"Moderado",IF(OR(AND(AG77="Muy Baja",AI77="Mayor"),AND(AG77="Baja",AI77="Mayor"),AND(AG77="Media",AI77="Mayor"),AND(AG77="Alta",AI77="Moderado"),AND(AG77="Alta",AI77="Mayor"),AND(AG77="Muy Alta",AI77="Leve"),AND(AG77="Muy Alta",AI77="Menor"),AND(AG77="Muy Alta",AI77="Moderado"),AND(AG77="Muy Alta",AI77="Mayor")),"Alto",IF(OR(AND(AG77="Muy Baja",AI77="Catastrófico"),AND(AG77="Baja",AI77="Catastrófico"),AND(AG77="Media",AI77="Catastrófico"),AND(AG77="Alta",AI77="Catastrófico"),AND(AG77="Muy Alta",AI77="Catastrófico")),"Extremo","")))),"")</f>
        <v>Extremo</v>
      </c>
      <c r="AL77" s="185" t="s">
        <v>262</v>
      </c>
      <c r="AM77" s="227"/>
      <c r="AN77" s="230"/>
      <c r="AO77" s="228"/>
      <c r="AP77" s="228"/>
      <c r="AQ77" s="227"/>
      <c r="AR77" s="229"/>
    </row>
    <row r="78" spans="1:44" s="191" customFormat="1" ht="201.75" customHeight="1" thickTop="1" thickBot="1" x14ac:dyDescent="0.3">
      <c r="A78" s="328"/>
      <c r="B78" s="345"/>
      <c r="C78" s="333"/>
      <c r="D78" s="335"/>
      <c r="E78" s="333"/>
      <c r="F78" s="336"/>
      <c r="G78" s="336"/>
      <c r="H78" s="337"/>
      <c r="I78" s="338"/>
      <c r="J78" s="338"/>
      <c r="K78" s="338"/>
      <c r="L78" s="338"/>
      <c r="M78" s="349"/>
      <c r="N78" s="333"/>
      <c r="O78" s="339"/>
      <c r="P78" s="340"/>
      <c r="Q78" s="341"/>
      <c r="R78" s="341"/>
      <c r="S78" s="341">
        <f ca="1">IF(NOT(ISERROR(MATCH(R78,_xlfn.ANCHORARRAY(H83),0))),#REF!&amp;"Por favor no seleccionar los criterios de impacto",R78)</f>
        <v>0</v>
      </c>
      <c r="T78" s="340"/>
      <c r="U78" s="341"/>
      <c r="V78" s="327"/>
      <c r="W78" s="233">
        <v>2</v>
      </c>
      <c r="X78" s="207" t="s">
        <v>1025</v>
      </c>
      <c r="Y78" s="230" t="str">
        <f t="shared" si="180"/>
        <v>Probabilidad</v>
      </c>
      <c r="Z78" s="185" t="s">
        <v>208</v>
      </c>
      <c r="AA78" s="185" t="s">
        <v>216</v>
      </c>
      <c r="AB78" s="186" t="str">
        <f t="shared" si="160"/>
        <v>40%</v>
      </c>
      <c r="AC78" s="185" t="s">
        <v>219</v>
      </c>
      <c r="AD78" s="185" t="s">
        <v>224</v>
      </c>
      <c r="AE78" s="185" t="s">
        <v>228</v>
      </c>
      <c r="AF78" s="187">
        <f t="shared" ref="AF78:AF79" si="187">IFERROR(IF(AND(Y77="Probabilidad",Y78="Probabilidad"),(AH77-(+AH77*AB78)),IF(Y78="Probabilidad",(Q77-(+Q77*AB78)),IF(Y78="Impacto",AH77,""))),"")</f>
        <v>0.216</v>
      </c>
      <c r="AG78" s="188" t="str">
        <f t="shared" si="182"/>
        <v>Baja</v>
      </c>
      <c r="AH78" s="186">
        <f t="shared" si="183"/>
        <v>0.216</v>
      </c>
      <c r="AI78" s="188" t="str">
        <f t="shared" ca="1" si="184"/>
        <v>Catastrófico</v>
      </c>
      <c r="AJ78" s="186">
        <f t="shared" ref="AJ78" ca="1" si="188">IFERROR(IF(AND(Y77="Impacto",Y78="Impacto"),(AJ77-(+AJ77*AB78)),IF(Y78="Impacto",(U77-(+U77*AB78)),IF(Y78="Probabilidad",AJ77,""))),"")</f>
        <v>1</v>
      </c>
      <c r="AK78" s="189" t="str">
        <f t="shared" ca="1" si="186"/>
        <v>Extremo</v>
      </c>
      <c r="AL78" s="185" t="s">
        <v>262</v>
      </c>
      <c r="AM78" s="227"/>
      <c r="AN78" s="230"/>
      <c r="AO78" s="228"/>
      <c r="AP78" s="228"/>
      <c r="AQ78" s="227"/>
      <c r="AR78" s="229"/>
    </row>
    <row r="79" spans="1:44" s="191" customFormat="1" ht="199.5" customHeight="1" thickTop="1" thickBot="1" x14ac:dyDescent="0.3">
      <c r="A79" s="328"/>
      <c r="B79" s="345"/>
      <c r="C79" s="333"/>
      <c r="D79" s="335"/>
      <c r="E79" s="333"/>
      <c r="F79" s="336"/>
      <c r="G79" s="336"/>
      <c r="H79" s="337"/>
      <c r="I79" s="338"/>
      <c r="J79" s="338"/>
      <c r="K79" s="338"/>
      <c r="L79" s="338"/>
      <c r="M79" s="349"/>
      <c r="N79" s="333"/>
      <c r="O79" s="339"/>
      <c r="P79" s="340"/>
      <c r="Q79" s="341"/>
      <c r="R79" s="341"/>
      <c r="S79" s="341">
        <f ca="1">IF(NOT(ISERROR(MATCH(R79,_xlfn.ANCHORARRAY(H84),0))),#REF!&amp;"Por favor no seleccionar los criterios de impacto",R79)</f>
        <v>0</v>
      </c>
      <c r="T79" s="340"/>
      <c r="U79" s="341"/>
      <c r="V79" s="327"/>
      <c r="W79" s="233">
        <v>3</v>
      </c>
      <c r="X79" s="207" t="s">
        <v>997</v>
      </c>
      <c r="Y79" s="230" t="str">
        <f t="shared" si="180"/>
        <v>Probabilidad</v>
      </c>
      <c r="Z79" s="185" t="s">
        <v>208</v>
      </c>
      <c r="AA79" s="185" t="s">
        <v>216</v>
      </c>
      <c r="AB79" s="186" t="str">
        <f t="shared" si="160"/>
        <v>40%</v>
      </c>
      <c r="AC79" s="185" t="s">
        <v>219</v>
      </c>
      <c r="AD79" s="185" t="s">
        <v>224</v>
      </c>
      <c r="AE79" s="185" t="s">
        <v>228</v>
      </c>
      <c r="AF79" s="187">
        <f t="shared" si="187"/>
        <v>0.12959999999999999</v>
      </c>
      <c r="AG79" s="188" t="str">
        <f t="shared" si="182"/>
        <v>Muy Baja</v>
      </c>
      <c r="AH79" s="186">
        <f t="shared" si="183"/>
        <v>0.12959999999999999</v>
      </c>
      <c r="AI79" s="188" t="str">
        <f t="shared" ca="1" si="184"/>
        <v>Catastrófico</v>
      </c>
      <c r="AJ79" s="186">
        <f t="shared" ref="AJ79" ca="1" si="189">IFERROR(IF(AND(Y78="Impacto",Y79="Impacto"),(AJ78-(+AJ78*AB79)),IF(AND(Y78="Probabilidad",Y79="Impacto"),(AJ77-(+AJ77*AB79)),IF(Y79="Probabilidad",AJ78,""))),"")</f>
        <v>1</v>
      </c>
      <c r="AK79" s="189" t="str">
        <f t="shared" ca="1" si="186"/>
        <v>Extremo</v>
      </c>
      <c r="AL79" s="185" t="s">
        <v>262</v>
      </c>
      <c r="AM79" s="227"/>
      <c r="AN79" s="230"/>
      <c r="AO79" s="228"/>
      <c r="AP79" s="228"/>
      <c r="AQ79" s="227"/>
      <c r="AR79" s="229"/>
    </row>
    <row r="80" spans="1:44" s="191" customFormat="1" ht="381.75" customHeight="1" thickTop="1" thickBot="1" x14ac:dyDescent="0.3">
      <c r="A80" s="287">
        <v>26</v>
      </c>
      <c r="B80" s="281" t="s">
        <v>1218</v>
      </c>
      <c r="C80" s="275" t="s">
        <v>269</v>
      </c>
      <c r="D80" s="276" t="s">
        <v>1219</v>
      </c>
      <c r="E80" s="276" t="s">
        <v>240</v>
      </c>
      <c r="F80" s="284" t="s">
        <v>611</v>
      </c>
      <c r="G80" s="284" t="s">
        <v>612</v>
      </c>
      <c r="H80" s="282" t="s">
        <v>1189</v>
      </c>
      <c r="I80" s="277" t="s">
        <v>593</v>
      </c>
      <c r="J80" s="277" t="s">
        <v>593</v>
      </c>
      <c r="K80" s="277" t="s">
        <v>593</v>
      </c>
      <c r="L80" s="277" t="s">
        <v>593</v>
      </c>
      <c r="M80" s="283" t="s">
        <v>244</v>
      </c>
      <c r="N80" s="276"/>
      <c r="O80" s="278">
        <v>5001</v>
      </c>
      <c r="P80" s="279" t="str">
        <f t="shared" ref="P80" si="190">IF(O80&lt;=0,"",IF(O80&lt;=2,"Muy Baja",IF(O80&lt;=24,"Baja",IF(O80&lt;=500,"Media",IF(O80&lt;=5000,"Alta","Muy Alta")))))</f>
        <v>Muy Alta</v>
      </c>
      <c r="Q80" s="280">
        <f t="shared" ref="Q80" si="191">IF(P80="","",IF(P80="Muy Baja",0.2,IF(P80="Baja",0.4,IF(P80="Media",0.6,IF(P80="Alta",0.8,IF(P80="Muy Alta",1,))))))</f>
        <v>1</v>
      </c>
      <c r="R80" s="280" t="s">
        <v>195</v>
      </c>
      <c r="S80" s="280" t="str">
        <f ca="1">IF(NOT(ISERROR(MATCH(R80,'Tabla Impacto'!$B$221:$B$223,0))),'Tabla Impacto'!$F$223&amp;"Por favor no seleccionar los criterios de impacto(Afectación Económica o presupuestal y Pérdida Reputacional)",R80)</f>
        <v xml:space="preserve">Mayor a 500 SMLMV </v>
      </c>
      <c r="T80" s="279" t="str">
        <f ca="1">+IF(OR(S80='[1]Tabla Impacto'!$C$11,S80='[1]Tabla Impacto'!$D$11),"Leve",IF(OR(S80='[1]Tabla Impacto'!$C$12,S80='[1]Tabla Impacto'!$D$12),"Menor",IF(OR(S80='[1]Tabla Impacto'!$C$13,S80='[1]Tabla Impacto'!$D$13),"Moderado",IF(OR(S80='[1]Tabla Impacto'!$C$14,S80='[1]Tabla Impacto'!$D$14),"Mayor",IF(OR(S80='[1]Tabla Impacto'!$C$15,S80='[1]Tabla Impacto'!$D$15),"Catastrófico","")))))</f>
        <v>Catastrófico</v>
      </c>
      <c r="U80" s="280">
        <f t="shared" ref="U80" ca="1" si="192">IF(T80="","",IF(T80="Leve",0.2,IF(T80="Menor",0.4,IF(T80="Moderado",0.6,IF(T80="Mayor",0.8,IF(T80="Catastrófico",1,))))))</f>
        <v>1</v>
      </c>
      <c r="V80" s="273" t="str">
        <f t="shared" ref="V80" ca="1" si="193">IF(OR(AND(P80="Muy Baja",T80="Leve"),AND(P80="Muy Baja",T80="Menor"),AND(P80="Baja",T80="Leve")),"Bajo",IF(OR(AND(P80="Muy baja",T80="Moderado"),AND(P80="Baja",T80="Menor"),AND(P80="Baja",T80="Moderado"),AND(P80="Media",T80="Leve"),AND(P80="Media",T80="Menor"),AND(P80="Media",T80="Moderado"),AND(P80="Alta",T80="Leve"),AND(P80="Alta",T80="Menor")),"Moderado",IF(OR(AND(P80="Muy Baja",T80="Mayor"),AND(P80="Baja",T80="Mayor"),AND(P80="Media",T80="Mayor"),AND(P80="Alta",T80="Moderado"),AND(P80="Alta",T80="Mayor"),AND(P80="Muy Alta",T80="Leve"),AND(P80="Muy Alta",T80="Menor"),AND(P80="Muy Alta",T80="Moderado"),AND(P80="Muy Alta",T80="Mayor")),"Alto",IF(OR(AND(P80="Muy Baja",T80="Catastrófico"),AND(P80="Baja",T80="Catastrófico"),AND(P80="Media",T80="Catastrófico"),AND(P80="Alta",T80="Catastrófico"),AND(P80="Muy Alta",T80="Catastrófico")),"Extremo",""))))</f>
        <v>Extremo</v>
      </c>
      <c r="W80" s="273">
        <v>1</v>
      </c>
      <c r="X80" s="207" t="s">
        <v>1032</v>
      </c>
      <c r="Y80" s="230" t="str">
        <f>IF(OR(Z80="Preventivo",Z80="Detectivo"),"Probabilidad",IF(Z80="Correctivo","Impacto",""))</f>
        <v>Probabilidad</v>
      </c>
      <c r="Z80" s="185" t="s">
        <v>208</v>
      </c>
      <c r="AA80" s="185" t="s">
        <v>216</v>
      </c>
      <c r="AB80" s="186" t="str">
        <f>IF(AND(Z80="Preventivo",AA80="Automático"),"50%",IF(AND(Z80="Preventivo",AA80="Manual"),"40%",IF(AND(Z80="Detectivo",AA80="Automático"),"40%",IF(AND(Z80="Detectivo",AA80="Manual"),"30%",IF(AND(Z80="Correctivo",AA80="Automático"),"35%",IF(AND(Z80="Correctivo",AA80="Manual"),"25%",""))))))</f>
        <v>40%</v>
      </c>
      <c r="AC80" s="185" t="s">
        <v>219</v>
      </c>
      <c r="AD80" s="185" t="s">
        <v>224</v>
      </c>
      <c r="AE80" s="185" t="s">
        <v>228</v>
      </c>
      <c r="AF80" s="187">
        <f>IFERROR(IF(AND(Y87="Probabilidad",Y80="Probabilidad"),(AH87-(+AH87*AB80)),IF(Y80="Probabilidad",(Q87-(+Q87*AB80)),IF(Y80="Impacto",AH87,""))),"")</f>
        <v>0.36</v>
      </c>
      <c r="AG80" s="188" t="str">
        <f>IFERROR(IF(AF80="","",IF(AF80&lt;=0.2,"Muy Baja",IF(AF80&lt;=0.4,"Baja",IF(AF80&lt;=0.6,"Media",IF(AF80&lt;=0.8,"Alta","Muy Alta"))))),"")</f>
        <v>Baja</v>
      </c>
      <c r="AH80" s="186">
        <f>+AF80</f>
        <v>0.36</v>
      </c>
      <c r="AI80" s="188" t="str">
        <f ca="1">IFERROR(IF(AJ80="","",IF(AJ80&lt;=0.2,"Leve",IF(AJ80&lt;=0.4,"Menor",IF(AJ80&lt;=0.6,"Moderado",IF(AJ80&lt;=0.8,"Mayor","Catastrófico"))))),"")</f>
        <v>Moderado</v>
      </c>
      <c r="AJ80" s="186">
        <f ca="1">IFERROR(IF(AND(Y87="Impacto",Y80="Impacto"),(AJ87-(+AJ87*AB80)),IF(Y80="Impacto",(U87-(+U87*AB80)),IF(Y80="Probabilidad",AJ87,""))),"")</f>
        <v>0.6</v>
      </c>
      <c r="AK80" s="189" t="str">
        <f ca="1">IFERROR(IF(OR(AND(AG80="Muy Baja",AI80="Leve"),AND(AG80="Muy Baja",AI80="Menor"),AND(AG80="Baja",AI80="Leve")),"Bajo",IF(OR(AND(AG80="Muy baja",AI80="Moderado"),AND(AG80="Baja",AI80="Menor"),AND(AG80="Baja",AI80="Moderado"),AND(AG80="Media",AI80="Leve"),AND(AG80="Media",AI80="Menor"),AND(AG80="Media",AI80="Moderado"),AND(AG80="Alta",AI80="Leve"),AND(AG80="Alta",AI80="Menor")),"Moderado",IF(OR(AND(AG80="Muy Baja",AI80="Mayor"),AND(AG80="Baja",AI80="Mayor"),AND(AG80="Media",AI80="Mayor"),AND(AG80="Alta",AI80="Moderado"),AND(AG80="Alta",AI80="Mayor"),AND(AG80="Muy Alta",AI80="Leve"),AND(AG80="Muy Alta",AI80="Menor"),AND(AG80="Muy Alta",AI80="Moderado"),AND(AG80="Muy Alta",AI80="Mayor")),"Alto",IF(OR(AND(AG80="Muy Baja",AI80="Catastrófico"),AND(AG80="Baja",AI80="Catastrófico"),AND(AG80="Media",AI80="Catastrófico"),AND(AG80="Alta",AI80="Catastrófico"),AND(AG80="Muy Alta",AI80="Catastrófico")),"Extremo","")))),"")</f>
        <v>Moderado</v>
      </c>
      <c r="AL80" s="185" t="s">
        <v>262</v>
      </c>
      <c r="AM80" s="276"/>
      <c r="AN80" s="278"/>
      <c r="AO80" s="285"/>
      <c r="AP80" s="285"/>
      <c r="AQ80" s="276"/>
      <c r="AR80" s="286"/>
    </row>
    <row r="81" spans="1:44" s="191" customFormat="1" ht="214.5" customHeight="1" thickTop="1" thickBot="1" x14ac:dyDescent="0.3">
      <c r="A81" s="328">
        <v>27</v>
      </c>
      <c r="B81" s="345" t="s">
        <v>594</v>
      </c>
      <c r="C81" s="333" t="s">
        <v>271</v>
      </c>
      <c r="D81" s="333" t="s">
        <v>595</v>
      </c>
      <c r="E81" s="333" t="s">
        <v>240</v>
      </c>
      <c r="F81" s="351" t="s">
        <v>596</v>
      </c>
      <c r="G81" s="351" t="s">
        <v>597</v>
      </c>
      <c r="H81" s="350" t="s">
        <v>1187</v>
      </c>
      <c r="I81" s="338" t="s">
        <v>474</v>
      </c>
      <c r="J81" s="338" t="s">
        <v>474</v>
      </c>
      <c r="K81" s="338" t="s">
        <v>474</v>
      </c>
      <c r="L81" s="338" t="s">
        <v>474</v>
      </c>
      <c r="M81" s="333" t="s">
        <v>239</v>
      </c>
      <c r="N81" s="333"/>
      <c r="O81" s="339">
        <v>5001</v>
      </c>
      <c r="P81" s="340" t="str">
        <f t="shared" si="176"/>
        <v>Muy Alta</v>
      </c>
      <c r="Q81" s="341">
        <f t="shared" si="177"/>
        <v>1</v>
      </c>
      <c r="R81" s="341" t="s">
        <v>190</v>
      </c>
      <c r="S81" s="341" t="str">
        <f ca="1">IF(NOT(ISERROR(MATCH(R81,'Tabla Impacto'!$B$221:$B$223,0))),'Tabla Impacto'!$F$223&amp;"Por favor no seleccionar los criterios de impacto(Afectación Económica o presupuestal y Pérdida Reputacional)",R81)</f>
        <v>El riesgo afecta la imagen de la entidad con algunos usuarios de relevancia frente al logro de los objetivos</v>
      </c>
      <c r="T81" s="340" t="str">
        <f ca="1">+IF(OR(S81='[1]Tabla Impacto'!$C$11,S81='[1]Tabla Impacto'!$D$11),"Leve",IF(OR(S81='[1]Tabla Impacto'!$C$12,S81='[1]Tabla Impacto'!$D$12),"Menor",IF(OR(S81='[1]Tabla Impacto'!$C$13,S81='[1]Tabla Impacto'!$D$13),"Moderado",IF(OR(S81='[1]Tabla Impacto'!$C$14,S81='[1]Tabla Impacto'!$D$14),"Mayor",IF(OR(S81='[1]Tabla Impacto'!$C$15,S81='[1]Tabla Impacto'!$D$15),"Catastrófico","")))))</f>
        <v>Moderado</v>
      </c>
      <c r="U81" s="341">
        <f t="shared" ref="U81" ca="1" si="194">IF(T81="","",IF(T81="Leve",0.2,IF(T81="Menor",0.4,IF(T81="Moderado",0.6,IF(T81="Mayor",0.8,IF(T81="Catastrófico",1,))))))</f>
        <v>0.6</v>
      </c>
      <c r="V81" s="327" t="str">
        <f t="shared" ref="V81" ca="1" si="195">IF(OR(AND(P81="Muy Baja",T81="Leve"),AND(P81="Muy Baja",T81="Menor"),AND(P81="Baja",T81="Leve")),"Bajo",IF(OR(AND(P81="Muy baja",T81="Moderado"),AND(P81="Baja",T81="Menor"),AND(P81="Baja",T81="Moderado"),AND(P81="Media",T81="Leve"),AND(P81="Media",T81="Menor"),AND(P81="Media",T81="Moderado"),AND(P81="Alta",T81="Leve"),AND(P81="Alta",T81="Menor")),"Moderado",IF(OR(AND(P81="Muy Baja",T81="Mayor"),AND(P81="Baja",T81="Mayor"),AND(P81="Media",T81="Mayor"),AND(P81="Alta",T81="Moderado"),AND(P81="Alta",T81="Mayor"),AND(P81="Muy Alta",T81="Leve"),AND(P81="Muy Alta",T81="Menor"),AND(P81="Muy Alta",T81="Moderado"),AND(P81="Muy Alta",T81="Mayor")),"Alto",IF(OR(AND(P81="Muy Baja",T81="Catastrófico"),AND(P81="Baja",T81="Catastrófico"),AND(P81="Media",T81="Catastrófico"),AND(P81="Alta",T81="Catastrófico"),AND(P81="Muy Alta",T81="Catastrófico")),"Extremo",""))))</f>
        <v>Alto</v>
      </c>
      <c r="W81" s="233">
        <v>1</v>
      </c>
      <c r="X81" s="207" t="s">
        <v>1026</v>
      </c>
      <c r="Y81" s="230" t="str">
        <f t="shared" si="180"/>
        <v>Probabilidad</v>
      </c>
      <c r="Z81" s="185" t="s">
        <v>208</v>
      </c>
      <c r="AA81" s="185" t="s">
        <v>216</v>
      </c>
      <c r="AB81" s="186" t="str">
        <f t="shared" si="160"/>
        <v>40%</v>
      </c>
      <c r="AC81" s="185" t="s">
        <v>219</v>
      </c>
      <c r="AD81" s="185" t="s">
        <v>224</v>
      </c>
      <c r="AE81" s="185" t="s">
        <v>228</v>
      </c>
      <c r="AF81" s="187">
        <f t="shared" ref="AF81" si="196">IFERROR(IF(Y81="Probabilidad",(Q81-(+Q81*AB81)),IF(Y81="Impacto",Q81,"")),"")</f>
        <v>0.6</v>
      </c>
      <c r="AG81" s="188" t="str">
        <f t="shared" si="182"/>
        <v>Media</v>
      </c>
      <c r="AH81" s="186">
        <f t="shared" si="183"/>
        <v>0.6</v>
      </c>
      <c r="AI81" s="188" t="str">
        <f t="shared" ca="1" si="184"/>
        <v>Moderado</v>
      </c>
      <c r="AJ81" s="186">
        <f t="shared" ref="AJ81" ca="1" si="197">IFERROR(IF(Y81="Impacto",(U81-(+U81*AB81)),IF(Y81="Probabilidad",U81,"")),"")</f>
        <v>0.6</v>
      </c>
      <c r="AK81" s="189" t="str">
        <f t="shared" ca="1" si="186"/>
        <v>Moderado</v>
      </c>
      <c r="AL81" s="185" t="s">
        <v>255</v>
      </c>
      <c r="AM81" s="227"/>
      <c r="AN81" s="230"/>
      <c r="AO81" s="228"/>
      <c r="AP81" s="228"/>
      <c r="AQ81" s="227"/>
      <c r="AR81" s="229"/>
    </row>
    <row r="82" spans="1:44" s="191" customFormat="1" ht="214.5" customHeight="1" thickTop="1" thickBot="1" x14ac:dyDescent="0.3">
      <c r="A82" s="328"/>
      <c r="B82" s="345"/>
      <c r="C82" s="333"/>
      <c r="D82" s="333"/>
      <c r="E82" s="333"/>
      <c r="F82" s="351"/>
      <c r="G82" s="351"/>
      <c r="H82" s="350"/>
      <c r="I82" s="338"/>
      <c r="J82" s="338"/>
      <c r="K82" s="338"/>
      <c r="L82" s="338"/>
      <c r="M82" s="333"/>
      <c r="N82" s="333"/>
      <c r="O82" s="339"/>
      <c r="P82" s="340"/>
      <c r="Q82" s="341"/>
      <c r="R82" s="341"/>
      <c r="S82" s="341">
        <f ca="1">IF(NOT(ISERROR(MATCH(R82,_xlfn.ANCHORARRAY(H85),0))),#REF!&amp;"Por favor no seleccionar los criterios de impacto",R82)</f>
        <v>0</v>
      </c>
      <c r="T82" s="340"/>
      <c r="U82" s="341"/>
      <c r="V82" s="327"/>
      <c r="W82" s="233">
        <v>2</v>
      </c>
      <c r="X82" s="207" t="s">
        <v>1027</v>
      </c>
      <c r="Y82" s="230" t="str">
        <f t="shared" si="180"/>
        <v>Probabilidad</v>
      </c>
      <c r="Z82" s="185" t="s">
        <v>208</v>
      </c>
      <c r="AA82" s="185" t="s">
        <v>216</v>
      </c>
      <c r="AB82" s="186" t="str">
        <f t="shared" si="160"/>
        <v>40%</v>
      </c>
      <c r="AC82" s="185" t="s">
        <v>219</v>
      </c>
      <c r="AD82" s="185" t="s">
        <v>224</v>
      </c>
      <c r="AE82" s="185" t="s">
        <v>228</v>
      </c>
      <c r="AF82" s="187">
        <f t="shared" ref="AF82" si="198">IFERROR(IF(AND(Y81="Probabilidad",Y82="Probabilidad"),(AH81-(+AH81*AB82)),IF(Y82="Probabilidad",(Q81-(+Q81*AB82)),IF(Y82="Impacto",AH81,""))),"")</f>
        <v>0.36</v>
      </c>
      <c r="AG82" s="188" t="str">
        <f t="shared" si="182"/>
        <v>Baja</v>
      </c>
      <c r="AH82" s="186">
        <f t="shared" si="183"/>
        <v>0.36</v>
      </c>
      <c r="AI82" s="188" t="str">
        <f t="shared" ca="1" si="184"/>
        <v>Moderado</v>
      </c>
      <c r="AJ82" s="186">
        <f t="shared" ref="AJ82" ca="1" si="199">IFERROR(IF(AND(Y81="Impacto",Y82="Impacto"),(AJ81-(+AJ81*AB82)),IF(Y82="Impacto",(U81-(+U81*AB82)),IF(Y82="Probabilidad",AJ81,""))),"")</f>
        <v>0.6</v>
      </c>
      <c r="AK82" s="189" t="str">
        <f t="shared" ca="1" si="186"/>
        <v>Moderado</v>
      </c>
      <c r="AL82" s="185" t="s">
        <v>255</v>
      </c>
      <c r="AM82" s="227"/>
      <c r="AN82" s="230"/>
      <c r="AO82" s="228"/>
      <c r="AP82" s="228"/>
      <c r="AQ82" s="227"/>
      <c r="AR82" s="229"/>
    </row>
    <row r="83" spans="1:44" s="191" customFormat="1" ht="121.5" customHeight="1" thickTop="1" thickBot="1" x14ac:dyDescent="0.3">
      <c r="A83" s="328">
        <v>28</v>
      </c>
      <c r="B83" s="345" t="s">
        <v>598</v>
      </c>
      <c r="C83" s="333" t="s">
        <v>271</v>
      </c>
      <c r="D83" s="333" t="s">
        <v>595</v>
      </c>
      <c r="E83" s="333" t="s">
        <v>240</v>
      </c>
      <c r="F83" s="351" t="s">
        <v>599</v>
      </c>
      <c r="G83" s="351" t="s">
        <v>600</v>
      </c>
      <c r="H83" s="350" t="s">
        <v>1132</v>
      </c>
      <c r="I83" s="338" t="s">
        <v>474</v>
      </c>
      <c r="J83" s="338" t="s">
        <v>474</v>
      </c>
      <c r="K83" s="338" t="s">
        <v>474</v>
      </c>
      <c r="L83" s="338" t="s">
        <v>474</v>
      </c>
      <c r="M83" s="333" t="s">
        <v>239</v>
      </c>
      <c r="N83" s="333"/>
      <c r="O83" s="339">
        <v>5001</v>
      </c>
      <c r="P83" s="340" t="str">
        <f t="shared" si="176"/>
        <v>Muy Alta</v>
      </c>
      <c r="Q83" s="341">
        <f t="shared" si="177"/>
        <v>1</v>
      </c>
      <c r="R83" s="341" t="s">
        <v>190</v>
      </c>
      <c r="S83" s="341" t="str">
        <f ca="1">IF(NOT(ISERROR(MATCH(R83,'Tabla Impacto'!$B$221:$B$223,0))),'Tabla Impacto'!$F$223&amp;"Por favor no seleccionar los criterios de impacto(Afectación Económica o presupuestal y Pérdida Reputacional)",R83)</f>
        <v>El riesgo afecta la imagen de la entidad con algunos usuarios de relevancia frente al logro de los objetivos</v>
      </c>
      <c r="T83" s="340" t="str">
        <f ca="1">+IF(OR(S83='[1]Tabla Impacto'!$C$11,S83='[1]Tabla Impacto'!$D$11),"Leve",IF(OR(S83='[1]Tabla Impacto'!$C$12,S83='[1]Tabla Impacto'!$D$12),"Menor",IF(OR(S83='[1]Tabla Impacto'!$C$13,S83='[1]Tabla Impacto'!$D$13),"Moderado",IF(OR(S83='[1]Tabla Impacto'!$C$14,S83='[1]Tabla Impacto'!$D$14),"Mayor",IF(OR(S83='[1]Tabla Impacto'!$C$15,S83='[1]Tabla Impacto'!$D$15),"Catastrófico","")))))</f>
        <v>Moderado</v>
      </c>
      <c r="U83" s="341">
        <f t="shared" ref="U83" ca="1" si="200">IF(T83="","",IF(T83="Leve",0.2,IF(T83="Menor",0.4,IF(T83="Moderado",0.6,IF(T83="Mayor",0.8,IF(T83="Catastrófico",1,))))))</f>
        <v>0.6</v>
      </c>
      <c r="V83" s="327" t="str">
        <f t="shared" ref="V83" ca="1" si="201">IF(OR(AND(P83="Muy Baja",T83="Leve"),AND(P83="Muy Baja",T83="Menor"),AND(P83="Baja",T83="Leve")),"Bajo",IF(OR(AND(P83="Muy baja",T83="Moderado"),AND(P83="Baja",T83="Menor"),AND(P83="Baja",T83="Moderado"),AND(P83="Media",T83="Leve"),AND(P83="Media",T83="Menor"),AND(P83="Media",T83="Moderado"),AND(P83="Alta",T83="Leve"),AND(P83="Alta",T83="Menor")),"Moderado",IF(OR(AND(P83="Muy Baja",T83="Mayor"),AND(P83="Baja",T83="Mayor"),AND(P83="Media",T83="Mayor"),AND(P83="Alta",T83="Moderado"),AND(P83="Alta",T83="Mayor"),AND(P83="Muy Alta",T83="Leve"),AND(P83="Muy Alta",T83="Menor"),AND(P83="Muy Alta",T83="Moderado"),AND(P83="Muy Alta",T83="Mayor")),"Alto",IF(OR(AND(P83="Muy Baja",T83="Catastrófico"),AND(P83="Baja",T83="Catastrófico"),AND(P83="Media",T83="Catastrófico"),AND(P83="Alta",T83="Catastrófico"),AND(P83="Muy Alta",T83="Catastrófico")),"Extremo",""))))</f>
        <v>Alto</v>
      </c>
      <c r="W83" s="233">
        <v>1</v>
      </c>
      <c r="X83" s="207" t="s">
        <v>1028</v>
      </c>
      <c r="Y83" s="230" t="str">
        <f t="shared" si="180"/>
        <v>Probabilidad</v>
      </c>
      <c r="Z83" s="185" t="s">
        <v>208</v>
      </c>
      <c r="AA83" s="185" t="s">
        <v>216</v>
      </c>
      <c r="AB83" s="186" t="str">
        <f t="shared" si="160"/>
        <v>40%</v>
      </c>
      <c r="AC83" s="185" t="s">
        <v>219</v>
      </c>
      <c r="AD83" s="185" t="s">
        <v>224</v>
      </c>
      <c r="AE83" s="185" t="s">
        <v>228</v>
      </c>
      <c r="AF83" s="187">
        <f t="shared" ref="AF83" si="202">IFERROR(IF(Y83="Probabilidad",(Q83-(+Q83*AB83)),IF(Y83="Impacto",Q83,"")),"")</f>
        <v>0.6</v>
      </c>
      <c r="AG83" s="188" t="str">
        <f t="shared" si="182"/>
        <v>Media</v>
      </c>
      <c r="AH83" s="186">
        <f t="shared" si="183"/>
        <v>0.6</v>
      </c>
      <c r="AI83" s="188" t="str">
        <f t="shared" ca="1" si="184"/>
        <v>Moderado</v>
      </c>
      <c r="AJ83" s="186">
        <f t="shared" ref="AJ83" ca="1" si="203">IFERROR(IF(Y83="Impacto",(U83-(+U83*AB83)),IF(Y83="Probabilidad",U83,"")),"")</f>
        <v>0.6</v>
      </c>
      <c r="AK83" s="189" t="str">
        <f t="shared" ca="1" si="186"/>
        <v>Moderado</v>
      </c>
      <c r="AL83" s="185" t="s">
        <v>255</v>
      </c>
      <c r="AM83" s="227"/>
      <c r="AN83" s="230"/>
      <c r="AO83" s="228"/>
      <c r="AP83" s="228"/>
      <c r="AQ83" s="227"/>
      <c r="AR83" s="229"/>
    </row>
    <row r="84" spans="1:44" s="191" customFormat="1" ht="147.75" customHeight="1" thickTop="1" thickBot="1" x14ac:dyDescent="0.3">
      <c r="A84" s="328"/>
      <c r="B84" s="345"/>
      <c r="C84" s="333"/>
      <c r="D84" s="333"/>
      <c r="E84" s="333"/>
      <c r="F84" s="351"/>
      <c r="G84" s="351"/>
      <c r="H84" s="350"/>
      <c r="I84" s="338"/>
      <c r="J84" s="338"/>
      <c r="K84" s="338"/>
      <c r="L84" s="338"/>
      <c r="M84" s="333"/>
      <c r="N84" s="333"/>
      <c r="O84" s="339"/>
      <c r="P84" s="340"/>
      <c r="Q84" s="341"/>
      <c r="R84" s="341"/>
      <c r="S84" s="341">
        <f ca="1">IF(NOT(ISERROR(MATCH(R84,_xlfn.ANCHORARRAY(H86),0))),#REF!&amp;"Por favor no seleccionar los criterios de impacto",R84)</f>
        <v>0</v>
      </c>
      <c r="T84" s="340"/>
      <c r="U84" s="341"/>
      <c r="V84" s="327"/>
      <c r="W84" s="233">
        <v>2</v>
      </c>
      <c r="X84" s="207" t="s">
        <v>601</v>
      </c>
      <c r="Y84" s="230" t="str">
        <f t="shared" si="180"/>
        <v>Probabilidad</v>
      </c>
      <c r="Z84" s="185" t="s">
        <v>208</v>
      </c>
      <c r="AA84" s="185" t="s">
        <v>216</v>
      </c>
      <c r="AB84" s="186" t="str">
        <f t="shared" si="160"/>
        <v>40%</v>
      </c>
      <c r="AC84" s="185" t="s">
        <v>219</v>
      </c>
      <c r="AD84" s="185" t="s">
        <v>224</v>
      </c>
      <c r="AE84" s="185" t="s">
        <v>228</v>
      </c>
      <c r="AF84" s="187">
        <f t="shared" ref="AF84" si="204">IFERROR(IF(AND(Y83="Probabilidad",Y84="Probabilidad"),(AH83-(+AH83*AB84)),IF(Y84="Probabilidad",(Q83-(+Q83*AB84)),IF(Y84="Impacto",AH83,""))),"")</f>
        <v>0.36</v>
      </c>
      <c r="AG84" s="188" t="str">
        <f t="shared" si="182"/>
        <v>Baja</v>
      </c>
      <c r="AH84" s="186">
        <f t="shared" si="183"/>
        <v>0.36</v>
      </c>
      <c r="AI84" s="188" t="str">
        <f t="shared" ca="1" si="184"/>
        <v>Moderado</v>
      </c>
      <c r="AJ84" s="186">
        <f t="shared" ref="AJ84" ca="1" si="205">IFERROR(IF(AND(Y83="Impacto",Y84="Impacto"),(AJ83-(+AJ83*AB84)),IF(Y84="Impacto",(U83-(+U83*AB84)),IF(Y84="Probabilidad",AJ83,""))),"")</f>
        <v>0.6</v>
      </c>
      <c r="AK84" s="189" t="str">
        <f t="shared" ca="1" si="186"/>
        <v>Moderado</v>
      </c>
      <c r="AL84" s="185" t="s">
        <v>255</v>
      </c>
      <c r="AM84" s="227"/>
      <c r="AN84" s="230"/>
      <c r="AO84" s="228"/>
      <c r="AP84" s="228"/>
      <c r="AQ84" s="227"/>
      <c r="AR84" s="229"/>
    </row>
    <row r="85" spans="1:44" s="191" customFormat="1" ht="408.75" customHeight="1" thickTop="1" thickBot="1" x14ac:dyDescent="0.3">
      <c r="A85" s="226">
        <v>29</v>
      </c>
      <c r="B85" s="242" t="s">
        <v>602</v>
      </c>
      <c r="C85" s="227" t="s">
        <v>271</v>
      </c>
      <c r="D85" s="244" t="s">
        <v>603</v>
      </c>
      <c r="E85" s="227" t="s">
        <v>240</v>
      </c>
      <c r="F85" s="234" t="s">
        <v>604</v>
      </c>
      <c r="G85" s="235" t="s">
        <v>605</v>
      </c>
      <c r="H85" s="251" t="s">
        <v>1188</v>
      </c>
      <c r="I85" s="231" t="s">
        <v>474</v>
      </c>
      <c r="J85" s="231" t="s">
        <v>474</v>
      </c>
      <c r="K85" s="231" t="s">
        <v>474</v>
      </c>
      <c r="L85" s="231" t="s">
        <v>474</v>
      </c>
      <c r="M85" s="227" t="s">
        <v>239</v>
      </c>
      <c r="N85" s="227"/>
      <c r="O85" s="230">
        <v>5001</v>
      </c>
      <c r="P85" s="232" t="str">
        <f t="shared" si="176"/>
        <v>Muy Alta</v>
      </c>
      <c r="Q85" s="225">
        <f t="shared" si="177"/>
        <v>1</v>
      </c>
      <c r="R85" s="225" t="s">
        <v>190</v>
      </c>
      <c r="S85" s="225" t="str">
        <f ca="1">IF(NOT(ISERROR(MATCH(R85,'Tabla Impacto'!$B$221:$B$223,0))),'Tabla Impacto'!$F$223&amp;"Por favor no seleccionar los criterios de impacto(Afectación Económica o presupuestal y Pérdida Reputacional)",R85)</f>
        <v>El riesgo afecta la imagen de la entidad con algunos usuarios de relevancia frente al logro de los objetivos</v>
      </c>
      <c r="T85" s="232" t="str">
        <f ca="1">+IF(OR(S85='[1]Tabla Impacto'!$C$11,S85='[1]Tabla Impacto'!$D$11),"Leve",IF(OR(S85='[1]Tabla Impacto'!$C$12,S85='[1]Tabla Impacto'!$D$12),"Menor",IF(OR(S85='[1]Tabla Impacto'!$C$13,S85='[1]Tabla Impacto'!$D$13),"Moderado",IF(OR(S85='[1]Tabla Impacto'!$C$14,S85='[1]Tabla Impacto'!$D$14),"Mayor",IF(OR(S85='[1]Tabla Impacto'!$C$15,S85='[1]Tabla Impacto'!$D$15),"Catastrófico","")))))</f>
        <v>Moderado</v>
      </c>
      <c r="U85" s="225">
        <f t="shared" ref="U85" ca="1" si="206">IF(T85="","",IF(T85="Leve",0.2,IF(T85="Menor",0.4,IF(T85="Moderado",0.6,IF(T85="Mayor",0.8,IF(T85="Catastrófico",1,))))))</f>
        <v>0.6</v>
      </c>
      <c r="V85" s="233" t="str">
        <f t="shared" ref="V85" ca="1" si="207">IF(OR(AND(P85="Muy Baja",T85="Leve"),AND(P85="Muy Baja",T85="Menor"),AND(P85="Baja",T85="Leve")),"Bajo",IF(OR(AND(P85="Muy baja",T85="Moderado"),AND(P85="Baja",T85="Menor"),AND(P85="Baja",T85="Moderado"),AND(P85="Media",T85="Leve"),AND(P85="Media",T85="Menor"),AND(P85="Media",T85="Moderado"),AND(P85="Alta",T85="Leve"),AND(P85="Alta",T85="Menor")),"Moderado",IF(OR(AND(P85="Muy Baja",T85="Mayor"),AND(P85="Baja",T85="Mayor"),AND(P85="Media",T85="Mayor"),AND(P85="Alta",T85="Moderado"),AND(P85="Alta",T85="Mayor"),AND(P85="Muy Alta",T85="Leve"),AND(P85="Muy Alta",T85="Menor"),AND(P85="Muy Alta",T85="Moderado"),AND(P85="Muy Alta",T85="Mayor")),"Alto",IF(OR(AND(P85="Muy Baja",T85="Catastrófico"),AND(P85="Baja",T85="Catastrófico"),AND(P85="Media",T85="Catastrófico"),AND(P85="Alta",T85="Catastrófico"),AND(P85="Muy Alta",T85="Catastrófico")),"Extremo",""))))</f>
        <v>Alto</v>
      </c>
      <c r="W85" s="233">
        <v>1</v>
      </c>
      <c r="X85" s="207" t="s">
        <v>1029</v>
      </c>
      <c r="Y85" s="230" t="str">
        <f t="shared" si="180"/>
        <v>Probabilidad</v>
      </c>
      <c r="Z85" s="185" t="s">
        <v>208</v>
      </c>
      <c r="AA85" s="185" t="s">
        <v>216</v>
      </c>
      <c r="AB85" s="186" t="str">
        <f t="shared" si="160"/>
        <v>40%</v>
      </c>
      <c r="AC85" s="185" t="s">
        <v>219</v>
      </c>
      <c r="AD85" s="185" t="s">
        <v>224</v>
      </c>
      <c r="AE85" s="185" t="s">
        <v>228</v>
      </c>
      <c r="AF85" s="187">
        <f t="shared" ref="AF85" si="208">IFERROR(IF(Y85="Probabilidad",(Q85-(+Q85*AB85)),IF(Y85="Impacto",Q85,"")),"")</f>
        <v>0.6</v>
      </c>
      <c r="AG85" s="188" t="str">
        <f t="shared" si="182"/>
        <v>Media</v>
      </c>
      <c r="AH85" s="186">
        <f t="shared" si="183"/>
        <v>0.6</v>
      </c>
      <c r="AI85" s="188" t="str">
        <f t="shared" ca="1" si="184"/>
        <v>Moderado</v>
      </c>
      <c r="AJ85" s="186">
        <f t="shared" ref="AJ85" ca="1" si="209">IFERROR(IF(Y85="Impacto",(U85-(+U85*AB85)),IF(Y85="Probabilidad",U85,"")),"")</f>
        <v>0.6</v>
      </c>
      <c r="AK85" s="189" t="str">
        <f t="shared" ca="1" si="186"/>
        <v>Moderado</v>
      </c>
      <c r="AL85" s="185" t="s">
        <v>255</v>
      </c>
      <c r="AM85" s="227"/>
      <c r="AN85" s="230"/>
      <c r="AO85" s="228"/>
      <c r="AP85" s="228"/>
      <c r="AQ85" s="227"/>
      <c r="AR85" s="229"/>
    </row>
    <row r="86" spans="1:44" s="191" customFormat="1" ht="270" customHeight="1" thickTop="1" thickBot="1" x14ac:dyDescent="0.3">
      <c r="A86" s="226">
        <v>30</v>
      </c>
      <c r="B86" s="242" t="s">
        <v>606</v>
      </c>
      <c r="C86" s="227" t="s">
        <v>271</v>
      </c>
      <c r="D86" s="244" t="s">
        <v>607</v>
      </c>
      <c r="E86" s="227" t="s">
        <v>238</v>
      </c>
      <c r="F86" s="234" t="s">
        <v>608</v>
      </c>
      <c r="G86" s="234" t="s">
        <v>609</v>
      </c>
      <c r="H86" s="251" t="s">
        <v>1133</v>
      </c>
      <c r="I86" s="231" t="s">
        <v>474</v>
      </c>
      <c r="J86" s="231" t="s">
        <v>474</v>
      </c>
      <c r="K86" s="231" t="s">
        <v>474</v>
      </c>
      <c r="L86" s="231" t="s">
        <v>474</v>
      </c>
      <c r="M86" s="227" t="s">
        <v>239</v>
      </c>
      <c r="N86" s="227"/>
      <c r="O86" s="230">
        <v>5001</v>
      </c>
      <c r="P86" s="232" t="str">
        <f t="shared" ref="P86:P97" si="210">IF(O86&lt;=0,"",IF(O86&lt;=2,"Muy Baja",IF(O86&lt;=24,"Baja",IF(O86&lt;=500,"Media",IF(O86&lt;=5000,"Alta","Muy Alta")))))</f>
        <v>Muy Alta</v>
      </c>
      <c r="Q86" s="225">
        <f t="shared" ref="Q86:Q97" si="211">IF(P86="","",IF(P86="Muy Baja",0.2,IF(P86="Baja",0.4,IF(P86="Media",0.6,IF(P86="Alta",0.8,IF(P86="Muy Alta",1,))))))</f>
        <v>1</v>
      </c>
      <c r="R86" s="225" t="s">
        <v>190</v>
      </c>
      <c r="S86" s="225" t="str">
        <f ca="1">IF(NOT(ISERROR(MATCH(R86,'Tabla Impacto'!$B$221:$B$223,0))),'Tabla Impacto'!$F$223&amp;"Por favor no seleccionar los criterios de impacto(Afectación Económica o presupuestal y Pérdida Reputacional)",R86)</f>
        <v>El riesgo afecta la imagen de la entidad con algunos usuarios de relevancia frente al logro de los objetivos</v>
      </c>
      <c r="T86" s="232" t="str">
        <f ca="1">+IF(OR(S86='[1]Tabla Impacto'!$C$11,S86='[1]Tabla Impacto'!$D$11),"Leve",IF(OR(S86='[1]Tabla Impacto'!$C$12,S86='[1]Tabla Impacto'!$D$12),"Menor",IF(OR(S86='[1]Tabla Impacto'!$C$13,S86='[1]Tabla Impacto'!$D$13),"Moderado",IF(OR(S86='[1]Tabla Impacto'!$C$14,S86='[1]Tabla Impacto'!$D$14),"Mayor",IF(OR(S86='[1]Tabla Impacto'!$C$15,S86='[1]Tabla Impacto'!$D$15),"Catastrófico","")))))</f>
        <v>Moderado</v>
      </c>
      <c r="U86" s="225">
        <f t="shared" ref="U86" ca="1" si="212">IF(T86="","",IF(T86="Leve",0.2,IF(T86="Menor",0.4,IF(T86="Moderado",0.6,IF(T86="Mayor",0.8,IF(T86="Catastrófico",1,))))))</f>
        <v>0.6</v>
      </c>
      <c r="V86" s="233" t="str">
        <f t="shared" ref="V86" ca="1" si="213">IF(OR(AND(P86="Muy Baja",T86="Leve"),AND(P86="Muy Baja",T86="Menor"),AND(P86="Baja",T86="Leve")),"Bajo",IF(OR(AND(P86="Muy baja",T86="Moderado"),AND(P86="Baja",T86="Menor"),AND(P86="Baja",T86="Moderado"),AND(P86="Media",T86="Leve"),AND(P86="Media",T86="Menor"),AND(P86="Media",T86="Moderado"),AND(P86="Alta",T86="Leve"),AND(P86="Alta",T86="Menor")),"Moderado",IF(OR(AND(P86="Muy Baja",T86="Mayor"),AND(P86="Baja",T86="Mayor"),AND(P86="Media",T86="Mayor"),AND(P86="Alta",T86="Moderado"),AND(P86="Alta",T86="Mayor"),AND(P86="Muy Alta",T86="Leve"),AND(P86="Muy Alta",T86="Menor"),AND(P86="Muy Alta",T86="Moderado"),AND(P86="Muy Alta",T86="Mayor")),"Alto",IF(OR(AND(P86="Muy Baja",T86="Catastrófico"),AND(P86="Baja",T86="Catastrófico"),AND(P86="Media",T86="Catastrófico"),AND(P86="Alta",T86="Catastrófico"),AND(P86="Muy Alta",T86="Catastrófico")),"Extremo",""))))</f>
        <v>Alto</v>
      </c>
      <c r="W86" s="233">
        <v>1</v>
      </c>
      <c r="X86" s="207" t="s">
        <v>1030</v>
      </c>
      <c r="Y86" s="230" t="str">
        <f t="shared" ref="Y86:Y98" si="214">IF(OR(Z86="Preventivo",Z86="Detectivo"),"Probabilidad",IF(Z86="Correctivo","Impacto",""))</f>
        <v>Probabilidad</v>
      </c>
      <c r="Z86" s="185" t="s">
        <v>208</v>
      </c>
      <c r="AA86" s="185" t="s">
        <v>216</v>
      </c>
      <c r="AB86" s="186" t="str">
        <f t="shared" si="160"/>
        <v>40%</v>
      </c>
      <c r="AC86" s="185" t="s">
        <v>219</v>
      </c>
      <c r="AD86" s="185" t="s">
        <v>224</v>
      </c>
      <c r="AE86" s="185" t="s">
        <v>228</v>
      </c>
      <c r="AF86" s="187">
        <f t="shared" ref="AF86" si="215">IFERROR(IF(Y86="Probabilidad",(Q86-(+Q86*AB86)),IF(Y86="Impacto",Q86,"")),"")</f>
        <v>0.6</v>
      </c>
      <c r="AG86" s="188" t="str">
        <f t="shared" ref="AG86:AG98" si="216">IFERROR(IF(AF86="","",IF(AF86&lt;=0.2,"Muy Baja",IF(AF86&lt;=0.4,"Baja",IF(AF86&lt;=0.6,"Media",IF(AF86&lt;=0.8,"Alta","Muy Alta"))))),"")</f>
        <v>Media</v>
      </c>
      <c r="AH86" s="186">
        <f t="shared" ref="AH86:AH98" si="217">+AF86</f>
        <v>0.6</v>
      </c>
      <c r="AI86" s="188" t="str">
        <f t="shared" ref="AI86:AI98" ca="1" si="218">IFERROR(IF(AJ86="","",IF(AJ86&lt;=0.2,"Leve",IF(AJ86&lt;=0.4,"Menor",IF(AJ86&lt;=0.6,"Moderado",IF(AJ86&lt;=0.8,"Mayor","Catastrófico"))))),"")</f>
        <v>Moderado</v>
      </c>
      <c r="AJ86" s="186">
        <f t="shared" ref="AJ86" ca="1" si="219">IFERROR(IF(Y86="Impacto",(U86-(+U86*AB86)),IF(Y86="Probabilidad",U86,"")),"")</f>
        <v>0.6</v>
      </c>
      <c r="AK86" s="189" t="str">
        <f t="shared" ref="AK86:AK98" ca="1" si="220">IFERROR(IF(OR(AND(AG86="Muy Baja",AI86="Leve"),AND(AG86="Muy Baja",AI86="Menor"),AND(AG86="Baja",AI86="Leve")),"Bajo",IF(OR(AND(AG86="Muy baja",AI86="Moderado"),AND(AG86="Baja",AI86="Menor"),AND(AG86="Baja",AI86="Moderado"),AND(AG86="Media",AI86="Leve"),AND(AG86="Media",AI86="Menor"),AND(AG86="Media",AI86="Moderado"),AND(AG86="Alta",AI86="Leve"),AND(AG86="Alta",AI86="Menor")),"Moderado",IF(OR(AND(AG86="Muy Baja",AI86="Mayor"),AND(AG86="Baja",AI86="Mayor"),AND(AG86="Media",AI86="Mayor"),AND(AG86="Alta",AI86="Moderado"),AND(AG86="Alta",AI86="Mayor"),AND(AG86="Muy Alta",AI86="Leve"),AND(AG86="Muy Alta",AI86="Menor"),AND(AG86="Muy Alta",AI86="Moderado"),AND(AG86="Muy Alta",AI86="Mayor")),"Alto",IF(OR(AND(AG86="Muy Baja",AI86="Catastrófico"),AND(AG86="Baja",AI86="Catastrófico"),AND(AG86="Media",AI86="Catastrófico"),AND(AG86="Alta",AI86="Catastrófico"),AND(AG86="Muy Alta",AI86="Catastrófico")),"Extremo","")))),"")</f>
        <v>Moderado</v>
      </c>
      <c r="AL86" s="185" t="s">
        <v>255</v>
      </c>
      <c r="AM86" s="227"/>
      <c r="AN86" s="230"/>
      <c r="AO86" s="228"/>
      <c r="AP86" s="228"/>
      <c r="AQ86" s="227"/>
      <c r="AR86" s="229"/>
    </row>
    <row r="87" spans="1:44" s="191" customFormat="1" ht="385.5" customHeight="1" thickTop="1" thickBot="1" x14ac:dyDescent="0.3">
      <c r="A87" s="274">
        <v>31</v>
      </c>
      <c r="B87" s="281" t="s">
        <v>610</v>
      </c>
      <c r="C87" s="276" t="s">
        <v>271</v>
      </c>
      <c r="D87" s="276" t="s">
        <v>607</v>
      </c>
      <c r="E87" s="276" t="s">
        <v>240</v>
      </c>
      <c r="F87" s="284" t="s">
        <v>611</v>
      </c>
      <c r="G87" s="284" t="s">
        <v>612</v>
      </c>
      <c r="H87" s="282" t="s">
        <v>1189</v>
      </c>
      <c r="I87" s="277" t="s">
        <v>593</v>
      </c>
      <c r="J87" s="277" t="s">
        <v>593</v>
      </c>
      <c r="K87" s="277" t="s">
        <v>593</v>
      </c>
      <c r="L87" s="277" t="s">
        <v>593</v>
      </c>
      <c r="M87" s="283" t="s">
        <v>244</v>
      </c>
      <c r="N87" s="276"/>
      <c r="O87" s="278">
        <v>5001</v>
      </c>
      <c r="P87" s="279" t="str">
        <f t="shared" si="210"/>
        <v>Muy Alta</v>
      </c>
      <c r="Q87" s="280">
        <f t="shared" si="211"/>
        <v>1</v>
      </c>
      <c r="R87" s="280" t="s">
        <v>190</v>
      </c>
      <c r="S87" s="280" t="str">
        <f ca="1">IF(NOT(ISERROR(MATCH(R87,'Tabla Impacto'!$B$221:$B$223,0))),'Tabla Impacto'!$F$223&amp;"Por favor no seleccionar los criterios de impacto(Afectación Económica o presupuestal y Pérdida Reputacional)",R87)</f>
        <v>El riesgo afecta la imagen de la entidad con algunos usuarios de relevancia frente al logro de los objetivos</v>
      </c>
      <c r="T87" s="279" t="str">
        <f ca="1">+IF(OR(S87='[1]Tabla Impacto'!$C$11,S87='[1]Tabla Impacto'!$D$11),"Leve",IF(OR(S87='[1]Tabla Impacto'!$C$12,S87='[1]Tabla Impacto'!$D$12),"Menor",IF(OR(S87='[1]Tabla Impacto'!$C$13,S87='[1]Tabla Impacto'!$D$13),"Moderado",IF(OR(S87='[1]Tabla Impacto'!$C$14,S87='[1]Tabla Impacto'!$D$14),"Mayor",IF(OR(S87='[1]Tabla Impacto'!$C$15,S87='[1]Tabla Impacto'!$D$15),"Catastrófico","")))))</f>
        <v>Moderado</v>
      </c>
      <c r="U87" s="280">
        <f t="shared" ref="U87" ca="1" si="221">IF(T87="","",IF(T87="Leve",0.2,IF(T87="Menor",0.4,IF(T87="Moderado",0.6,IF(T87="Mayor",0.8,IF(T87="Catastrófico",1,))))))</f>
        <v>0.6</v>
      </c>
      <c r="V87" s="273" t="str">
        <f t="shared" ref="V87" ca="1" si="222">IF(OR(AND(P87="Muy Baja",T87="Leve"),AND(P87="Muy Baja",T87="Menor"),AND(P87="Baja",T87="Leve")),"Bajo",IF(OR(AND(P87="Muy baja",T87="Moderado"),AND(P87="Baja",T87="Menor"),AND(P87="Baja",T87="Moderado"),AND(P87="Media",T87="Leve"),AND(P87="Media",T87="Menor"),AND(P87="Media",T87="Moderado"),AND(P87="Alta",T87="Leve"),AND(P87="Alta",T87="Menor")),"Moderado",IF(OR(AND(P87="Muy Baja",T87="Mayor"),AND(P87="Baja",T87="Mayor"),AND(P87="Media",T87="Mayor"),AND(P87="Alta",T87="Moderado"),AND(P87="Alta",T87="Mayor"),AND(P87="Muy Alta",T87="Leve"),AND(P87="Muy Alta",T87="Menor"),AND(P87="Muy Alta",T87="Moderado"),AND(P87="Muy Alta",T87="Mayor")),"Alto",IF(OR(AND(P87="Muy Baja",T87="Catastrófico"),AND(P87="Baja",T87="Catastrófico"),AND(P87="Media",T87="Catastrófico"),AND(P87="Alta",T87="Catastrófico"),AND(P87="Muy Alta",T87="Catastrófico")),"Extremo",""))))</f>
        <v>Alto</v>
      </c>
      <c r="W87" s="233">
        <v>1</v>
      </c>
      <c r="X87" s="207" t="s">
        <v>1031</v>
      </c>
      <c r="Y87" s="230" t="str">
        <f t="shared" si="214"/>
        <v>Probabilidad</v>
      </c>
      <c r="Z87" s="185" t="s">
        <v>208</v>
      </c>
      <c r="AA87" s="185" t="s">
        <v>216</v>
      </c>
      <c r="AB87" s="186" t="str">
        <f t="shared" si="160"/>
        <v>40%</v>
      </c>
      <c r="AC87" s="185" t="s">
        <v>219</v>
      </c>
      <c r="AD87" s="185" t="s">
        <v>224</v>
      </c>
      <c r="AE87" s="185" t="s">
        <v>228</v>
      </c>
      <c r="AF87" s="187">
        <f t="shared" ref="AF87" si="223">IFERROR(IF(Y87="Probabilidad",(Q87-(+Q87*AB87)),IF(Y87="Impacto",Q87,"")),"")</f>
        <v>0.6</v>
      </c>
      <c r="AG87" s="188" t="str">
        <f t="shared" si="216"/>
        <v>Media</v>
      </c>
      <c r="AH87" s="186">
        <f t="shared" si="217"/>
        <v>0.6</v>
      </c>
      <c r="AI87" s="188" t="str">
        <f t="shared" ca="1" si="218"/>
        <v>Moderado</v>
      </c>
      <c r="AJ87" s="186">
        <f t="shared" ref="AJ87" ca="1" si="224">IFERROR(IF(Y87="Impacto",(U87-(+U87*AB87)),IF(Y87="Probabilidad",U87,"")),"")</f>
        <v>0.6</v>
      </c>
      <c r="AK87" s="189" t="str">
        <f t="shared" ca="1" si="220"/>
        <v>Moderado</v>
      </c>
      <c r="AL87" s="185" t="s">
        <v>262</v>
      </c>
      <c r="AM87" s="227"/>
      <c r="AN87" s="230"/>
      <c r="AO87" s="228"/>
      <c r="AP87" s="228"/>
      <c r="AQ87" s="227"/>
      <c r="AR87" s="229"/>
    </row>
    <row r="88" spans="1:44" s="191" customFormat="1" ht="235.5" customHeight="1" thickTop="1" thickBot="1" x14ac:dyDescent="0.3">
      <c r="A88" s="226">
        <v>32</v>
      </c>
      <c r="B88" s="242" t="s">
        <v>613</v>
      </c>
      <c r="C88" s="227" t="s">
        <v>271</v>
      </c>
      <c r="D88" s="244" t="s">
        <v>607</v>
      </c>
      <c r="E88" s="227" t="s">
        <v>240</v>
      </c>
      <c r="F88" s="234" t="s">
        <v>563</v>
      </c>
      <c r="G88" s="234" t="s">
        <v>614</v>
      </c>
      <c r="H88" s="251" t="s">
        <v>1134</v>
      </c>
      <c r="I88" s="231" t="s">
        <v>474</v>
      </c>
      <c r="J88" s="231" t="s">
        <v>474</v>
      </c>
      <c r="K88" s="231" t="s">
        <v>474</v>
      </c>
      <c r="L88" s="231" t="s">
        <v>474</v>
      </c>
      <c r="M88" s="227" t="s">
        <v>241</v>
      </c>
      <c r="N88" s="227"/>
      <c r="O88" s="230">
        <v>5001</v>
      </c>
      <c r="P88" s="232" t="str">
        <f t="shared" si="210"/>
        <v>Muy Alta</v>
      </c>
      <c r="Q88" s="225">
        <f t="shared" si="211"/>
        <v>1</v>
      </c>
      <c r="R88" s="225" t="s">
        <v>190</v>
      </c>
      <c r="S88" s="225" t="str">
        <f ca="1">IF(NOT(ISERROR(MATCH(R88,'Tabla Impacto'!$B$221:$B$223,0))),'Tabla Impacto'!$F$223&amp;"Por favor no seleccionar los criterios de impacto(Afectación Económica o presupuestal y Pérdida Reputacional)",R88)</f>
        <v>El riesgo afecta la imagen de la entidad con algunos usuarios de relevancia frente al logro de los objetivos</v>
      </c>
      <c r="T88" s="232" t="str">
        <f ca="1">+IF(OR(S88='[1]Tabla Impacto'!$C$11,S88='[1]Tabla Impacto'!$D$11),"Leve",IF(OR(S88='[1]Tabla Impacto'!$C$12,S88='[1]Tabla Impacto'!$D$12),"Menor",IF(OR(S88='[1]Tabla Impacto'!$C$13,S88='[1]Tabla Impacto'!$D$13),"Moderado",IF(OR(S88='[1]Tabla Impacto'!$C$14,S88='[1]Tabla Impacto'!$D$14),"Mayor",IF(OR(S88='[1]Tabla Impacto'!$C$15,S88='[1]Tabla Impacto'!$D$15),"Catastrófico","")))))</f>
        <v>Moderado</v>
      </c>
      <c r="U88" s="225">
        <f t="shared" ref="U88" ca="1" si="225">IF(T88="","",IF(T88="Leve",0.2,IF(T88="Menor",0.4,IF(T88="Moderado",0.6,IF(T88="Mayor",0.8,IF(T88="Catastrófico",1,))))))</f>
        <v>0.6</v>
      </c>
      <c r="V88" s="233" t="str">
        <f t="shared" ref="V88" ca="1" si="226">IF(OR(AND(P88="Muy Baja",T88="Leve"),AND(P88="Muy Baja",T88="Menor"),AND(P88="Baja",T88="Leve")),"Bajo",IF(OR(AND(P88="Muy baja",T88="Moderado"),AND(P88="Baja",T88="Menor"),AND(P88="Baja",T88="Moderado"),AND(P88="Media",T88="Leve"),AND(P88="Media",T88="Menor"),AND(P88="Media",T88="Moderado"),AND(P88="Alta",T88="Leve"),AND(P88="Alta",T88="Menor")),"Moderado",IF(OR(AND(P88="Muy Baja",T88="Mayor"),AND(P88="Baja",T88="Mayor"),AND(P88="Media",T88="Mayor"),AND(P88="Alta",T88="Moderado"),AND(P88="Alta",T88="Mayor"),AND(P88="Muy Alta",T88="Leve"),AND(P88="Muy Alta",T88="Menor"),AND(P88="Muy Alta",T88="Moderado"),AND(P88="Muy Alta",T88="Mayor")),"Alto",IF(OR(AND(P88="Muy Baja",T88="Catastrófico"),AND(P88="Baja",T88="Catastrófico"),AND(P88="Media",T88="Catastrófico"),AND(P88="Alta",T88="Catastrófico"),AND(P88="Muy Alta",T88="Catastrófico")),"Extremo",""))))</f>
        <v>Alto</v>
      </c>
      <c r="W88" s="233">
        <v>1</v>
      </c>
      <c r="X88" s="207" t="s">
        <v>1033</v>
      </c>
      <c r="Y88" s="230" t="str">
        <f t="shared" si="214"/>
        <v>Probabilidad</v>
      </c>
      <c r="Z88" s="185" t="s">
        <v>208</v>
      </c>
      <c r="AA88" s="185" t="s">
        <v>216</v>
      </c>
      <c r="AB88" s="186" t="str">
        <f t="shared" si="160"/>
        <v>40%</v>
      </c>
      <c r="AC88" s="185" t="s">
        <v>219</v>
      </c>
      <c r="AD88" s="185" t="s">
        <v>224</v>
      </c>
      <c r="AE88" s="185" t="s">
        <v>228</v>
      </c>
      <c r="AF88" s="187">
        <f t="shared" ref="AF88" si="227">IFERROR(IF(Y88="Probabilidad",(Q88-(+Q88*AB88)),IF(Y88="Impacto",Q88,"")),"")</f>
        <v>0.6</v>
      </c>
      <c r="AG88" s="188" t="str">
        <f t="shared" si="216"/>
        <v>Media</v>
      </c>
      <c r="AH88" s="186">
        <f t="shared" si="217"/>
        <v>0.6</v>
      </c>
      <c r="AI88" s="188" t="str">
        <f t="shared" ca="1" si="218"/>
        <v>Moderado</v>
      </c>
      <c r="AJ88" s="186">
        <f t="shared" ref="AJ88" ca="1" si="228">IFERROR(IF(Y88="Impacto",(U88-(+U88*AB88)),IF(Y88="Probabilidad",U88,"")),"")</f>
        <v>0.6</v>
      </c>
      <c r="AK88" s="189" t="str">
        <f t="shared" ca="1" si="220"/>
        <v>Moderado</v>
      </c>
      <c r="AL88" s="185" t="s">
        <v>255</v>
      </c>
      <c r="AM88" s="227"/>
      <c r="AN88" s="230"/>
      <c r="AO88" s="228"/>
      <c r="AP88" s="228"/>
      <c r="AQ88" s="227"/>
      <c r="AR88" s="229"/>
    </row>
    <row r="89" spans="1:44" s="191" customFormat="1" ht="293.25" customHeight="1" thickTop="1" thickBot="1" x14ac:dyDescent="0.3">
      <c r="A89" s="226">
        <v>33</v>
      </c>
      <c r="B89" s="242" t="s">
        <v>615</v>
      </c>
      <c r="C89" s="227" t="s">
        <v>272</v>
      </c>
      <c r="D89" s="243" t="s">
        <v>977</v>
      </c>
      <c r="E89" s="227" t="s">
        <v>238</v>
      </c>
      <c r="F89" s="234" t="s">
        <v>616</v>
      </c>
      <c r="G89" s="234" t="s">
        <v>617</v>
      </c>
      <c r="H89" s="251" t="s">
        <v>1135</v>
      </c>
      <c r="I89" s="231" t="s">
        <v>474</v>
      </c>
      <c r="J89" s="231" t="s">
        <v>474</v>
      </c>
      <c r="K89" s="231" t="s">
        <v>474</v>
      </c>
      <c r="L89" s="231" t="s">
        <v>474</v>
      </c>
      <c r="M89" s="227" t="s">
        <v>239</v>
      </c>
      <c r="N89" s="227"/>
      <c r="O89" s="230">
        <v>365</v>
      </c>
      <c r="P89" s="232" t="str">
        <f t="shared" si="210"/>
        <v>Media</v>
      </c>
      <c r="Q89" s="225">
        <f t="shared" si="211"/>
        <v>0.6</v>
      </c>
      <c r="R89" s="225" t="s">
        <v>187</v>
      </c>
      <c r="S89" s="225" t="str">
        <f ca="1">IF(NOT(ISERROR(MATCH(R89,'Tabla Impacto'!$B$221:$B$223,0))),'Tabla Impacto'!$F$223&amp;"Por favor no seleccionar los criterios de impacto(Afectación Económica o presupuestal y Pérdida Reputacional)",R89)</f>
        <v>El riesgo afecta la imagen de la entidad internamente, de conocimiento general, nivel interno, de junta dircetiva y accionistas y/o de provedores</v>
      </c>
      <c r="T89" s="232" t="str">
        <f ca="1">+IF(OR(S89='[1]Tabla Impacto'!$C$11,S89='[1]Tabla Impacto'!$D$11),"Leve",IF(OR(S89='[1]Tabla Impacto'!$C$12,S89='[1]Tabla Impacto'!$D$12),"Menor",IF(OR(S89='[1]Tabla Impacto'!$C$13,S89='[1]Tabla Impacto'!$D$13),"Moderado",IF(OR(S89='[1]Tabla Impacto'!$C$14,S89='[1]Tabla Impacto'!$D$14),"Mayor",IF(OR(S89='[1]Tabla Impacto'!$C$15,S89='[1]Tabla Impacto'!$D$15),"Catastrófico","")))))</f>
        <v>Menor</v>
      </c>
      <c r="U89" s="225">
        <f t="shared" ref="U89" ca="1" si="229">IF(T89="","",IF(T89="Leve",0.2,IF(T89="Menor",0.4,IF(T89="Moderado",0.6,IF(T89="Mayor",0.8,IF(T89="Catastrófico",1,))))))</f>
        <v>0.4</v>
      </c>
      <c r="V89" s="233" t="str">
        <f t="shared" ref="V89" ca="1" si="230">IF(OR(AND(P89="Muy Baja",T89="Leve"),AND(P89="Muy Baja",T89="Menor"),AND(P89="Baja",T89="Leve")),"Bajo",IF(OR(AND(P89="Muy baja",T89="Moderado"),AND(P89="Baja",T89="Menor"),AND(P89="Baja",T89="Moderado"),AND(P89="Media",T89="Leve"),AND(P89="Media",T89="Menor"),AND(P89="Media",T89="Moderado"),AND(P89="Alta",T89="Leve"),AND(P89="Alta",T89="Menor")),"Moderado",IF(OR(AND(P89="Muy Baja",T89="Mayor"),AND(P89="Baja",T89="Mayor"),AND(P89="Media",T89="Mayor"),AND(P89="Alta",T89="Moderado"),AND(P89="Alta",T89="Mayor"),AND(P89="Muy Alta",T89="Leve"),AND(P89="Muy Alta",T89="Menor"),AND(P89="Muy Alta",T89="Moderado"),AND(P89="Muy Alta",T89="Mayor")),"Alto",IF(OR(AND(P89="Muy Baja",T89="Catastrófico"),AND(P89="Baja",T89="Catastrófico"),AND(P89="Media",T89="Catastrófico"),AND(P89="Alta",T89="Catastrófico"),AND(P89="Muy Alta",T89="Catastrófico")),"Extremo",""))))</f>
        <v>Moderado</v>
      </c>
      <c r="W89" s="233">
        <v>1</v>
      </c>
      <c r="X89" s="207" t="s">
        <v>618</v>
      </c>
      <c r="Y89" s="230" t="str">
        <f t="shared" si="214"/>
        <v>Probabilidad</v>
      </c>
      <c r="Z89" s="185" t="s">
        <v>208</v>
      </c>
      <c r="AA89" s="185" t="s">
        <v>216</v>
      </c>
      <c r="AB89" s="186" t="str">
        <f t="shared" si="160"/>
        <v>40%</v>
      </c>
      <c r="AC89" s="185" t="s">
        <v>219</v>
      </c>
      <c r="AD89" s="185" t="s">
        <v>224</v>
      </c>
      <c r="AE89" s="185" t="s">
        <v>228</v>
      </c>
      <c r="AF89" s="187">
        <f t="shared" ref="AF89" si="231">IFERROR(IF(Y89="Probabilidad",(Q89-(+Q89*AB89)),IF(Y89="Impacto",Q89,"")),"")</f>
        <v>0.36</v>
      </c>
      <c r="AG89" s="188" t="str">
        <f t="shared" si="216"/>
        <v>Baja</v>
      </c>
      <c r="AH89" s="186">
        <f t="shared" si="217"/>
        <v>0.36</v>
      </c>
      <c r="AI89" s="188" t="str">
        <f t="shared" ca="1" si="218"/>
        <v>Menor</v>
      </c>
      <c r="AJ89" s="186">
        <f t="shared" ref="AJ89" ca="1" si="232">IFERROR(IF(Y89="Impacto",(U89-(+U89*AB89)),IF(Y89="Probabilidad",U89,"")),"")</f>
        <v>0.4</v>
      </c>
      <c r="AK89" s="189" t="str">
        <f t="shared" ca="1" si="220"/>
        <v>Moderado</v>
      </c>
      <c r="AL89" s="185" t="s">
        <v>255</v>
      </c>
      <c r="AM89" s="227"/>
      <c r="AN89" s="230"/>
      <c r="AO89" s="228"/>
      <c r="AP89" s="228"/>
      <c r="AQ89" s="227"/>
      <c r="AR89" s="229"/>
    </row>
    <row r="90" spans="1:44" s="191" customFormat="1" ht="226.5" customHeight="1" thickTop="1" thickBot="1" x14ac:dyDescent="0.3">
      <c r="A90" s="226">
        <v>34</v>
      </c>
      <c r="B90" s="242" t="s">
        <v>619</v>
      </c>
      <c r="C90" s="227" t="s">
        <v>272</v>
      </c>
      <c r="D90" s="243" t="s">
        <v>620</v>
      </c>
      <c r="E90" s="227" t="s">
        <v>238</v>
      </c>
      <c r="F90" s="234" t="s">
        <v>621</v>
      </c>
      <c r="G90" s="234" t="s">
        <v>622</v>
      </c>
      <c r="H90" s="251" t="s">
        <v>1136</v>
      </c>
      <c r="I90" s="231" t="s">
        <v>474</v>
      </c>
      <c r="J90" s="231" t="s">
        <v>474</v>
      </c>
      <c r="K90" s="231" t="s">
        <v>474</v>
      </c>
      <c r="L90" s="231" t="s">
        <v>474</v>
      </c>
      <c r="M90" s="227" t="s">
        <v>239</v>
      </c>
      <c r="N90" s="227"/>
      <c r="O90" s="230">
        <v>365</v>
      </c>
      <c r="P90" s="232" t="str">
        <f t="shared" si="210"/>
        <v>Media</v>
      </c>
      <c r="Q90" s="225">
        <f t="shared" si="211"/>
        <v>0.6</v>
      </c>
      <c r="R90" s="225" t="s">
        <v>187</v>
      </c>
      <c r="S90" s="225" t="str">
        <f ca="1">IF(NOT(ISERROR(MATCH(R90,'Tabla Impacto'!$B$221:$B$223,0))),'Tabla Impacto'!$F$223&amp;"Por favor no seleccionar los criterios de impacto(Afectación Económica o presupuestal y Pérdida Reputacional)",R90)</f>
        <v>El riesgo afecta la imagen de la entidad internamente, de conocimiento general, nivel interno, de junta dircetiva y accionistas y/o de provedores</v>
      </c>
      <c r="T90" s="232" t="str">
        <f ca="1">+IF(OR(S90='[1]Tabla Impacto'!$C$11,S90='[1]Tabla Impacto'!$D$11),"Leve",IF(OR(S90='[1]Tabla Impacto'!$C$12,S90='[1]Tabla Impacto'!$D$12),"Menor",IF(OR(S90='[1]Tabla Impacto'!$C$13,S90='[1]Tabla Impacto'!$D$13),"Moderado",IF(OR(S90='[1]Tabla Impacto'!$C$14,S90='[1]Tabla Impacto'!$D$14),"Mayor",IF(OR(S90='[1]Tabla Impacto'!$C$15,S90='[1]Tabla Impacto'!$D$15),"Catastrófico","")))))</f>
        <v>Menor</v>
      </c>
      <c r="U90" s="225">
        <f t="shared" ref="U90" ca="1" si="233">IF(T90="","",IF(T90="Leve",0.2,IF(T90="Menor",0.4,IF(T90="Moderado",0.6,IF(T90="Mayor",0.8,IF(T90="Catastrófico",1,))))))</f>
        <v>0.4</v>
      </c>
      <c r="V90" s="233" t="str">
        <f t="shared" ref="V90" ca="1" si="234">IF(OR(AND(P90="Muy Baja",T90="Leve"),AND(P90="Muy Baja",T90="Menor"),AND(P90="Baja",T90="Leve")),"Bajo",IF(OR(AND(P90="Muy baja",T90="Moderado"),AND(P90="Baja",T90="Menor"),AND(P90="Baja",T90="Moderado"),AND(P90="Media",T90="Leve"),AND(P90="Media",T90="Menor"),AND(P90="Media",T90="Moderado"),AND(P90="Alta",T90="Leve"),AND(P90="Alta",T90="Menor")),"Moderado",IF(OR(AND(P90="Muy Baja",T90="Mayor"),AND(P90="Baja",T90="Mayor"),AND(P90="Media",T90="Mayor"),AND(P90="Alta",T90="Moderado"),AND(P90="Alta",T90="Mayor"),AND(P90="Muy Alta",T90="Leve"),AND(P90="Muy Alta",T90="Menor"),AND(P90="Muy Alta",T90="Moderado"),AND(P90="Muy Alta",T90="Mayor")),"Alto",IF(OR(AND(P90="Muy Baja",T90="Catastrófico"),AND(P90="Baja",T90="Catastrófico"),AND(P90="Media",T90="Catastrófico"),AND(P90="Alta",T90="Catastrófico"),AND(P90="Muy Alta",T90="Catastrófico")),"Extremo",""))))</f>
        <v>Moderado</v>
      </c>
      <c r="W90" s="233">
        <v>1</v>
      </c>
      <c r="X90" s="207" t="s">
        <v>623</v>
      </c>
      <c r="Y90" s="230" t="str">
        <f t="shared" si="214"/>
        <v>Probabilidad</v>
      </c>
      <c r="Z90" s="185" t="s">
        <v>208</v>
      </c>
      <c r="AA90" s="185" t="s">
        <v>216</v>
      </c>
      <c r="AB90" s="186" t="str">
        <f t="shared" ref="AB90:AB110" si="235">IF(AND(Z90="Preventivo",AA90="Automático"),"50%",IF(AND(Z90="Preventivo",AA90="Manual"),"40%",IF(AND(Z90="Detectivo",AA90="Automático"),"40%",IF(AND(Z90="Detectivo",AA90="Manual"),"30%",IF(AND(Z90="Correctivo",AA90="Automático"),"35%",IF(AND(Z90="Correctivo",AA90="Manual"),"25%",""))))))</f>
        <v>40%</v>
      </c>
      <c r="AC90" s="185" t="s">
        <v>219</v>
      </c>
      <c r="AD90" s="185" t="s">
        <v>224</v>
      </c>
      <c r="AE90" s="185" t="s">
        <v>228</v>
      </c>
      <c r="AF90" s="187">
        <f t="shared" ref="AF90" si="236">IFERROR(IF(Y90="Probabilidad",(Q90-(+Q90*AB90)),IF(Y90="Impacto",Q90,"")),"")</f>
        <v>0.36</v>
      </c>
      <c r="AG90" s="188" t="str">
        <f t="shared" si="216"/>
        <v>Baja</v>
      </c>
      <c r="AH90" s="186">
        <f t="shared" si="217"/>
        <v>0.36</v>
      </c>
      <c r="AI90" s="188" t="str">
        <f t="shared" ca="1" si="218"/>
        <v>Menor</v>
      </c>
      <c r="AJ90" s="186">
        <f t="shared" ref="AJ90" ca="1" si="237">IFERROR(IF(Y90="Impacto",(U90-(+U90*AB90)),IF(Y90="Probabilidad",U90,"")),"")</f>
        <v>0.4</v>
      </c>
      <c r="AK90" s="189" t="str">
        <f t="shared" ca="1" si="220"/>
        <v>Moderado</v>
      </c>
      <c r="AL90" s="185" t="s">
        <v>255</v>
      </c>
      <c r="AM90" s="227"/>
      <c r="AN90" s="230"/>
      <c r="AO90" s="228"/>
      <c r="AP90" s="228"/>
      <c r="AQ90" s="227"/>
      <c r="AR90" s="229"/>
    </row>
    <row r="91" spans="1:44" s="191" customFormat="1" ht="156" customHeight="1" thickTop="1" thickBot="1" x14ac:dyDescent="0.3">
      <c r="A91" s="328">
        <v>35</v>
      </c>
      <c r="B91" s="345" t="s">
        <v>624</v>
      </c>
      <c r="C91" s="333" t="s">
        <v>272</v>
      </c>
      <c r="D91" s="335" t="s">
        <v>625</v>
      </c>
      <c r="E91" s="333" t="s">
        <v>240</v>
      </c>
      <c r="F91" s="351" t="s">
        <v>626</v>
      </c>
      <c r="G91" s="351" t="s">
        <v>627</v>
      </c>
      <c r="H91" s="350" t="s">
        <v>1137</v>
      </c>
      <c r="I91" s="338" t="s">
        <v>474</v>
      </c>
      <c r="J91" s="338" t="s">
        <v>474</v>
      </c>
      <c r="K91" s="338" t="s">
        <v>474</v>
      </c>
      <c r="L91" s="338" t="s">
        <v>474</v>
      </c>
      <c r="M91" s="333" t="s">
        <v>239</v>
      </c>
      <c r="N91" s="333"/>
      <c r="O91" s="339">
        <v>6000</v>
      </c>
      <c r="P91" s="340" t="str">
        <f t="shared" si="210"/>
        <v>Muy Alta</v>
      </c>
      <c r="Q91" s="341">
        <f t="shared" si="211"/>
        <v>1</v>
      </c>
      <c r="R91" s="341" t="s">
        <v>190</v>
      </c>
      <c r="S91" s="341" t="str">
        <f ca="1">IF(NOT(ISERROR(MATCH(R91,'Tabla Impacto'!$B$221:$B$223,0))),'Tabla Impacto'!$F$223&amp;"Por favor no seleccionar los criterios de impacto(Afectación Económica o presupuestal y Pérdida Reputacional)",R91)</f>
        <v>El riesgo afecta la imagen de la entidad con algunos usuarios de relevancia frente al logro de los objetivos</v>
      </c>
      <c r="T91" s="340" t="str">
        <f ca="1">+IF(OR(S91='[1]Tabla Impacto'!$C$11,S91='[1]Tabla Impacto'!$D$11),"Leve",IF(OR(S91='[1]Tabla Impacto'!$C$12,S91='[1]Tabla Impacto'!$D$12),"Menor",IF(OR(S91='[1]Tabla Impacto'!$C$13,S91='[1]Tabla Impacto'!$D$13),"Moderado",IF(OR(S91='[1]Tabla Impacto'!$C$14,S91='[1]Tabla Impacto'!$D$14),"Mayor",IF(OR(S91='[1]Tabla Impacto'!$C$15,S91='[1]Tabla Impacto'!$D$15),"Catastrófico","")))))</f>
        <v>Moderado</v>
      </c>
      <c r="U91" s="341">
        <f t="shared" ref="U91" ca="1" si="238">IF(T91="","",IF(T91="Leve",0.2,IF(T91="Menor",0.4,IF(T91="Moderado",0.6,IF(T91="Mayor",0.8,IF(T91="Catastrófico",1,))))))</f>
        <v>0.6</v>
      </c>
      <c r="V91" s="327" t="str">
        <f t="shared" ref="V91" ca="1" si="239">IF(OR(AND(P91="Muy Baja",T91="Leve"),AND(P91="Muy Baja",T91="Menor"),AND(P91="Baja",T91="Leve")),"Bajo",IF(OR(AND(P91="Muy baja",T91="Moderado"),AND(P91="Baja",T91="Menor"),AND(P91="Baja",T91="Moderado"),AND(P91="Media",T91="Leve"),AND(P91="Media",T91="Menor"),AND(P91="Media",T91="Moderado"),AND(P91="Alta",T91="Leve"),AND(P91="Alta",T91="Menor")),"Moderado",IF(OR(AND(P91="Muy Baja",T91="Mayor"),AND(P91="Baja",T91="Mayor"),AND(P91="Media",T91="Mayor"),AND(P91="Alta",T91="Moderado"),AND(P91="Alta",T91="Mayor"),AND(P91="Muy Alta",T91="Leve"),AND(P91="Muy Alta",T91="Menor"),AND(P91="Muy Alta",T91="Moderado"),AND(P91="Muy Alta",T91="Mayor")),"Alto",IF(OR(AND(P91="Muy Baja",T91="Catastrófico"),AND(P91="Baja",T91="Catastrófico"),AND(P91="Media",T91="Catastrófico"),AND(P91="Alta",T91="Catastrófico"),AND(P91="Muy Alta",T91="Catastrófico")),"Extremo",""))))</f>
        <v>Alto</v>
      </c>
      <c r="W91" s="233">
        <v>1</v>
      </c>
      <c r="X91" s="207" t="s">
        <v>628</v>
      </c>
      <c r="Y91" s="230" t="str">
        <f t="shared" si="214"/>
        <v>Probabilidad</v>
      </c>
      <c r="Z91" s="185" t="s">
        <v>208</v>
      </c>
      <c r="AA91" s="185" t="s">
        <v>216</v>
      </c>
      <c r="AB91" s="186" t="str">
        <f t="shared" si="235"/>
        <v>40%</v>
      </c>
      <c r="AC91" s="185" t="s">
        <v>219</v>
      </c>
      <c r="AD91" s="185" t="s">
        <v>224</v>
      </c>
      <c r="AE91" s="185" t="s">
        <v>228</v>
      </c>
      <c r="AF91" s="187">
        <f t="shared" ref="AF91" si="240">IFERROR(IF(Y91="Probabilidad",(Q91-(+Q91*AB91)),IF(Y91="Impacto",Q91,"")),"")</f>
        <v>0.6</v>
      </c>
      <c r="AG91" s="188" t="str">
        <f t="shared" si="216"/>
        <v>Media</v>
      </c>
      <c r="AH91" s="186">
        <f t="shared" si="217"/>
        <v>0.6</v>
      </c>
      <c r="AI91" s="188" t="str">
        <f t="shared" ca="1" si="218"/>
        <v>Moderado</v>
      </c>
      <c r="AJ91" s="186">
        <f t="shared" ref="AJ91" ca="1" si="241">IFERROR(IF(Y91="Impacto",(U91-(+U91*AB91)),IF(Y91="Probabilidad",U91,"")),"")</f>
        <v>0.6</v>
      </c>
      <c r="AK91" s="189" t="str">
        <f t="shared" ca="1" si="220"/>
        <v>Moderado</v>
      </c>
      <c r="AL91" s="185" t="s">
        <v>255</v>
      </c>
      <c r="AM91" s="227"/>
      <c r="AN91" s="230"/>
      <c r="AO91" s="228"/>
      <c r="AP91" s="228"/>
      <c r="AQ91" s="227"/>
      <c r="AR91" s="229"/>
    </row>
    <row r="92" spans="1:44" s="191" customFormat="1" ht="156" customHeight="1" thickTop="1" thickBot="1" x14ac:dyDescent="0.3">
      <c r="A92" s="328"/>
      <c r="B92" s="345"/>
      <c r="C92" s="333"/>
      <c r="D92" s="335"/>
      <c r="E92" s="333"/>
      <c r="F92" s="351"/>
      <c r="G92" s="351"/>
      <c r="H92" s="350"/>
      <c r="I92" s="338"/>
      <c r="J92" s="338"/>
      <c r="K92" s="338"/>
      <c r="L92" s="338"/>
      <c r="M92" s="333"/>
      <c r="N92" s="333"/>
      <c r="O92" s="339"/>
      <c r="P92" s="340"/>
      <c r="Q92" s="341"/>
      <c r="R92" s="341"/>
      <c r="S92" s="341">
        <f ca="1">IF(NOT(ISERROR(MATCH(R92,_xlfn.ANCHORARRAY(H95),0))),#REF!&amp;"Por favor no seleccionar los criterios de impacto",R92)</f>
        <v>0</v>
      </c>
      <c r="T92" s="340"/>
      <c r="U92" s="341"/>
      <c r="V92" s="327"/>
      <c r="W92" s="233">
        <v>2</v>
      </c>
      <c r="X92" s="207" t="s">
        <v>629</v>
      </c>
      <c r="Y92" s="230" t="str">
        <f t="shared" si="214"/>
        <v>Probabilidad</v>
      </c>
      <c r="Z92" s="185" t="s">
        <v>208</v>
      </c>
      <c r="AA92" s="185" t="s">
        <v>216</v>
      </c>
      <c r="AB92" s="186" t="str">
        <f t="shared" si="235"/>
        <v>40%</v>
      </c>
      <c r="AC92" s="185" t="s">
        <v>219</v>
      </c>
      <c r="AD92" s="185" t="s">
        <v>224</v>
      </c>
      <c r="AE92" s="185" t="s">
        <v>228</v>
      </c>
      <c r="AF92" s="187">
        <f t="shared" ref="AF92" si="242">IFERROR(IF(AND(Y91="Probabilidad",Y92="Probabilidad"),(AH91-(+AH91*AB92)),IF(Y92="Probabilidad",(Q91-(+Q91*AB92)),IF(Y92="Impacto",AH91,""))),"")</f>
        <v>0.36</v>
      </c>
      <c r="AG92" s="188" t="str">
        <f t="shared" si="216"/>
        <v>Baja</v>
      </c>
      <c r="AH92" s="186">
        <f t="shared" si="217"/>
        <v>0.36</v>
      </c>
      <c r="AI92" s="188" t="str">
        <f t="shared" ca="1" si="218"/>
        <v>Moderado</v>
      </c>
      <c r="AJ92" s="186">
        <f t="shared" ref="AJ92" ca="1" si="243">IFERROR(IF(AND(Y91="Impacto",Y92="Impacto"),(AJ91-(+AJ91*AB92)),IF(Y92="Impacto",(U91-(+U91*AB92)),IF(Y92="Probabilidad",AJ91,""))),"")</f>
        <v>0.6</v>
      </c>
      <c r="AK92" s="189" t="str">
        <f t="shared" ca="1" si="220"/>
        <v>Moderado</v>
      </c>
      <c r="AL92" s="185" t="s">
        <v>255</v>
      </c>
      <c r="AM92" s="227"/>
      <c r="AN92" s="230"/>
      <c r="AO92" s="228"/>
      <c r="AP92" s="228"/>
      <c r="AQ92" s="227"/>
      <c r="AR92" s="229"/>
    </row>
    <row r="93" spans="1:44" s="191" customFormat="1" ht="252.75" customHeight="1" thickTop="1" thickBot="1" x14ac:dyDescent="0.3">
      <c r="A93" s="328">
        <v>36</v>
      </c>
      <c r="B93" s="345" t="s">
        <v>630</v>
      </c>
      <c r="C93" s="333" t="s">
        <v>272</v>
      </c>
      <c r="D93" s="335" t="s">
        <v>631</v>
      </c>
      <c r="E93" s="333" t="s">
        <v>240</v>
      </c>
      <c r="F93" s="351" t="s">
        <v>632</v>
      </c>
      <c r="G93" s="351" t="s">
        <v>633</v>
      </c>
      <c r="H93" s="350" t="s">
        <v>1138</v>
      </c>
      <c r="I93" s="338" t="s">
        <v>474</v>
      </c>
      <c r="J93" s="338" t="s">
        <v>474</v>
      </c>
      <c r="K93" s="338" t="s">
        <v>474</v>
      </c>
      <c r="L93" s="338" t="s">
        <v>474</v>
      </c>
      <c r="M93" s="333" t="s">
        <v>239</v>
      </c>
      <c r="N93" s="333"/>
      <c r="O93" s="339">
        <v>5001</v>
      </c>
      <c r="P93" s="340" t="str">
        <f t="shared" si="210"/>
        <v>Muy Alta</v>
      </c>
      <c r="Q93" s="341">
        <f t="shared" si="211"/>
        <v>1</v>
      </c>
      <c r="R93" s="341" t="s">
        <v>190</v>
      </c>
      <c r="S93" s="341" t="str">
        <f ca="1">IF(NOT(ISERROR(MATCH(R93,'Tabla Impacto'!$B$221:$B$223,0))),'Tabla Impacto'!$F$223&amp;"Por favor no seleccionar los criterios de impacto(Afectación Económica o presupuestal y Pérdida Reputacional)",R93)</f>
        <v>El riesgo afecta la imagen de la entidad con algunos usuarios de relevancia frente al logro de los objetivos</v>
      </c>
      <c r="T93" s="340" t="str">
        <f ca="1">+IF(OR(S93='[1]Tabla Impacto'!$C$11,S93='[1]Tabla Impacto'!$D$11),"Leve",IF(OR(S93='[1]Tabla Impacto'!$C$12,S93='[1]Tabla Impacto'!$D$12),"Menor",IF(OR(S93='[1]Tabla Impacto'!$C$13,S93='[1]Tabla Impacto'!$D$13),"Moderado",IF(OR(S93='[1]Tabla Impacto'!$C$14,S93='[1]Tabla Impacto'!$D$14),"Mayor",IF(OR(S93='[1]Tabla Impacto'!$C$15,S93='[1]Tabla Impacto'!$D$15),"Catastrófico","")))))</f>
        <v>Moderado</v>
      </c>
      <c r="U93" s="341">
        <f t="shared" ref="U93" ca="1" si="244">IF(T93="","",IF(T93="Leve",0.2,IF(T93="Menor",0.4,IF(T93="Moderado",0.6,IF(T93="Mayor",0.8,IF(T93="Catastrófico",1,))))))</f>
        <v>0.6</v>
      </c>
      <c r="V93" s="327" t="str">
        <f t="shared" ref="V93" ca="1" si="245">IF(OR(AND(P93="Muy Baja",T93="Leve"),AND(P93="Muy Baja",T93="Menor"),AND(P93="Baja",T93="Leve")),"Bajo",IF(OR(AND(P93="Muy baja",T93="Moderado"),AND(P93="Baja",T93="Menor"),AND(P93="Baja",T93="Moderado"),AND(P93="Media",T93="Leve"),AND(P93="Media",T93="Menor"),AND(P93="Media",T93="Moderado"),AND(P93="Alta",T93="Leve"),AND(P93="Alta",T93="Menor")),"Moderado",IF(OR(AND(P93="Muy Baja",T93="Mayor"),AND(P93="Baja",T93="Mayor"),AND(P93="Media",T93="Mayor"),AND(P93="Alta",T93="Moderado"),AND(P93="Alta",T93="Mayor"),AND(P93="Muy Alta",T93="Leve"),AND(P93="Muy Alta",T93="Menor"),AND(P93="Muy Alta",T93="Moderado"),AND(P93="Muy Alta",T93="Mayor")),"Alto",IF(OR(AND(P93="Muy Baja",T93="Catastrófico"),AND(P93="Baja",T93="Catastrófico"),AND(P93="Media",T93="Catastrófico"),AND(P93="Alta",T93="Catastrófico"),AND(P93="Muy Alta",T93="Catastrófico")),"Extremo",""))))</f>
        <v>Alto</v>
      </c>
      <c r="W93" s="233">
        <v>1</v>
      </c>
      <c r="X93" s="207" t="s">
        <v>1034</v>
      </c>
      <c r="Y93" s="230" t="str">
        <f t="shared" si="214"/>
        <v>Probabilidad</v>
      </c>
      <c r="Z93" s="185" t="s">
        <v>208</v>
      </c>
      <c r="AA93" s="185" t="s">
        <v>216</v>
      </c>
      <c r="AB93" s="186" t="str">
        <f t="shared" si="235"/>
        <v>40%</v>
      </c>
      <c r="AC93" s="185" t="s">
        <v>219</v>
      </c>
      <c r="AD93" s="185" t="s">
        <v>224</v>
      </c>
      <c r="AE93" s="185" t="s">
        <v>228</v>
      </c>
      <c r="AF93" s="187">
        <f t="shared" ref="AF93" si="246">IFERROR(IF(Y93="Probabilidad",(Q93-(+Q93*AB93)),IF(Y93="Impacto",Q93,"")),"")</f>
        <v>0.6</v>
      </c>
      <c r="AG93" s="188" t="str">
        <f t="shared" si="216"/>
        <v>Media</v>
      </c>
      <c r="AH93" s="186">
        <f t="shared" si="217"/>
        <v>0.6</v>
      </c>
      <c r="AI93" s="188" t="str">
        <f t="shared" ca="1" si="218"/>
        <v>Moderado</v>
      </c>
      <c r="AJ93" s="186">
        <f t="shared" ref="AJ93" ca="1" si="247">IFERROR(IF(Y93="Impacto",(U93-(+U93*AB93)),IF(Y93="Probabilidad",U93,"")),"")</f>
        <v>0.6</v>
      </c>
      <c r="AK93" s="189" t="str">
        <f t="shared" ca="1" si="220"/>
        <v>Moderado</v>
      </c>
      <c r="AL93" s="185" t="s">
        <v>255</v>
      </c>
      <c r="AM93" s="227"/>
      <c r="AN93" s="230"/>
      <c r="AO93" s="228"/>
      <c r="AP93" s="228"/>
      <c r="AQ93" s="227"/>
      <c r="AR93" s="229"/>
    </row>
    <row r="94" spans="1:44" s="191" customFormat="1" ht="218.25" customHeight="1" thickTop="1" thickBot="1" x14ac:dyDescent="0.3">
      <c r="A94" s="328"/>
      <c r="B94" s="345"/>
      <c r="C94" s="333"/>
      <c r="D94" s="335"/>
      <c r="E94" s="333"/>
      <c r="F94" s="351"/>
      <c r="G94" s="351"/>
      <c r="H94" s="350"/>
      <c r="I94" s="338"/>
      <c r="J94" s="338"/>
      <c r="K94" s="338"/>
      <c r="L94" s="338"/>
      <c r="M94" s="333"/>
      <c r="N94" s="333"/>
      <c r="O94" s="339"/>
      <c r="P94" s="340"/>
      <c r="Q94" s="341"/>
      <c r="R94" s="341"/>
      <c r="S94" s="341">
        <f ca="1">IF(NOT(ISERROR(MATCH(R94,_xlfn.ANCHORARRAY(H96),0))),#REF!&amp;"Por favor no seleccionar los criterios de impacto",R94)</f>
        <v>0</v>
      </c>
      <c r="T94" s="340"/>
      <c r="U94" s="341"/>
      <c r="V94" s="327"/>
      <c r="W94" s="233">
        <v>2</v>
      </c>
      <c r="X94" s="207" t="s">
        <v>634</v>
      </c>
      <c r="Y94" s="230" t="str">
        <f t="shared" si="214"/>
        <v>Probabilidad</v>
      </c>
      <c r="Z94" s="185" t="s">
        <v>208</v>
      </c>
      <c r="AA94" s="185" t="s">
        <v>216</v>
      </c>
      <c r="AB94" s="186" t="str">
        <f t="shared" si="235"/>
        <v>40%</v>
      </c>
      <c r="AC94" s="185" t="s">
        <v>219</v>
      </c>
      <c r="AD94" s="185" t="s">
        <v>224</v>
      </c>
      <c r="AE94" s="185" t="s">
        <v>228</v>
      </c>
      <c r="AF94" s="187">
        <f t="shared" ref="AF94" si="248">IFERROR(IF(AND(Y93="Probabilidad",Y94="Probabilidad"),(AH93-(+AH93*AB94)),IF(Y94="Probabilidad",(Q93-(+Q93*AB94)),IF(Y94="Impacto",AH93,""))),"")</f>
        <v>0.36</v>
      </c>
      <c r="AG94" s="188" t="str">
        <f t="shared" si="216"/>
        <v>Baja</v>
      </c>
      <c r="AH94" s="186">
        <f t="shared" si="217"/>
        <v>0.36</v>
      </c>
      <c r="AI94" s="188" t="str">
        <f t="shared" ca="1" si="218"/>
        <v>Moderado</v>
      </c>
      <c r="AJ94" s="186">
        <f t="shared" ref="AJ94" ca="1" si="249">IFERROR(IF(AND(Y93="Impacto",Y94="Impacto"),(AJ93-(+AJ93*AB94)),IF(Y94="Impacto",(U93-(+U93*AB94)),IF(Y94="Probabilidad",AJ93,""))),"")</f>
        <v>0.6</v>
      </c>
      <c r="AK94" s="189" t="str">
        <f t="shared" ca="1" si="220"/>
        <v>Moderado</v>
      </c>
      <c r="AL94" s="185" t="s">
        <v>255</v>
      </c>
      <c r="AM94" s="227"/>
      <c r="AN94" s="230"/>
      <c r="AO94" s="228"/>
      <c r="AP94" s="228"/>
      <c r="AQ94" s="227"/>
      <c r="AR94" s="229"/>
    </row>
    <row r="95" spans="1:44" s="191" customFormat="1" ht="229.5" customHeight="1" thickTop="1" thickBot="1" x14ac:dyDescent="0.3">
      <c r="A95" s="226">
        <v>37</v>
      </c>
      <c r="B95" s="242" t="s">
        <v>635</v>
      </c>
      <c r="C95" s="227" t="s">
        <v>272</v>
      </c>
      <c r="D95" s="243" t="s">
        <v>631</v>
      </c>
      <c r="E95" s="227" t="s">
        <v>240</v>
      </c>
      <c r="F95" s="234" t="s">
        <v>636</v>
      </c>
      <c r="G95" s="234" t="s">
        <v>637</v>
      </c>
      <c r="H95" s="251" t="s">
        <v>1139</v>
      </c>
      <c r="I95" s="231" t="s">
        <v>474</v>
      </c>
      <c r="J95" s="231" t="s">
        <v>474</v>
      </c>
      <c r="K95" s="231" t="s">
        <v>474</v>
      </c>
      <c r="L95" s="231" t="s">
        <v>474</v>
      </c>
      <c r="M95" s="227" t="s">
        <v>241</v>
      </c>
      <c r="N95" s="227"/>
      <c r="O95" s="230">
        <v>5001</v>
      </c>
      <c r="P95" s="232" t="str">
        <f t="shared" si="210"/>
        <v>Muy Alta</v>
      </c>
      <c r="Q95" s="225">
        <f t="shared" si="211"/>
        <v>1</v>
      </c>
      <c r="R95" s="225" t="s">
        <v>190</v>
      </c>
      <c r="S95" s="225" t="str">
        <f ca="1">IF(NOT(ISERROR(MATCH(R95,'Tabla Impacto'!$B$221:$B$223,0))),'Tabla Impacto'!$F$223&amp;"Por favor no seleccionar los criterios de impacto(Afectación Económica o presupuestal y Pérdida Reputacional)",R95)</f>
        <v>El riesgo afecta la imagen de la entidad con algunos usuarios de relevancia frente al logro de los objetivos</v>
      </c>
      <c r="T95" s="232" t="str">
        <f ca="1">+IF(OR(S95='[1]Tabla Impacto'!$C$11,S95='[1]Tabla Impacto'!$D$11),"Leve",IF(OR(S95='[1]Tabla Impacto'!$C$12,S95='[1]Tabla Impacto'!$D$12),"Menor",IF(OR(S95='[1]Tabla Impacto'!$C$13,S95='[1]Tabla Impacto'!$D$13),"Moderado",IF(OR(S95='[1]Tabla Impacto'!$C$14,S95='[1]Tabla Impacto'!$D$14),"Mayor",IF(OR(S95='[1]Tabla Impacto'!$C$15,S95='[1]Tabla Impacto'!$D$15),"Catastrófico","")))))</f>
        <v>Moderado</v>
      </c>
      <c r="U95" s="225">
        <f t="shared" ref="U95" ca="1" si="250">IF(T95="","",IF(T95="Leve",0.2,IF(T95="Menor",0.4,IF(T95="Moderado",0.6,IF(T95="Mayor",0.8,IF(T95="Catastrófico",1,))))))</f>
        <v>0.6</v>
      </c>
      <c r="V95" s="233" t="str">
        <f t="shared" ref="V95" ca="1" si="251">IF(OR(AND(P95="Muy Baja",T95="Leve"),AND(P95="Muy Baja",T95="Menor"),AND(P95="Baja",T95="Leve")),"Bajo",IF(OR(AND(P95="Muy baja",T95="Moderado"),AND(P95="Baja",T95="Menor"),AND(P95="Baja",T95="Moderado"),AND(P95="Media",T95="Leve"),AND(P95="Media",T95="Menor"),AND(P95="Media",T95="Moderado"),AND(P95="Alta",T95="Leve"),AND(P95="Alta",T95="Menor")),"Moderado",IF(OR(AND(P95="Muy Baja",T95="Mayor"),AND(P95="Baja",T95="Mayor"),AND(P95="Media",T95="Mayor"),AND(P95="Alta",T95="Moderado"),AND(P95="Alta",T95="Mayor"),AND(P95="Muy Alta",T95="Leve"),AND(P95="Muy Alta",T95="Menor"),AND(P95="Muy Alta",T95="Moderado"),AND(P95="Muy Alta",T95="Mayor")),"Alto",IF(OR(AND(P95="Muy Baja",T95="Catastrófico"),AND(P95="Baja",T95="Catastrófico"),AND(P95="Media",T95="Catastrófico"),AND(P95="Alta",T95="Catastrófico"),AND(P95="Muy Alta",T95="Catastrófico")),"Extremo",""))))</f>
        <v>Alto</v>
      </c>
      <c r="W95" s="233">
        <v>1</v>
      </c>
      <c r="X95" s="207" t="s">
        <v>1035</v>
      </c>
      <c r="Y95" s="230" t="str">
        <f t="shared" si="214"/>
        <v>Probabilidad</v>
      </c>
      <c r="Z95" s="185" t="s">
        <v>208</v>
      </c>
      <c r="AA95" s="185" t="s">
        <v>216</v>
      </c>
      <c r="AB95" s="186" t="str">
        <f t="shared" si="235"/>
        <v>40%</v>
      </c>
      <c r="AC95" s="185" t="s">
        <v>219</v>
      </c>
      <c r="AD95" s="185" t="s">
        <v>224</v>
      </c>
      <c r="AE95" s="185" t="s">
        <v>228</v>
      </c>
      <c r="AF95" s="187">
        <f t="shared" ref="AF95" si="252">IFERROR(IF(Y95="Probabilidad",(Q95-(+Q95*AB95)),IF(Y95="Impacto",Q95,"")),"")</f>
        <v>0.6</v>
      </c>
      <c r="AG95" s="188" t="str">
        <f t="shared" si="216"/>
        <v>Media</v>
      </c>
      <c r="AH95" s="186">
        <f t="shared" si="217"/>
        <v>0.6</v>
      </c>
      <c r="AI95" s="188" t="str">
        <f t="shared" ca="1" si="218"/>
        <v>Moderado</v>
      </c>
      <c r="AJ95" s="186">
        <f t="shared" ref="AJ95" ca="1" si="253">IFERROR(IF(Y95="Impacto",(U95-(+U95*AB95)),IF(Y95="Probabilidad",U95,"")),"")</f>
        <v>0.6</v>
      </c>
      <c r="AK95" s="189" t="str">
        <f t="shared" ca="1" si="220"/>
        <v>Moderado</v>
      </c>
      <c r="AL95" s="185" t="s">
        <v>255</v>
      </c>
      <c r="AM95" s="227"/>
      <c r="AN95" s="230"/>
      <c r="AO95" s="228"/>
      <c r="AP95" s="228"/>
      <c r="AQ95" s="227"/>
      <c r="AR95" s="229"/>
    </row>
    <row r="96" spans="1:44" s="191" customFormat="1" ht="279" customHeight="1" thickTop="1" thickBot="1" x14ac:dyDescent="0.3">
      <c r="A96" s="226">
        <v>38</v>
      </c>
      <c r="B96" s="242" t="s">
        <v>638</v>
      </c>
      <c r="C96" s="227" t="s">
        <v>273</v>
      </c>
      <c r="D96" s="244" t="s">
        <v>639</v>
      </c>
      <c r="E96" s="227" t="s">
        <v>240</v>
      </c>
      <c r="F96" s="234" t="s">
        <v>640</v>
      </c>
      <c r="G96" s="234" t="s">
        <v>641</v>
      </c>
      <c r="H96" s="251" t="s">
        <v>1140</v>
      </c>
      <c r="I96" s="231" t="s">
        <v>474</v>
      </c>
      <c r="J96" s="231" t="s">
        <v>474</v>
      </c>
      <c r="K96" s="231" t="s">
        <v>474</v>
      </c>
      <c r="L96" s="231" t="s">
        <v>474</v>
      </c>
      <c r="M96" s="227" t="s">
        <v>239</v>
      </c>
      <c r="N96" s="227"/>
      <c r="O96" s="230">
        <v>11</v>
      </c>
      <c r="P96" s="232" t="str">
        <f t="shared" si="210"/>
        <v>Baja</v>
      </c>
      <c r="Q96" s="225">
        <f t="shared" si="211"/>
        <v>0.4</v>
      </c>
      <c r="R96" s="225" t="s">
        <v>190</v>
      </c>
      <c r="S96" s="225" t="str">
        <f ca="1">IF(NOT(ISERROR(MATCH(R96,'Tabla Impacto'!$B$221:$B$223,0))),'Tabla Impacto'!$F$223&amp;"Por favor no seleccionar los criterios de impacto(Afectación Económica o presupuestal y Pérdida Reputacional)",R96)</f>
        <v>El riesgo afecta la imagen de la entidad con algunos usuarios de relevancia frente al logro de los objetivos</v>
      </c>
      <c r="T96" s="232" t="str">
        <f ca="1">+IF(OR(S96='[1]Tabla Impacto'!$C$11,S96='[1]Tabla Impacto'!$D$11),"Leve",IF(OR(S96='[1]Tabla Impacto'!$C$12,S96='[1]Tabla Impacto'!$D$12),"Menor",IF(OR(S96='[1]Tabla Impacto'!$C$13,S96='[1]Tabla Impacto'!$D$13),"Moderado",IF(OR(S96='[1]Tabla Impacto'!$C$14,S96='[1]Tabla Impacto'!$D$14),"Mayor",IF(OR(S96='[1]Tabla Impacto'!$C$15,S96='[1]Tabla Impacto'!$D$15),"Catastrófico","")))))</f>
        <v>Moderado</v>
      </c>
      <c r="U96" s="225">
        <f t="shared" ref="U96" ca="1" si="254">IF(T96="","",IF(T96="Leve",0.2,IF(T96="Menor",0.4,IF(T96="Moderado",0.6,IF(T96="Mayor",0.8,IF(T96="Catastrófico",1,))))))</f>
        <v>0.6</v>
      </c>
      <c r="V96" s="233" t="str">
        <f t="shared" ref="V96" ca="1" si="255">IF(OR(AND(P96="Muy Baja",T96="Leve"),AND(P96="Muy Baja",T96="Menor"),AND(P96="Baja",T96="Leve")),"Bajo",IF(OR(AND(P96="Muy baja",T96="Moderado"),AND(P96="Baja",T96="Menor"),AND(P96="Baja",T96="Moderado"),AND(P96="Media",T96="Leve"),AND(P96="Media",T96="Menor"),AND(P96="Media",T96="Moderado"),AND(P96="Alta",T96="Leve"),AND(P96="Alta",T96="Menor")),"Moderado",IF(OR(AND(P96="Muy Baja",T96="Mayor"),AND(P96="Baja",T96="Mayor"),AND(P96="Media",T96="Mayor"),AND(P96="Alta",T96="Moderado"),AND(P96="Alta",T96="Mayor"),AND(P96="Muy Alta",T96="Leve"),AND(P96="Muy Alta",T96="Menor"),AND(P96="Muy Alta",T96="Moderado"),AND(P96="Muy Alta",T96="Mayor")),"Alto",IF(OR(AND(P96="Muy Baja",T96="Catastrófico"),AND(P96="Baja",T96="Catastrófico"),AND(P96="Media",T96="Catastrófico"),AND(P96="Alta",T96="Catastrófico"),AND(P96="Muy Alta",T96="Catastrófico")),"Extremo",""))))</f>
        <v>Moderado</v>
      </c>
      <c r="W96" s="233">
        <v>1</v>
      </c>
      <c r="X96" s="207" t="s">
        <v>642</v>
      </c>
      <c r="Y96" s="230" t="str">
        <f t="shared" si="214"/>
        <v>Probabilidad</v>
      </c>
      <c r="Z96" s="185" t="s">
        <v>208</v>
      </c>
      <c r="AA96" s="185" t="s">
        <v>216</v>
      </c>
      <c r="AB96" s="186" t="str">
        <f t="shared" si="235"/>
        <v>40%</v>
      </c>
      <c r="AC96" s="185" t="s">
        <v>219</v>
      </c>
      <c r="AD96" s="185" t="s">
        <v>224</v>
      </c>
      <c r="AE96" s="185" t="s">
        <v>228</v>
      </c>
      <c r="AF96" s="187">
        <f t="shared" ref="AF96" si="256">IFERROR(IF(Y96="Probabilidad",(Q96-(+Q96*AB96)),IF(Y96="Impacto",Q96,"")),"")</f>
        <v>0.24</v>
      </c>
      <c r="AG96" s="188" t="str">
        <f t="shared" si="216"/>
        <v>Baja</v>
      </c>
      <c r="AH96" s="186">
        <f t="shared" si="217"/>
        <v>0.24</v>
      </c>
      <c r="AI96" s="188" t="str">
        <f t="shared" ca="1" si="218"/>
        <v>Moderado</v>
      </c>
      <c r="AJ96" s="186">
        <f t="shared" ref="AJ96" ca="1" si="257">IFERROR(IF(Y96="Impacto",(U96-(+U96*AB96)),IF(Y96="Probabilidad",U96,"")),"")</f>
        <v>0.6</v>
      </c>
      <c r="AK96" s="189" t="str">
        <f t="shared" ca="1" si="220"/>
        <v>Moderado</v>
      </c>
      <c r="AL96" s="185" t="s">
        <v>255</v>
      </c>
      <c r="AM96" s="227"/>
      <c r="AN96" s="230"/>
      <c r="AO96" s="228"/>
      <c r="AP96" s="228"/>
      <c r="AQ96" s="227"/>
      <c r="AR96" s="229"/>
    </row>
    <row r="97" spans="1:44" s="191" customFormat="1" ht="148.5" customHeight="1" thickTop="1" thickBot="1" x14ac:dyDescent="0.3">
      <c r="A97" s="328">
        <v>39</v>
      </c>
      <c r="B97" s="345" t="s">
        <v>644</v>
      </c>
      <c r="C97" s="333" t="s">
        <v>273</v>
      </c>
      <c r="D97" s="333" t="s">
        <v>639</v>
      </c>
      <c r="E97" s="333" t="s">
        <v>236</v>
      </c>
      <c r="F97" s="351" t="s">
        <v>645</v>
      </c>
      <c r="G97" s="351" t="s">
        <v>646</v>
      </c>
      <c r="H97" s="350" t="s">
        <v>1141</v>
      </c>
      <c r="I97" s="338" t="s">
        <v>474</v>
      </c>
      <c r="J97" s="338" t="s">
        <v>474</v>
      </c>
      <c r="K97" s="338" t="s">
        <v>474</v>
      </c>
      <c r="L97" s="338" t="s">
        <v>474</v>
      </c>
      <c r="M97" s="333" t="s">
        <v>246</v>
      </c>
      <c r="N97" s="333"/>
      <c r="O97" s="339">
        <v>4</v>
      </c>
      <c r="P97" s="340" t="str">
        <f t="shared" si="210"/>
        <v>Baja</v>
      </c>
      <c r="Q97" s="341">
        <f t="shared" si="211"/>
        <v>0.4</v>
      </c>
      <c r="R97" s="341" t="s">
        <v>189</v>
      </c>
      <c r="S97" s="341" t="str">
        <f ca="1">IF(NOT(ISERROR(MATCH(R97,'Tabla Impacto'!$B$221:$B$223,0))),'Tabla Impacto'!$F$223&amp;"Por favor no seleccionar los criterios de impacto(Afectación Económica o presupuestal y Pérdida Reputacional)",R97)</f>
        <v xml:space="preserve">Entre 50 y 100 SMLMV </v>
      </c>
      <c r="T97" s="340" t="str">
        <f ca="1">+IF(OR(S97='[1]Tabla Impacto'!$C$11,S97='[1]Tabla Impacto'!$D$11),"Leve",IF(OR(S97='[1]Tabla Impacto'!$C$12,S97='[1]Tabla Impacto'!$D$12),"Menor",IF(OR(S97='[1]Tabla Impacto'!$C$13,S97='[1]Tabla Impacto'!$D$13),"Moderado",IF(OR(S97='[1]Tabla Impacto'!$C$14,S97='[1]Tabla Impacto'!$D$14),"Mayor",IF(OR(S97='[1]Tabla Impacto'!$C$15,S97='[1]Tabla Impacto'!$D$15),"Catastrófico","")))))</f>
        <v>Moderado</v>
      </c>
      <c r="U97" s="341">
        <f t="shared" ref="U97" ca="1" si="258">IF(T97="","",IF(T97="Leve",0.2,IF(T97="Menor",0.4,IF(T97="Moderado",0.6,IF(T97="Mayor",0.8,IF(T97="Catastrófico",1,))))))</f>
        <v>0.6</v>
      </c>
      <c r="V97" s="327" t="str">
        <f t="shared" ref="V97" ca="1" si="259">IF(OR(AND(P97="Muy Baja",T97="Leve"),AND(P97="Muy Baja",T97="Menor"),AND(P97="Baja",T97="Leve")),"Bajo",IF(OR(AND(P97="Muy baja",T97="Moderado"),AND(P97="Baja",T97="Menor"),AND(P97="Baja",T97="Moderado"),AND(P97="Media",T97="Leve"),AND(P97="Media",T97="Menor"),AND(P97="Media",T97="Moderado"),AND(P97="Alta",T97="Leve"),AND(P97="Alta",T97="Menor")),"Moderado",IF(OR(AND(P97="Muy Baja",T97="Mayor"),AND(P97="Baja",T97="Mayor"),AND(P97="Media",T97="Mayor"),AND(P97="Alta",T97="Moderado"),AND(P97="Alta",T97="Mayor"),AND(P97="Muy Alta",T97="Leve"),AND(P97="Muy Alta",T97="Menor"),AND(P97="Muy Alta",T97="Moderado"),AND(P97="Muy Alta",T97="Mayor")),"Alto",IF(OR(AND(P97="Muy Baja",T97="Catastrófico"),AND(P97="Baja",T97="Catastrófico"),AND(P97="Media",T97="Catastrófico"),AND(P97="Alta",T97="Catastrófico"),AND(P97="Muy Alta",T97="Catastrófico")),"Extremo",""))))</f>
        <v>Moderado</v>
      </c>
      <c r="W97" s="233">
        <v>1</v>
      </c>
      <c r="X97" s="207" t="s">
        <v>1036</v>
      </c>
      <c r="Y97" s="230" t="str">
        <f t="shared" si="214"/>
        <v>Probabilidad</v>
      </c>
      <c r="Z97" s="185" t="s">
        <v>208</v>
      </c>
      <c r="AA97" s="185" t="s">
        <v>216</v>
      </c>
      <c r="AB97" s="186" t="str">
        <f t="shared" si="235"/>
        <v>40%</v>
      </c>
      <c r="AC97" s="185" t="s">
        <v>219</v>
      </c>
      <c r="AD97" s="185" t="s">
        <v>224</v>
      </c>
      <c r="AE97" s="185" t="s">
        <v>228</v>
      </c>
      <c r="AF97" s="187">
        <f t="shared" ref="AF97" si="260">IFERROR(IF(Y97="Probabilidad",(Q97-(+Q97*AB97)),IF(Y97="Impacto",Q97,"")),"")</f>
        <v>0.24</v>
      </c>
      <c r="AG97" s="188" t="str">
        <f t="shared" si="216"/>
        <v>Baja</v>
      </c>
      <c r="AH97" s="186">
        <f t="shared" si="217"/>
        <v>0.24</v>
      </c>
      <c r="AI97" s="188" t="str">
        <f t="shared" ca="1" si="218"/>
        <v>Moderado</v>
      </c>
      <c r="AJ97" s="186">
        <f t="shared" ref="AJ97" ca="1" si="261">IFERROR(IF(Y97="Impacto",(U97-(+U97*AB97)),IF(Y97="Probabilidad",U97,"")),"")</f>
        <v>0.6</v>
      </c>
      <c r="AK97" s="189" t="str">
        <f t="shared" ca="1" si="220"/>
        <v>Moderado</v>
      </c>
      <c r="AL97" s="185" t="s">
        <v>255</v>
      </c>
      <c r="AM97" s="227"/>
      <c r="AN97" s="230"/>
      <c r="AO97" s="228"/>
      <c r="AP97" s="228"/>
      <c r="AQ97" s="227"/>
      <c r="AR97" s="229"/>
    </row>
    <row r="98" spans="1:44" s="191" customFormat="1" ht="148.5" customHeight="1" thickTop="1" thickBot="1" x14ac:dyDescent="0.3">
      <c r="A98" s="328"/>
      <c r="B98" s="345"/>
      <c r="C98" s="333"/>
      <c r="D98" s="333"/>
      <c r="E98" s="333"/>
      <c r="F98" s="351"/>
      <c r="G98" s="351"/>
      <c r="H98" s="350"/>
      <c r="I98" s="338"/>
      <c r="J98" s="338"/>
      <c r="K98" s="338"/>
      <c r="L98" s="338"/>
      <c r="M98" s="333"/>
      <c r="N98" s="333"/>
      <c r="O98" s="339"/>
      <c r="P98" s="340"/>
      <c r="Q98" s="341"/>
      <c r="R98" s="341"/>
      <c r="S98" s="341">
        <f ca="1">IF(NOT(ISERROR(MATCH(R98,_xlfn.ANCHORARRAY(H102),0))),#REF!&amp;"Por favor no seleccionar los criterios de impacto",R98)</f>
        <v>0</v>
      </c>
      <c r="T98" s="340"/>
      <c r="U98" s="341"/>
      <c r="V98" s="327"/>
      <c r="W98" s="233">
        <v>2</v>
      </c>
      <c r="X98" s="207" t="s">
        <v>643</v>
      </c>
      <c r="Y98" s="230" t="str">
        <f t="shared" si="214"/>
        <v>Probabilidad</v>
      </c>
      <c r="Z98" s="185" t="s">
        <v>208</v>
      </c>
      <c r="AA98" s="185" t="s">
        <v>216</v>
      </c>
      <c r="AB98" s="186" t="str">
        <f t="shared" si="235"/>
        <v>40%</v>
      </c>
      <c r="AC98" s="185" t="s">
        <v>219</v>
      </c>
      <c r="AD98" s="185" t="s">
        <v>224</v>
      </c>
      <c r="AE98" s="185" t="s">
        <v>228</v>
      </c>
      <c r="AF98" s="187">
        <f t="shared" ref="AF98" si="262">IFERROR(IF(AND(Y97="Probabilidad",Y98="Probabilidad"),(AH97-(+AH97*AB98)),IF(Y98="Probabilidad",(Q97-(+Q97*AB98)),IF(Y98="Impacto",AH97,""))),"")</f>
        <v>0.14399999999999999</v>
      </c>
      <c r="AG98" s="188" t="str">
        <f t="shared" si="216"/>
        <v>Muy Baja</v>
      </c>
      <c r="AH98" s="186">
        <f t="shared" si="217"/>
        <v>0.14399999999999999</v>
      </c>
      <c r="AI98" s="188" t="str">
        <f t="shared" ca="1" si="218"/>
        <v>Moderado</v>
      </c>
      <c r="AJ98" s="186">
        <f t="shared" ref="AJ98" ca="1" si="263">IFERROR(IF(AND(Y97="Impacto",Y98="Impacto"),(AJ97-(+AJ97*AB98)),IF(Y98="Impacto",(U97-(+U97*AB98)),IF(Y98="Probabilidad",AJ97,""))),"")</f>
        <v>0.6</v>
      </c>
      <c r="AK98" s="189" t="str">
        <f t="shared" ca="1" si="220"/>
        <v>Moderado</v>
      </c>
      <c r="AL98" s="185" t="s">
        <v>255</v>
      </c>
      <c r="AM98" s="227"/>
      <c r="AN98" s="230"/>
      <c r="AO98" s="228"/>
      <c r="AP98" s="228"/>
      <c r="AQ98" s="227"/>
      <c r="AR98" s="229"/>
    </row>
    <row r="99" spans="1:44" s="191" customFormat="1" ht="133.5" customHeight="1" thickTop="1" thickBot="1" x14ac:dyDescent="0.3">
      <c r="A99" s="421">
        <v>40</v>
      </c>
      <c r="B99" s="423" t="s">
        <v>647</v>
      </c>
      <c r="C99" s="330" t="s">
        <v>273</v>
      </c>
      <c r="D99" s="330" t="s">
        <v>978</v>
      </c>
      <c r="E99" s="330" t="s">
        <v>238</v>
      </c>
      <c r="F99" s="330" t="s">
        <v>648</v>
      </c>
      <c r="G99" s="330" t="s">
        <v>649</v>
      </c>
      <c r="H99" s="425" t="s">
        <v>1142</v>
      </c>
      <c r="I99" s="427" t="s">
        <v>474</v>
      </c>
      <c r="J99" s="427" t="s">
        <v>474</v>
      </c>
      <c r="K99" s="427" t="s">
        <v>474</v>
      </c>
      <c r="L99" s="427" t="s">
        <v>474</v>
      </c>
      <c r="M99" s="330" t="s">
        <v>239</v>
      </c>
      <c r="N99" s="330"/>
      <c r="O99" s="429">
        <v>4</v>
      </c>
      <c r="P99" s="367" t="str">
        <f t="shared" ref="P99:P113" si="264">IF(O99&lt;=0,"",IF(O99&lt;=2,"Muy Baja",IF(O99&lt;=24,"Baja",IF(O99&lt;=500,"Media",IF(O99&lt;=5000,"Alta","Muy Alta")))))</f>
        <v>Baja</v>
      </c>
      <c r="Q99" s="365">
        <f t="shared" ref="Q99:Q113" si="265">IF(P99="","",IF(P99="Muy Baja",0.2,IF(P99="Baja",0.4,IF(P99="Media",0.6,IF(P99="Alta",0.8,IF(P99="Muy Alta",1,))))))</f>
        <v>0.4</v>
      </c>
      <c r="R99" s="365" t="s">
        <v>190</v>
      </c>
      <c r="S99" s="341" t="str">
        <f ca="1">IF(NOT(ISERROR(MATCH(R99,'Tabla Impacto'!$B$221:$B$223,0))),'Tabla Impacto'!$F$223&amp;"Por favor no seleccionar los criterios de impacto(Afectación Económica o presupuestal y Pérdida Reputacional)",R99)</f>
        <v>El riesgo afecta la imagen de la entidad con algunos usuarios de relevancia frente al logro de los objetivos</v>
      </c>
      <c r="T99" s="367" t="str">
        <f ca="1">+IF(OR(S99='[1]Tabla Impacto'!$C$11,S99='[1]Tabla Impacto'!$D$11),"Leve",IF(OR(S99='[1]Tabla Impacto'!$C$12,S99='[1]Tabla Impacto'!$D$12),"Menor",IF(OR(S99='[1]Tabla Impacto'!$C$13,S99='[1]Tabla Impacto'!$D$13),"Moderado",IF(OR(S99='[1]Tabla Impacto'!$C$14,S99='[1]Tabla Impacto'!$D$14),"Mayor",IF(OR(S99='[1]Tabla Impacto'!$C$15,S99='[1]Tabla Impacto'!$D$15),"Catastrófico","")))))</f>
        <v>Moderado</v>
      </c>
      <c r="U99" s="365">
        <f t="shared" ref="U99" ca="1" si="266">IF(T99="","",IF(T99="Leve",0.2,IF(T99="Menor",0.4,IF(T99="Moderado",0.6,IF(T99="Mayor",0.8,IF(T99="Catastrófico",1,))))))</f>
        <v>0.6</v>
      </c>
      <c r="V99" s="369" t="str">
        <f t="shared" ref="V99" ca="1" si="267">IF(OR(AND(P99="Muy Baja",T99="Leve"),AND(P99="Muy Baja",T99="Menor"),AND(P99="Baja",T99="Leve")),"Bajo",IF(OR(AND(P99="Muy baja",T99="Moderado"),AND(P99="Baja",T99="Menor"),AND(P99="Baja",T99="Moderado"),AND(P99="Media",T99="Leve"),AND(P99="Media",T99="Menor"),AND(P99="Media",T99="Moderado"),AND(P99="Alta",T99="Leve"),AND(P99="Alta",T99="Menor")),"Moderado",IF(OR(AND(P99="Muy Baja",T99="Mayor"),AND(P99="Baja",T99="Mayor"),AND(P99="Media",T99="Mayor"),AND(P99="Alta",T99="Moderado"),AND(P99="Alta",T99="Mayor"),AND(P99="Muy Alta",T99="Leve"),AND(P99="Muy Alta",T99="Menor"),AND(P99="Muy Alta",T99="Moderado"),AND(P99="Muy Alta",T99="Mayor")),"Alto",IF(OR(AND(P99="Muy Baja",T99="Catastrófico"),AND(P99="Baja",T99="Catastrófico"),AND(P99="Media",T99="Catastrófico"),AND(P99="Alta",T99="Catastrófico"),AND(P99="Muy Alta",T99="Catastrófico")),"Extremo",""))))</f>
        <v>Moderado</v>
      </c>
      <c r="W99" s="233">
        <v>1</v>
      </c>
      <c r="X99" s="207" t="s">
        <v>1216</v>
      </c>
      <c r="Y99" s="230" t="str">
        <f t="shared" ref="Y99:Y115" si="268">IF(OR(Z99="Preventivo",Z99="Detectivo"),"Probabilidad",IF(Z99="Correctivo","Impacto",""))</f>
        <v>Probabilidad</v>
      </c>
      <c r="Z99" s="185" t="s">
        <v>208</v>
      </c>
      <c r="AA99" s="185" t="s">
        <v>216</v>
      </c>
      <c r="AB99" s="186" t="str">
        <f t="shared" si="235"/>
        <v>40%</v>
      </c>
      <c r="AC99" s="185" t="s">
        <v>219</v>
      </c>
      <c r="AD99" s="185" t="s">
        <v>224</v>
      </c>
      <c r="AE99" s="185" t="s">
        <v>228</v>
      </c>
      <c r="AF99" s="187">
        <f t="shared" ref="AF99" si="269">IFERROR(IF(Y99="Probabilidad",(Q99-(+Q99*AB99)),IF(Y99="Impacto",Q99,"")),"")</f>
        <v>0.24</v>
      </c>
      <c r="AG99" s="188" t="str">
        <f t="shared" ref="AG99:AG115" si="270">IFERROR(IF(AF99="","",IF(AF99&lt;=0.2,"Muy Baja",IF(AF99&lt;=0.4,"Baja",IF(AF99&lt;=0.6,"Media",IF(AF99&lt;=0.8,"Alta","Muy Alta"))))),"")</f>
        <v>Baja</v>
      </c>
      <c r="AH99" s="186">
        <f t="shared" ref="AH99:AH115" si="271">+AF99</f>
        <v>0.24</v>
      </c>
      <c r="AI99" s="188" t="str">
        <f t="shared" ref="AI99:AI115" ca="1" si="272">IFERROR(IF(AJ99="","",IF(AJ99&lt;=0.2,"Leve",IF(AJ99&lt;=0.4,"Menor",IF(AJ99&lt;=0.6,"Moderado",IF(AJ99&lt;=0.8,"Mayor","Catastrófico"))))),"")</f>
        <v>Moderado</v>
      </c>
      <c r="AJ99" s="186">
        <f t="shared" ref="AJ99" ca="1" si="273">IFERROR(IF(Y99="Impacto",(U99-(+U99*AB99)),IF(Y99="Probabilidad",U99,"")),"")</f>
        <v>0.6</v>
      </c>
      <c r="AK99" s="189" t="str">
        <f t="shared" ref="AK99:AK115" ca="1" si="274">IFERROR(IF(OR(AND(AG99="Muy Baja",AI99="Leve"),AND(AG99="Muy Baja",AI99="Menor"),AND(AG99="Baja",AI99="Leve")),"Bajo",IF(OR(AND(AG99="Muy baja",AI99="Moderado"),AND(AG99="Baja",AI99="Menor"),AND(AG99="Baja",AI99="Moderado"),AND(AG99="Media",AI99="Leve"),AND(AG99="Media",AI99="Menor"),AND(AG99="Media",AI99="Moderado"),AND(AG99="Alta",AI99="Leve"),AND(AG99="Alta",AI99="Menor")),"Moderado",IF(OR(AND(AG99="Muy Baja",AI99="Mayor"),AND(AG99="Baja",AI99="Mayor"),AND(AG99="Media",AI99="Mayor"),AND(AG99="Alta",AI99="Moderado"),AND(AG99="Alta",AI99="Mayor"),AND(AG99="Muy Alta",AI99="Leve"),AND(AG99="Muy Alta",AI99="Menor"),AND(AG99="Muy Alta",AI99="Moderado"),AND(AG99="Muy Alta",AI99="Mayor")),"Alto",IF(OR(AND(AG99="Muy Baja",AI99="Catastrófico"),AND(AG99="Baja",AI99="Catastrófico"),AND(AG99="Media",AI99="Catastrófico"),AND(AG99="Alta",AI99="Catastrófico"),AND(AG99="Muy Alta",AI99="Catastrófico")),"Extremo","")))),"")</f>
        <v>Moderado</v>
      </c>
      <c r="AL99" s="185" t="s">
        <v>255</v>
      </c>
      <c r="AM99" s="227"/>
      <c r="AN99" s="230"/>
      <c r="AO99" s="228"/>
      <c r="AP99" s="228"/>
      <c r="AQ99" s="227"/>
      <c r="AR99" s="229"/>
    </row>
    <row r="100" spans="1:44" s="191" customFormat="1" ht="133.5" customHeight="1" thickTop="1" thickBot="1" x14ac:dyDescent="0.3">
      <c r="A100" s="422"/>
      <c r="B100" s="424"/>
      <c r="C100" s="331"/>
      <c r="D100" s="331"/>
      <c r="E100" s="331"/>
      <c r="F100" s="331"/>
      <c r="G100" s="331"/>
      <c r="H100" s="426"/>
      <c r="I100" s="428"/>
      <c r="J100" s="428"/>
      <c r="K100" s="428"/>
      <c r="L100" s="428"/>
      <c r="M100" s="331"/>
      <c r="N100" s="331"/>
      <c r="O100" s="430"/>
      <c r="P100" s="368"/>
      <c r="Q100" s="366"/>
      <c r="R100" s="366"/>
      <c r="S100" s="341">
        <f ca="1">IF(NOT(ISERROR(MATCH(R100,_xlfn.ANCHORARRAY(H104),0))),#REF!&amp;"Por favor no seleccionar los criterios de impacto",R100)</f>
        <v>0</v>
      </c>
      <c r="T100" s="368"/>
      <c r="U100" s="366"/>
      <c r="V100" s="370"/>
      <c r="W100" s="233">
        <v>2</v>
      </c>
      <c r="X100" s="207" t="s">
        <v>1217</v>
      </c>
      <c r="Y100" s="230" t="str">
        <f t="shared" si="268"/>
        <v>Probabilidad</v>
      </c>
      <c r="Z100" s="185" t="s">
        <v>208</v>
      </c>
      <c r="AA100" s="185" t="s">
        <v>216</v>
      </c>
      <c r="AB100" s="186" t="str">
        <f t="shared" si="235"/>
        <v>40%</v>
      </c>
      <c r="AC100" s="185" t="s">
        <v>219</v>
      </c>
      <c r="AD100" s="185" t="s">
        <v>224</v>
      </c>
      <c r="AE100" s="185" t="s">
        <v>228</v>
      </c>
      <c r="AF100" s="187">
        <f t="shared" ref="AF100:AF101" si="275">IFERROR(IF(AND(Y99="Probabilidad",Y100="Probabilidad"),(AH99-(+AH99*AB100)),IF(Y100="Probabilidad",(Q99-(+Q99*AB100)),IF(Y100="Impacto",AH99,""))),"")</f>
        <v>0.14399999999999999</v>
      </c>
      <c r="AG100" s="188" t="str">
        <f t="shared" si="270"/>
        <v>Muy Baja</v>
      </c>
      <c r="AH100" s="186">
        <f t="shared" si="271"/>
        <v>0.14399999999999999</v>
      </c>
      <c r="AI100" s="188" t="str">
        <f t="shared" ca="1" si="272"/>
        <v>Moderado</v>
      </c>
      <c r="AJ100" s="186">
        <f t="shared" ref="AJ100" ca="1" si="276">IFERROR(IF(AND(Y99="Impacto",Y100="Impacto"),(AJ99-(+AJ99*AB100)),IF(Y100="Impacto",(U99-(+U99*AB100)),IF(Y100="Probabilidad",AJ99,""))),"")</f>
        <v>0.6</v>
      </c>
      <c r="AK100" s="189" t="str">
        <f t="shared" ca="1" si="274"/>
        <v>Moderado</v>
      </c>
      <c r="AL100" s="185" t="s">
        <v>255</v>
      </c>
      <c r="AM100" s="227"/>
      <c r="AN100" s="230"/>
      <c r="AO100" s="228"/>
      <c r="AP100" s="228"/>
      <c r="AQ100" s="227"/>
      <c r="AR100" s="229"/>
    </row>
    <row r="101" spans="1:44" s="191" customFormat="1" ht="173.25" customHeight="1" thickTop="1" thickBot="1" x14ac:dyDescent="0.3">
      <c r="A101" s="422"/>
      <c r="B101" s="424"/>
      <c r="C101" s="331"/>
      <c r="D101" s="331"/>
      <c r="E101" s="331"/>
      <c r="F101" s="331"/>
      <c r="G101" s="331"/>
      <c r="H101" s="426"/>
      <c r="I101" s="428"/>
      <c r="J101" s="428"/>
      <c r="K101" s="428"/>
      <c r="L101" s="428"/>
      <c r="M101" s="331"/>
      <c r="N101" s="331"/>
      <c r="O101" s="430"/>
      <c r="P101" s="368"/>
      <c r="Q101" s="366"/>
      <c r="R101" s="366"/>
      <c r="S101" s="267"/>
      <c r="T101" s="368"/>
      <c r="U101" s="366"/>
      <c r="V101" s="370"/>
      <c r="W101" s="272">
        <v>3</v>
      </c>
      <c r="X101" s="207" t="s">
        <v>1215</v>
      </c>
      <c r="Y101" s="271" t="str">
        <f t="shared" si="268"/>
        <v>Probabilidad</v>
      </c>
      <c r="Z101" s="185" t="s">
        <v>208</v>
      </c>
      <c r="AA101" s="185" t="s">
        <v>216</v>
      </c>
      <c r="AB101" s="186" t="str">
        <f t="shared" si="235"/>
        <v>40%</v>
      </c>
      <c r="AC101" s="185" t="s">
        <v>222</v>
      </c>
      <c r="AD101" s="185" t="s">
        <v>224</v>
      </c>
      <c r="AE101" s="185" t="s">
        <v>228</v>
      </c>
      <c r="AF101" s="187">
        <f t="shared" si="275"/>
        <v>8.6399999999999991E-2</v>
      </c>
      <c r="AG101" s="188" t="str">
        <f t="shared" ref="AG101" si="277">IFERROR(IF(AF101="","",IF(AF101&lt;=0.2,"Muy Baja",IF(AF101&lt;=0.4,"Baja",IF(AF101&lt;=0.6,"Media",IF(AF101&lt;=0.8,"Alta","Muy Alta"))))),"")</f>
        <v>Muy Baja</v>
      </c>
      <c r="AH101" s="186">
        <f t="shared" ref="AH101" si="278">+AF101</f>
        <v>8.6399999999999991E-2</v>
      </c>
      <c r="AI101" s="188" t="str">
        <f t="shared" ref="AI101" ca="1" si="279">IFERROR(IF(AJ101="","",IF(AJ101&lt;=0.2,"Leve",IF(AJ101&lt;=0.4,"Menor",IF(AJ101&lt;=0.6,"Moderado",IF(AJ101&lt;=0.8,"Mayor","Catastrófico"))))),"")</f>
        <v>Moderado</v>
      </c>
      <c r="AJ101" s="186">
        <f t="shared" ref="AJ101" ca="1" si="280">IFERROR(IF(AND(Y100="Impacto",Y101="Impacto"),(AJ100-(+AJ100*AB101)),IF(Y101="Impacto",(U100-(+U100*AB101)),IF(Y101="Probabilidad",AJ100,""))),"")</f>
        <v>0.6</v>
      </c>
      <c r="AK101" s="189" t="str">
        <f t="shared" ref="AK101" ca="1" si="281">IFERROR(IF(OR(AND(AG101="Muy Baja",AI101="Leve"),AND(AG101="Muy Baja",AI101="Menor"),AND(AG101="Baja",AI101="Leve")),"Bajo",IF(OR(AND(AG101="Muy baja",AI101="Moderado"),AND(AG101="Baja",AI101="Menor"),AND(AG101="Baja",AI101="Moderado"),AND(AG101="Media",AI101="Leve"),AND(AG101="Media",AI101="Menor"),AND(AG101="Media",AI101="Moderado"),AND(AG101="Alta",AI101="Leve"),AND(AG101="Alta",AI101="Menor")),"Moderado",IF(OR(AND(AG101="Muy Baja",AI101="Mayor"),AND(AG101="Baja",AI101="Mayor"),AND(AG101="Media",AI101="Mayor"),AND(AG101="Alta",AI101="Moderado"),AND(AG101="Alta",AI101="Mayor"),AND(AG101="Muy Alta",AI101="Leve"),AND(AG101="Muy Alta",AI101="Menor"),AND(AG101="Muy Alta",AI101="Moderado"),AND(AG101="Muy Alta",AI101="Mayor")),"Alto",IF(OR(AND(AG101="Muy Baja",AI101="Catastrófico"),AND(AG101="Baja",AI101="Catastrófico"),AND(AG101="Media",AI101="Catastrófico"),AND(AG101="Alta",AI101="Catastrófico"),AND(AG101="Muy Alta",AI101="Catastrófico")),"Extremo","")))),"")</f>
        <v>Moderado</v>
      </c>
      <c r="AL101" s="185" t="s">
        <v>255</v>
      </c>
      <c r="AM101" s="269"/>
      <c r="AN101" s="271"/>
      <c r="AO101" s="268"/>
      <c r="AP101" s="268"/>
      <c r="AQ101" s="269"/>
      <c r="AR101" s="270"/>
    </row>
    <row r="102" spans="1:44" s="191" customFormat="1" ht="152.25" customHeight="1" thickTop="1" thickBot="1" x14ac:dyDescent="0.3">
      <c r="A102" s="328">
        <v>41</v>
      </c>
      <c r="B102" s="345" t="s">
        <v>650</v>
      </c>
      <c r="C102" s="333" t="s">
        <v>273</v>
      </c>
      <c r="D102" s="333" t="s">
        <v>979</v>
      </c>
      <c r="E102" s="333" t="s">
        <v>240</v>
      </c>
      <c r="F102" s="351" t="s">
        <v>652</v>
      </c>
      <c r="G102" s="351" t="s">
        <v>653</v>
      </c>
      <c r="H102" s="350" t="s">
        <v>1143</v>
      </c>
      <c r="I102" s="338" t="s">
        <v>474</v>
      </c>
      <c r="J102" s="338" t="s">
        <v>474</v>
      </c>
      <c r="K102" s="338" t="s">
        <v>474</v>
      </c>
      <c r="L102" s="338" t="s">
        <v>474</v>
      </c>
      <c r="M102" s="333" t="s">
        <v>239</v>
      </c>
      <c r="N102" s="333"/>
      <c r="O102" s="339">
        <v>4</v>
      </c>
      <c r="P102" s="340" t="str">
        <f t="shared" si="264"/>
        <v>Baja</v>
      </c>
      <c r="Q102" s="341">
        <f t="shared" si="265"/>
        <v>0.4</v>
      </c>
      <c r="R102" s="341" t="s">
        <v>184</v>
      </c>
      <c r="S102" s="341" t="str">
        <f ca="1">IF(NOT(ISERROR(MATCH(R102,'Tabla Impacto'!$B$221:$B$223,0))),'Tabla Impacto'!$F$223&amp;"Por favor no seleccionar los criterios de impacto(Afectación Económica o presupuestal y Pérdida Reputacional)",R102)</f>
        <v>El riesgo afecta la imagen de alguna área de la organización</v>
      </c>
      <c r="T102" s="340" t="str">
        <f ca="1">+IF(OR(S102='[1]Tabla Impacto'!$C$11,S102='[1]Tabla Impacto'!$D$11),"Leve",IF(OR(S102='[1]Tabla Impacto'!$C$12,S102='[1]Tabla Impacto'!$D$12),"Menor",IF(OR(S102='[1]Tabla Impacto'!$C$13,S102='[1]Tabla Impacto'!$D$13),"Moderado",IF(OR(S102='[1]Tabla Impacto'!$C$14,S102='[1]Tabla Impacto'!$D$14),"Mayor",IF(OR(S102='[1]Tabla Impacto'!$C$15,S102='[1]Tabla Impacto'!$D$15),"Catastrófico","")))))</f>
        <v>Leve</v>
      </c>
      <c r="U102" s="341">
        <f t="shared" ref="U102" ca="1" si="282">IF(T102="","",IF(T102="Leve",0.2,IF(T102="Menor",0.4,IF(T102="Moderado",0.6,IF(T102="Mayor",0.8,IF(T102="Catastrófico",1,))))))</f>
        <v>0.2</v>
      </c>
      <c r="V102" s="327" t="str">
        <f t="shared" ref="V102" ca="1" si="283">IF(OR(AND(P102="Muy Baja",T102="Leve"),AND(P102="Muy Baja",T102="Menor"),AND(P102="Baja",T102="Leve")),"Bajo",IF(OR(AND(P102="Muy baja",T102="Moderado"),AND(P102="Baja",T102="Menor"),AND(P102="Baja",T102="Moderado"),AND(P102="Media",T102="Leve"),AND(P102="Media",T102="Menor"),AND(P102="Media",T102="Moderado"),AND(P102="Alta",T102="Leve"),AND(P102="Alta",T102="Menor")),"Moderado",IF(OR(AND(P102="Muy Baja",T102="Mayor"),AND(P102="Baja",T102="Mayor"),AND(P102="Media",T102="Mayor"),AND(P102="Alta",T102="Moderado"),AND(P102="Alta",T102="Mayor"),AND(P102="Muy Alta",T102="Leve"),AND(P102="Muy Alta",T102="Menor"),AND(P102="Muy Alta",T102="Moderado"),AND(P102="Muy Alta",T102="Mayor")),"Alto",IF(OR(AND(P102="Muy Baja",T102="Catastrófico"),AND(P102="Baja",T102="Catastrófico"),AND(P102="Media",T102="Catastrófico"),AND(P102="Alta",T102="Catastrófico"),AND(P102="Muy Alta",T102="Catastrófico")),"Extremo",""))))</f>
        <v>Bajo</v>
      </c>
      <c r="W102" s="233">
        <v>1</v>
      </c>
      <c r="X102" s="207" t="s">
        <v>654</v>
      </c>
      <c r="Y102" s="230" t="str">
        <f t="shared" si="268"/>
        <v>Probabilidad</v>
      </c>
      <c r="Z102" s="185" t="s">
        <v>208</v>
      </c>
      <c r="AA102" s="185" t="s">
        <v>216</v>
      </c>
      <c r="AB102" s="186" t="str">
        <f t="shared" si="235"/>
        <v>40%</v>
      </c>
      <c r="AC102" s="185" t="s">
        <v>219</v>
      </c>
      <c r="AD102" s="185" t="s">
        <v>224</v>
      </c>
      <c r="AE102" s="185" t="s">
        <v>228</v>
      </c>
      <c r="AF102" s="187">
        <f t="shared" ref="AF102" si="284">IFERROR(IF(Y102="Probabilidad",(Q102-(+Q102*AB102)),IF(Y102="Impacto",Q102,"")),"")</f>
        <v>0.24</v>
      </c>
      <c r="AG102" s="188" t="str">
        <f t="shared" si="270"/>
        <v>Baja</v>
      </c>
      <c r="AH102" s="186">
        <f t="shared" si="271"/>
        <v>0.24</v>
      </c>
      <c r="AI102" s="188" t="str">
        <f t="shared" ca="1" si="272"/>
        <v>Leve</v>
      </c>
      <c r="AJ102" s="186">
        <f t="shared" ref="AJ102" ca="1" si="285">IFERROR(IF(Y102="Impacto",(U102-(+U102*AB102)),IF(Y102="Probabilidad",U102,"")),"")</f>
        <v>0.2</v>
      </c>
      <c r="AK102" s="189" t="str">
        <f t="shared" ca="1" si="274"/>
        <v>Bajo</v>
      </c>
      <c r="AL102" s="185" t="s">
        <v>255</v>
      </c>
      <c r="AM102" s="227"/>
      <c r="AN102" s="230"/>
      <c r="AO102" s="228"/>
      <c r="AP102" s="228"/>
      <c r="AQ102" s="227"/>
      <c r="AR102" s="229"/>
    </row>
    <row r="103" spans="1:44" s="191" customFormat="1" ht="156.75" customHeight="1" thickTop="1" thickBot="1" x14ac:dyDescent="0.3">
      <c r="A103" s="328"/>
      <c r="B103" s="345"/>
      <c r="C103" s="333"/>
      <c r="D103" s="333"/>
      <c r="E103" s="333"/>
      <c r="F103" s="351"/>
      <c r="G103" s="351"/>
      <c r="H103" s="350"/>
      <c r="I103" s="338"/>
      <c r="J103" s="338"/>
      <c r="K103" s="338"/>
      <c r="L103" s="338"/>
      <c r="M103" s="333"/>
      <c r="N103" s="333"/>
      <c r="O103" s="339"/>
      <c r="P103" s="340"/>
      <c r="Q103" s="341"/>
      <c r="R103" s="341"/>
      <c r="S103" s="341">
        <f ca="1">IF(NOT(ISERROR(MATCH(R103,_xlfn.ANCHORARRAY(H106),0))),Q108&amp;"Por favor no seleccionar los criterios de impacto",R103)</f>
        <v>0</v>
      </c>
      <c r="T103" s="340"/>
      <c r="U103" s="341"/>
      <c r="V103" s="327"/>
      <c r="W103" s="233">
        <v>2</v>
      </c>
      <c r="X103" s="207" t="s">
        <v>655</v>
      </c>
      <c r="Y103" s="230" t="str">
        <f t="shared" si="268"/>
        <v>Probabilidad</v>
      </c>
      <c r="Z103" s="185" t="s">
        <v>208</v>
      </c>
      <c r="AA103" s="185" t="s">
        <v>216</v>
      </c>
      <c r="AB103" s="186" t="str">
        <f t="shared" si="235"/>
        <v>40%</v>
      </c>
      <c r="AC103" s="185" t="s">
        <v>219</v>
      </c>
      <c r="AD103" s="185" t="s">
        <v>224</v>
      </c>
      <c r="AE103" s="185" t="s">
        <v>228</v>
      </c>
      <c r="AF103" s="187">
        <f t="shared" ref="AF103" si="286">IFERROR(IF(AND(Y102="Probabilidad",Y103="Probabilidad"),(AH102-(+AH102*AB103)),IF(Y103="Probabilidad",(Q102-(+Q102*AB103)),IF(Y103="Impacto",AH102,""))),"")</f>
        <v>0.14399999999999999</v>
      </c>
      <c r="AG103" s="188" t="str">
        <f t="shared" si="270"/>
        <v>Muy Baja</v>
      </c>
      <c r="AH103" s="186">
        <f t="shared" si="271"/>
        <v>0.14399999999999999</v>
      </c>
      <c r="AI103" s="188" t="str">
        <f t="shared" ca="1" si="272"/>
        <v>Leve</v>
      </c>
      <c r="AJ103" s="186">
        <f t="shared" ref="AJ103" ca="1" si="287">IFERROR(IF(AND(Y102="Impacto",Y103="Impacto"),(AJ102-(+AJ102*AB103)),IF(Y103="Impacto",(U102-(+U102*AB103)),IF(Y103="Probabilidad",AJ102,""))),"")</f>
        <v>0.2</v>
      </c>
      <c r="AK103" s="189" t="str">
        <f t="shared" ca="1" si="274"/>
        <v>Bajo</v>
      </c>
      <c r="AL103" s="185" t="s">
        <v>255</v>
      </c>
      <c r="AM103" s="227"/>
      <c r="AN103" s="230"/>
      <c r="AO103" s="228"/>
      <c r="AP103" s="228"/>
      <c r="AQ103" s="227"/>
      <c r="AR103" s="229"/>
    </row>
    <row r="104" spans="1:44" s="191" customFormat="1" ht="141" customHeight="1" thickTop="1" thickBot="1" x14ac:dyDescent="0.3">
      <c r="A104" s="328">
        <v>42</v>
      </c>
      <c r="B104" s="345" t="s">
        <v>656</v>
      </c>
      <c r="C104" s="335" t="s">
        <v>273</v>
      </c>
      <c r="D104" s="335" t="s">
        <v>651</v>
      </c>
      <c r="E104" s="335" t="s">
        <v>240</v>
      </c>
      <c r="F104" s="336" t="s">
        <v>657</v>
      </c>
      <c r="G104" s="336" t="s">
        <v>658</v>
      </c>
      <c r="H104" s="337" t="s">
        <v>1144</v>
      </c>
      <c r="I104" s="338" t="s">
        <v>474</v>
      </c>
      <c r="J104" s="338" t="s">
        <v>474</v>
      </c>
      <c r="K104" s="338" t="s">
        <v>474</v>
      </c>
      <c r="L104" s="338" t="s">
        <v>474</v>
      </c>
      <c r="M104" s="333" t="s">
        <v>239</v>
      </c>
      <c r="N104" s="333"/>
      <c r="O104" s="339">
        <v>4</v>
      </c>
      <c r="P104" s="340" t="str">
        <f t="shared" si="264"/>
        <v>Baja</v>
      </c>
      <c r="Q104" s="341">
        <f t="shared" si="265"/>
        <v>0.4</v>
      </c>
      <c r="R104" s="341" t="s">
        <v>190</v>
      </c>
      <c r="S104" s="341" t="str">
        <f ca="1">IF(NOT(ISERROR(MATCH(R104,'Tabla Impacto'!$B$221:$B$223,0))),'Tabla Impacto'!$F$223&amp;"Por favor no seleccionar los criterios de impacto(Afectación Económica o presupuestal y Pérdida Reputacional)",R104)</f>
        <v>El riesgo afecta la imagen de la entidad con algunos usuarios de relevancia frente al logro de los objetivos</v>
      </c>
      <c r="T104" s="340" t="str">
        <f ca="1">+IF(OR(S104='[1]Tabla Impacto'!$C$11,S104='[1]Tabla Impacto'!$D$11),"Leve",IF(OR(S104='[1]Tabla Impacto'!$C$12,S104='[1]Tabla Impacto'!$D$12),"Menor",IF(OR(S104='[1]Tabla Impacto'!$C$13,S104='[1]Tabla Impacto'!$D$13),"Moderado",IF(OR(S104='[1]Tabla Impacto'!$C$14,S104='[1]Tabla Impacto'!$D$14),"Mayor",IF(OR(S104='[1]Tabla Impacto'!$C$15,S104='[1]Tabla Impacto'!$D$15),"Catastrófico","")))))</f>
        <v>Moderado</v>
      </c>
      <c r="U104" s="341">
        <f t="shared" ref="U104" ca="1" si="288">IF(T104="","",IF(T104="Leve",0.2,IF(T104="Menor",0.4,IF(T104="Moderado",0.6,IF(T104="Mayor",0.8,IF(T104="Catastrófico",1,))))))</f>
        <v>0.6</v>
      </c>
      <c r="V104" s="327" t="str">
        <f t="shared" ref="V104" ca="1" si="289">IF(OR(AND(P104="Muy Baja",T104="Leve"),AND(P104="Muy Baja",T104="Menor"),AND(P104="Baja",T104="Leve")),"Bajo",IF(OR(AND(P104="Muy baja",T104="Moderado"),AND(P104="Baja",T104="Menor"),AND(P104="Baja",T104="Moderado"),AND(P104="Media",T104="Leve"),AND(P104="Media",T104="Menor"),AND(P104="Media",T104="Moderado"),AND(P104="Alta",T104="Leve"),AND(P104="Alta",T104="Menor")),"Moderado",IF(OR(AND(P104="Muy Baja",T104="Mayor"),AND(P104="Baja",T104="Mayor"),AND(P104="Media",T104="Mayor"),AND(P104="Alta",T104="Moderado"),AND(P104="Alta",T104="Mayor"),AND(P104="Muy Alta",T104="Leve"),AND(P104="Muy Alta",T104="Menor"),AND(P104="Muy Alta",T104="Moderado"),AND(P104="Muy Alta",T104="Mayor")),"Alto",IF(OR(AND(P104="Muy Baja",T104="Catastrófico"),AND(P104="Baja",T104="Catastrófico"),AND(P104="Media",T104="Catastrófico"),AND(P104="Alta",T104="Catastrófico"),AND(P104="Muy Alta",T104="Catastrófico")),"Extremo",""))))</f>
        <v>Moderado</v>
      </c>
      <c r="W104" s="233">
        <v>1</v>
      </c>
      <c r="X104" s="209" t="s">
        <v>659</v>
      </c>
      <c r="Y104" s="230" t="str">
        <f t="shared" si="268"/>
        <v>Probabilidad</v>
      </c>
      <c r="Z104" s="185" t="s">
        <v>208</v>
      </c>
      <c r="AA104" s="185" t="s">
        <v>216</v>
      </c>
      <c r="AB104" s="186" t="str">
        <f t="shared" si="235"/>
        <v>40%</v>
      </c>
      <c r="AC104" s="185" t="s">
        <v>219</v>
      </c>
      <c r="AD104" s="185" t="s">
        <v>224</v>
      </c>
      <c r="AE104" s="185" t="s">
        <v>228</v>
      </c>
      <c r="AF104" s="187">
        <f t="shared" ref="AF104" si="290">IFERROR(IF(Y104="Probabilidad",(Q104-(+Q104*AB104)),IF(Y104="Impacto",Q104,"")),"")</f>
        <v>0.24</v>
      </c>
      <c r="AG104" s="188" t="str">
        <f t="shared" si="270"/>
        <v>Baja</v>
      </c>
      <c r="AH104" s="186">
        <f t="shared" si="271"/>
        <v>0.24</v>
      </c>
      <c r="AI104" s="188" t="str">
        <f t="shared" ca="1" si="272"/>
        <v>Moderado</v>
      </c>
      <c r="AJ104" s="186">
        <f t="shared" ref="AJ104" ca="1" si="291">IFERROR(IF(Y104="Impacto",(U104-(+U104*AB104)),IF(Y104="Probabilidad",U104,"")),"")</f>
        <v>0.6</v>
      </c>
      <c r="AK104" s="189" t="str">
        <f t="shared" ca="1" si="274"/>
        <v>Moderado</v>
      </c>
      <c r="AL104" s="185" t="s">
        <v>255</v>
      </c>
      <c r="AM104" s="227"/>
      <c r="AN104" s="230"/>
      <c r="AO104" s="228"/>
      <c r="AP104" s="228"/>
      <c r="AQ104" s="227"/>
      <c r="AR104" s="229"/>
    </row>
    <row r="105" spans="1:44" s="191" customFormat="1" ht="174" customHeight="1" thickTop="1" thickBot="1" x14ac:dyDescent="0.3">
      <c r="A105" s="328"/>
      <c r="B105" s="345"/>
      <c r="C105" s="335"/>
      <c r="D105" s="335"/>
      <c r="E105" s="335"/>
      <c r="F105" s="336"/>
      <c r="G105" s="336"/>
      <c r="H105" s="337"/>
      <c r="I105" s="338"/>
      <c r="J105" s="338"/>
      <c r="K105" s="338"/>
      <c r="L105" s="338"/>
      <c r="M105" s="333"/>
      <c r="N105" s="333"/>
      <c r="O105" s="339"/>
      <c r="P105" s="340"/>
      <c r="Q105" s="341"/>
      <c r="R105" s="341"/>
      <c r="S105" s="341">
        <f ca="1">IF(NOT(ISERROR(MATCH(R105,_xlfn.ANCHORARRAY(H110),0))),#REF!&amp;"Por favor no seleccionar los criterios de impacto",R105)</f>
        <v>0</v>
      </c>
      <c r="T105" s="340"/>
      <c r="U105" s="341"/>
      <c r="V105" s="327"/>
      <c r="W105" s="233">
        <v>2</v>
      </c>
      <c r="X105" s="209" t="s">
        <v>660</v>
      </c>
      <c r="Y105" s="230" t="str">
        <f t="shared" si="268"/>
        <v>Probabilidad</v>
      </c>
      <c r="Z105" s="185" t="s">
        <v>208</v>
      </c>
      <c r="AA105" s="185" t="s">
        <v>216</v>
      </c>
      <c r="AB105" s="186" t="str">
        <f t="shared" si="235"/>
        <v>40%</v>
      </c>
      <c r="AC105" s="185" t="s">
        <v>219</v>
      </c>
      <c r="AD105" s="185" t="s">
        <v>224</v>
      </c>
      <c r="AE105" s="185" t="s">
        <v>228</v>
      </c>
      <c r="AF105" s="187">
        <f t="shared" ref="AF105" si="292">IFERROR(IF(AND(Y104="Probabilidad",Y105="Probabilidad"),(AH104-(+AH104*AB105)),IF(Y105="Probabilidad",(Q104-(+Q104*AB105)),IF(Y105="Impacto",AH104,""))),"")</f>
        <v>0.14399999999999999</v>
      </c>
      <c r="AG105" s="188" t="str">
        <f t="shared" si="270"/>
        <v>Muy Baja</v>
      </c>
      <c r="AH105" s="186">
        <f t="shared" si="271"/>
        <v>0.14399999999999999</v>
      </c>
      <c r="AI105" s="188" t="str">
        <f t="shared" ca="1" si="272"/>
        <v>Moderado</v>
      </c>
      <c r="AJ105" s="186">
        <f t="shared" ref="AJ105" ca="1" si="293">IFERROR(IF(AND(Y104="Impacto",Y105="Impacto"),(AJ104-(+AJ104*AB105)),IF(Y105="Impacto",(U104-(+U104*AB105)),IF(Y105="Probabilidad",AJ104,""))),"")</f>
        <v>0.6</v>
      </c>
      <c r="AK105" s="189" t="str">
        <f t="shared" ca="1" si="274"/>
        <v>Moderado</v>
      </c>
      <c r="AL105" s="185" t="s">
        <v>255</v>
      </c>
      <c r="AM105" s="227"/>
      <c r="AN105" s="230"/>
      <c r="AO105" s="228"/>
      <c r="AP105" s="228"/>
      <c r="AQ105" s="227"/>
      <c r="AR105" s="229"/>
    </row>
    <row r="106" spans="1:44" s="191" customFormat="1" ht="152.25" customHeight="1" thickTop="1" thickBot="1" x14ac:dyDescent="0.3">
      <c r="A106" s="328">
        <v>43</v>
      </c>
      <c r="B106" s="345" t="s">
        <v>661</v>
      </c>
      <c r="C106" s="333" t="s">
        <v>274</v>
      </c>
      <c r="D106" s="333" t="s">
        <v>662</v>
      </c>
      <c r="E106" s="333" t="s">
        <v>240</v>
      </c>
      <c r="F106" s="351" t="s">
        <v>663</v>
      </c>
      <c r="G106" s="351" t="s">
        <v>664</v>
      </c>
      <c r="H106" s="350" t="s">
        <v>1145</v>
      </c>
      <c r="I106" s="338" t="s">
        <v>474</v>
      </c>
      <c r="J106" s="338" t="s">
        <v>474</v>
      </c>
      <c r="K106" s="338" t="s">
        <v>474</v>
      </c>
      <c r="L106" s="338" t="s">
        <v>474</v>
      </c>
      <c r="M106" s="333" t="s">
        <v>239</v>
      </c>
      <c r="N106" s="333"/>
      <c r="O106" s="339">
        <v>4000</v>
      </c>
      <c r="P106" s="340" t="str">
        <f t="shared" si="264"/>
        <v>Alta</v>
      </c>
      <c r="Q106" s="341">
        <f t="shared" si="265"/>
        <v>0.8</v>
      </c>
      <c r="R106" s="341" t="s">
        <v>187</v>
      </c>
      <c r="S106" s="341" t="str">
        <f ca="1">IF(NOT(ISERROR(MATCH(R106,'Tabla Impacto'!$B$221:$B$223,0))),'Tabla Impacto'!$F$223&amp;"Por favor no seleccionar los criterios de impacto(Afectación Económica o presupuestal y Pérdida Reputacional)",R106)</f>
        <v>El riesgo afecta la imagen de la entidad internamente, de conocimiento general, nivel interno, de junta dircetiva y accionistas y/o de provedores</v>
      </c>
      <c r="T106" s="340" t="str">
        <f ca="1">+IF(OR(S106='[1]Tabla Impacto'!$C$11,S106='[1]Tabla Impacto'!$D$11),"Leve",IF(OR(S106='[1]Tabla Impacto'!$C$12,S106='[1]Tabla Impacto'!$D$12),"Menor",IF(OR(S106='[1]Tabla Impacto'!$C$13,S106='[1]Tabla Impacto'!$D$13),"Moderado",IF(OR(S106='[1]Tabla Impacto'!$C$14,S106='[1]Tabla Impacto'!$D$14),"Mayor",IF(OR(S106='[1]Tabla Impacto'!$C$15,S106='[1]Tabla Impacto'!$D$15),"Catastrófico","")))))</f>
        <v>Menor</v>
      </c>
      <c r="U106" s="341">
        <f t="shared" ref="U106" ca="1" si="294">IF(T106="","",IF(T106="Leve",0.2,IF(T106="Menor",0.4,IF(T106="Moderado",0.6,IF(T106="Mayor",0.8,IF(T106="Catastrófico",1,))))))</f>
        <v>0.4</v>
      </c>
      <c r="V106" s="327" t="str">
        <f t="shared" ref="V106" ca="1" si="295">IF(OR(AND(P106="Muy Baja",T106="Leve"),AND(P106="Muy Baja",T106="Menor"),AND(P106="Baja",T106="Leve")),"Bajo",IF(OR(AND(P106="Muy baja",T106="Moderado"),AND(P106="Baja",T106="Menor"),AND(P106="Baja",T106="Moderado"),AND(P106="Media",T106="Leve"),AND(P106="Media",T106="Menor"),AND(P106="Media",T106="Moderado"),AND(P106="Alta",T106="Leve"),AND(P106="Alta",T106="Menor")),"Moderado",IF(OR(AND(P106="Muy Baja",T106="Mayor"),AND(P106="Baja",T106="Mayor"),AND(P106="Media",T106="Mayor"),AND(P106="Alta",T106="Moderado"),AND(P106="Alta",T106="Mayor"),AND(P106="Muy Alta",T106="Leve"),AND(P106="Muy Alta",T106="Menor"),AND(P106="Muy Alta",T106="Moderado"),AND(P106="Muy Alta",T106="Mayor")),"Alto",IF(OR(AND(P106="Muy Baja",T106="Catastrófico"),AND(P106="Baja",T106="Catastrófico"),AND(P106="Media",T106="Catastrófico"),AND(P106="Alta",T106="Catastrófico"),AND(P106="Muy Alta",T106="Catastrófico")),"Extremo",""))))</f>
        <v>Moderado</v>
      </c>
      <c r="W106" s="233">
        <v>1</v>
      </c>
      <c r="X106" s="210" t="s">
        <v>1037</v>
      </c>
      <c r="Y106" s="230" t="str">
        <f t="shared" si="268"/>
        <v>Probabilidad</v>
      </c>
      <c r="Z106" s="185" t="s">
        <v>208</v>
      </c>
      <c r="AA106" s="185" t="s">
        <v>216</v>
      </c>
      <c r="AB106" s="186" t="str">
        <f t="shared" si="235"/>
        <v>40%</v>
      </c>
      <c r="AC106" s="185" t="s">
        <v>219</v>
      </c>
      <c r="AD106" s="185" t="s">
        <v>224</v>
      </c>
      <c r="AE106" s="185" t="s">
        <v>228</v>
      </c>
      <c r="AF106" s="187">
        <f t="shared" ref="AF106" si="296">IFERROR(IF(Y106="Probabilidad",(Q106-(+Q106*AB106)),IF(Y106="Impacto",Q106,"")),"")</f>
        <v>0.48</v>
      </c>
      <c r="AG106" s="188" t="str">
        <f t="shared" si="270"/>
        <v>Media</v>
      </c>
      <c r="AH106" s="186">
        <f t="shared" si="271"/>
        <v>0.48</v>
      </c>
      <c r="AI106" s="188" t="str">
        <f t="shared" ca="1" si="272"/>
        <v>Menor</v>
      </c>
      <c r="AJ106" s="186">
        <f t="shared" ref="AJ106" ca="1" si="297">IFERROR(IF(Y106="Impacto",(U106-(+U106*AB106)),IF(Y106="Probabilidad",U106,"")),"")</f>
        <v>0.4</v>
      </c>
      <c r="AK106" s="189" t="str">
        <f t="shared" ca="1" si="274"/>
        <v>Moderado</v>
      </c>
      <c r="AL106" s="185" t="s">
        <v>255</v>
      </c>
      <c r="AM106" s="227"/>
      <c r="AN106" s="230"/>
      <c r="AO106" s="228"/>
      <c r="AP106" s="228"/>
      <c r="AQ106" s="227"/>
      <c r="AR106" s="229"/>
    </row>
    <row r="107" spans="1:44" s="191" customFormat="1" ht="149.25" customHeight="1" thickTop="1" thickBot="1" x14ac:dyDescent="0.3">
      <c r="A107" s="328"/>
      <c r="B107" s="345"/>
      <c r="C107" s="333"/>
      <c r="D107" s="333"/>
      <c r="E107" s="333"/>
      <c r="F107" s="351"/>
      <c r="G107" s="351"/>
      <c r="H107" s="350"/>
      <c r="I107" s="338"/>
      <c r="J107" s="338"/>
      <c r="K107" s="338"/>
      <c r="L107" s="338"/>
      <c r="M107" s="333"/>
      <c r="N107" s="333"/>
      <c r="O107" s="339"/>
      <c r="P107" s="340"/>
      <c r="Q107" s="341"/>
      <c r="R107" s="341"/>
      <c r="S107" s="341">
        <f ca="1">IF(NOT(ISERROR(MATCH(R107,_xlfn.ANCHORARRAY(H111),0))),#REF!&amp;"Por favor no seleccionar los criterios de impacto",R107)</f>
        <v>0</v>
      </c>
      <c r="T107" s="340"/>
      <c r="U107" s="341"/>
      <c r="V107" s="327"/>
      <c r="W107" s="233">
        <v>2</v>
      </c>
      <c r="X107" s="208" t="s">
        <v>665</v>
      </c>
      <c r="Y107" s="230" t="str">
        <f t="shared" si="268"/>
        <v>Probabilidad</v>
      </c>
      <c r="Z107" s="185" t="s">
        <v>208</v>
      </c>
      <c r="AA107" s="185" t="s">
        <v>216</v>
      </c>
      <c r="AB107" s="186" t="str">
        <f t="shared" si="235"/>
        <v>40%</v>
      </c>
      <c r="AC107" s="185" t="s">
        <v>219</v>
      </c>
      <c r="AD107" s="185" t="s">
        <v>224</v>
      </c>
      <c r="AE107" s="185" t="s">
        <v>228</v>
      </c>
      <c r="AF107" s="187">
        <f t="shared" ref="AF107:AF109" si="298">IFERROR(IF(AND(Y106="Probabilidad",Y107="Probabilidad"),(AH106-(+AH106*AB107)),IF(Y107="Probabilidad",(Q106-(+Q106*AB107)),IF(Y107="Impacto",AH106,""))),"")</f>
        <v>0.28799999999999998</v>
      </c>
      <c r="AG107" s="188" t="str">
        <f t="shared" si="270"/>
        <v>Baja</v>
      </c>
      <c r="AH107" s="186">
        <f t="shared" si="271"/>
        <v>0.28799999999999998</v>
      </c>
      <c r="AI107" s="188" t="str">
        <f t="shared" ca="1" si="272"/>
        <v>Menor</v>
      </c>
      <c r="AJ107" s="186">
        <f t="shared" ref="AJ107" ca="1" si="299">IFERROR(IF(AND(Y106="Impacto",Y107="Impacto"),(AJ106-(+AJ106*AB107)),IF(Y107="Impacto",(U106-(+U106*AB107)),IF(Y107="Probabilidad",AJ106,""))),"")</f>
        <v>0.4</v>
      </c>
      <c r="AK107" s="189" t="str">
        <f t="shared" ca="1" si="274"/>
        <v>Moderado</v>
      </c>
      <c r="AL107" s="185" t="s">
        <v>255</v>
      </c>
      <c r="AM107" s="227"/>
      <c r="AN107" s="230"/>
      <c r="AO107" s="228"/>
      <c r="AP107" s="228"/>
      <c r="AQ107" s="227"/>
      <c r="AR107" s="229"/>
    </row>
    <row r="108" spans="1:44" s="191" customFormat="1" ht="139.5" customHeight="1" thickTop="1" thickBot="1" x14ac:dyDescent="0.3">
      <c r="A108" s="328"/>
      <c r="B108" s="345"/>
      <c r="C108" s="333"/>
      <c r="D108" s="333"/>
      <c r="E108" s="333"/>
      <c r="F108" s="351"/>
      <c r="G108" s="351"/>
      <c r="H108" s="350"/>
      <c r="I108" s="338"/>
      <c r="J108" s="338"/>
      <c r="K108" s="338"/>
      <c r="L108" s="338"/>
      <c r="M108" s="333"/>
      <c r="N108" s="333"/>
      <c r="O108" s="339"/>
      <c r="P108" s="340"/>
      <c r="Q108" s="341"/>
      <c r="R108" s="341"/>
      <c r="S108" s="341">
        <f ca="1">IF(NOT(ISERROR(MATCH(R108,_xlfn.ANCHORARRAY(#REF!),0))),#REF!&amp;"Por favor no seleccionar los criterios de impacto",R108)</f>
        <v>0</v>
      </c>
      <c r="T108" s="340"/>
      <c r="U108" s="341"/>
      <c r="V108" s="327"/>
      <c r="W108" s="233">
        <v>3</v>
      </c>
      <c r="X108" s="210" t="s">
        <v>1038</v>
      </c>
      <c r="Y108" s="230" t="str">
        <f t="shared" si="268"/>
        <v>Probabilidad</v>
      </c>
      <c r="Z108" s="185" t="s">
        <v>208</v>
      </c>
      <c r="AA108" s="185" t="s">
        <v>216</v>
      </c>
      <c r="AB108" s="186" t="str">
        <f t="shared" si="235"/>
        <v>40%</v>
      </c>
      <c r="AC108" s="185" t="s">
        <v>219</v>
      </c>
      <c r="AD108" s="185" t="s">
        <v>224</v>
      </c>
      <c r="AE108" s="185" t="s">
        <v>228</v>
      </c>
      <c r="AF108" s="187">
        <f t="shared" si="298"/>
        <v>0.17279999999999998</v>
      </c>
      <c r="AG108" s="188" t="str">
        <f t="shared" si="270"/>
        <v>Muy Baja</v>
      </c>
      <c r="AH108" s="186">
        <f t="shared" si="271"/>
        <v>0.17279999999999998</v>
      </c>
      <c r="AI108" s="188" t="str">
        <f t="shared" ca="1" si="272"/>
        <v>Menor</v>
      </c>
      <c r="AJ108" s="186">
        <f t="shared" ref="AJ108:AJ109" ca="1" si="300">IFERROR(IF(AND(Y107="Impacto",Y108="Impacto"),(AJ107-(+AJ107*AB108)),IF(AND(Y107="Probabilidad",Y108="Impacto"),(AJ106-(+AJ106*AB108)),IF(Y108="Probabilidad",AJ107,""))),"")</f>
        <v>0.4</v>
      </c>
      <c r="AK108" s="189" t="str">
        <f t="shared" ca="1" si="274"/>
        <v>Bajo</v>
      </c>
      <c r="AL108" s="185" t="s">
        <v>255</v>
      </c>
      <c r="AM108" s="227"/>
      <c r="AN108" s="230"/>
      <c r="AO108" s="228"/>
      <c r="AP108" s="228"/>
      <c r="AQ108" s="227"/>
      <c r="AR108" s="229"/>
    </row>
    <row r="109" spans="1:44" s="191" customFormat="1" ht="125.25" customHeight="1" thickTop="1" thickBot="1" x14ac:dyDescent="0.3">
      <c r="A109" s="328"/>
      <c r="B109" s="345"/>
      <c r="C109" s="333"/>
      <c r="D109" s="333"/>
      <c r="E109" s="333"/>
      <c r="F109" s="351"/>
      <c r="G109" s="351"/>
      <c r="H109" s="350"/>
      <c r="I109" s="338"/>
      <c r="J109" s="338"/>
      <c r="K109" s="338"/>
      <c r="L109" s="338"/>
      <c r="M109" s="333"/>
      <c r="N109" s="333"/>
      <c r="O109" s="339"/>
      <c r="P109" s="340"/>
      <c r="Q109" s="341"/>
      <c r="R109" s="341"/>
      <c r="S109" s="341">
        <f ca="1">IF(NOT(ISERROR(MATCH(R109,_xlfn.ANCHORARRAY(#REF!),0))),#REF!&amp;"Por favor no seleccionar los criterios de impacto",R109)</f>
        <v>0</v>
      </c>
      <c r="T109" s="340"/>
      <c r="U109" s="341"/>
      <c r="V109" s="327"/>
      <c r="W109" s="233">
        <v>4</v>
      </c>
      <c r="X109" s="210" t="s">
        <v>1039</v>
      </c>
      <c r="Y109" s="230" t="str">
        <f t="shared" si="268"/>
        <v>Probabilidad</v>
      </c>
      <c r="Z109" s="185" t="s">
        <v>208</v>
      </c>
      <c r="AA109" s="185" t="s">
        <v>216</v>
      </c>
      <c r="AB109" s="186" t="str">
        <f t="shared" si="235"/>
        <v>40%</v>
      </c>
      <c r="AC109" s="185" t="s">
        <v>219</v>
      </c>
      <c r="AD109" s="185" t="s">
        <v>224</v>
      </c>
      <c r="AE109" s="185" t="s">
        <v>228</v>
      </c>
      <c r="AF109" s="187">
        <f t="shared" si="298"/>
        <v>0.10367999999999998</v>
      </c>
      <c r="AG109" s="188" t="str">
        <f t="shared" si="270"/>
        <v>Muy Baja</v>
      </c>
      <c r="AH109" s="186">
        <f t="shared" si="271"/>
        <v>0.10367999999999998</v>
      </c>
      <c r="AI109" s="188" t="str">
        <f t="shared" ca="1" si="272"/>
        <v>Menor</v>
      </c>
      <c r="AJ109" s="186">
        <f t="shared" ca="1" si="300"/>
        <v>0.4</v>
      </c>
      <c r="AK109" s="189" t="str">
        <f t="shared" ca="1" si="274"/>
        <v>Bajo</v>
      </c>
      <c r="AL109" s="185" t="s">
        <v>255</v>
      </c>
      <c r="AM109" s="227"/>
      <c r="AN109" s="230"/>
      <c r="AO109" s="228"/>
      <c r="AP109" s="228"/>
      <c r="AQ109" s="227"/>
      <c r="AR109" s="229"/>
    </row>
    <row r="110" spans="1:44" s="191" customFormat="1" ht="189.75" customHeight="1" thickTop="1" thickBot="1" x14ac:dyDescent="0.3">
      <c r="A110" s="226">
        <v>44</v>
      </c>
      <c r="B110" s="242" t="s">
        <v>666</v>
      </c>
      <c r="C110" s="237" t="s">
        <v>274</v>
      </c>
      <c r="D110" s="243" t="s">
        <v>667</v>
      </c>
      <c r="E110" s="237" t="s">
        <v>240</v>
      </c>
      <c r="F110" s="238" t="s">
        <v>668</v>
      </c>
      <c r="G110" s="238" t="s">
        <v>669</v>
      </c>
      <c r="H110" s="252" t="s">
        <v>1146</v>
      </c>
      <c r="I110" s="231" t="s">
        <v>474</v>
      </c>
      <c r="J110" s="231" t="s">
        <v>474</v>
      </c>
      <c r="K110" s="231" t="s">
        <v>474</v>
      </c>
      <c r="L110" s="231" t="s">
        <v>474</v>
      </c>
      <c r="M110" s="227" t="s">
        <v>239</v>
      </c>
      <c r="N110" s="227"/>
      <c r="O110" s="230">
        <v>365</v>
      </c>
      <c r="P110" s="232" t="str">
        <f t="shared" si="264"/>
        <v>Media</v>
      </c>
      <c r="Q110" s="225">
        <f t="shared" si="265"/>
        <v>0.6</v>
      </c>
      <c r="R110" s="225" t="s">
        <v>184</v>
      </c>
      <c r="S110" s="225" t="str">
        <f ca="1">IF(NOT(ISERROR(MATCH(R110,'Tabla Impacto'!$B$221:$B$223,0))),'Tabla Impacto'!$F$223&amp;"Por favor no seleccionar los criterios de impacto(Afectación Económica o presupuestal y Pérdida Reputacional)",R110)</f>
        <v>El riesgo afecta la imagen de alguna área de la organización</v>
      </c>
      <c r="T110" s="232" t="str">
        <f ca="1">+IF(OR(S110='[1]Tabla Impacto'!$C$11,S110='[1]Tabla Impacto'!$D$11),"Leve",IF(OR(S110='[1]Tabla Impacto'!$C$12,S110='[1]Tabla Impacto'!$D$12),"Menor",IF(OR(S110='[1]Tabla Impacto'!$C$13,S110='[1]Tabla Impacto'!$D$13),"Moderado",IF(OR(S110='[1]Tabla Impacto'!$C$14,S110='[1]Tabla Impacto'!$D$14),"Mayor",IF(OR(S110='[1]Tabla Impacto'!$C$15,S110='[1]Tabla Impacto'!$D$15),"Catastrófico","")))))</f>
        <v>Leve</v>
      </c>
      <c r="U110" s="225">
        <f t="shared" ref="U110" ca="1" si="301">IF(T110="","",IF(T110="Leve",0.2,IF(T110="Menor",0.4,IF(T110="Moderado",0.6,IF(T110="Mayor",0.8,IF(T110="Catastrófico",1,))))))</f>
        <v>0.2</v>
      </c>
      <c r="V110" s="233" t="str">
        <f t="shared" ref="V110" ca="1" si="302">IF(OR(AND(P110="Muy Baja",T110="Leve"),AND(P110="Muy Baja",T110="Menor"),AND(P110="Baja",T110="Leve")),"Bajo",IF(OR(AND(P110="Muy baja",T110="Moderado"),AND(P110="Baja",T110="Menor"),AND(P110="Baja",T110="Moderado"),AND(P110="Media",T110="Leve"),AND(P110="Media",T110="Menor"),AND(P110="Media",T110="Moderado"),AND(P110="Alta",T110="Leve"),AND(P110="Alta",T110="Menor")),"Moderado",IF(OR(AND(P110="Muy Baja",T110="Mayor"),AND(P110="Baja",T110="Mayor"),AND(P110="Media",T110="Mayor"),AND(P110="Alta",T110="Moderado"),AND(P110="Alta",T110="Mayor"),AND(P110="Muy Alta",T110="Leve"),AND(P110="Muy Alta",T110="Menor"),AND(P110="Muy Alta",T110="Moderado"),AND(P110="Muy Alta",T110="Mayor")),"Alto",IF(OR(AND(P110="Muy Baja",T110="Catastrófico"),AND(P110="Baja",T110="Catastrófico"),AND(P110="Media",T110="Catastrófico"),AND(P110="Alta",T110="Catastrófico"),AND(P110="Muy Alta",T110="Catastrófico")),"Extremo",""))))</f>
        <v>Moderado</v>
      </c>
      <c r="W110" s="233">
        <v>1</v>
      </c>
      <c r="X110" s="207" t="s">
        <v>1040</v>
      </c>
      <c r="Y110" s="230" t="str">
        <f t="shared" si="268"/>
        <v>Probabilidad</v>
      </c>
      <c r="Z110" s="185" t="s">
        <v>208</v>
      </c>
      <c r="AA110" s="185" t="s">
        <v>216</v>
      </c>
      <c r="AB110" s="186" t="str">
        <f t="shared" si="235"/>
        <v>40%</v>
      </c>
      <c r="AC110" s="185" t="s">
        <v>219</v>
      </c>
      <c r="AD110" s="185" t="s">
        <v>224</v>
      </c>
      <c r="AE110" s="185" t="s">
        <v>228</v>
      </c>
      <c r="AF110" s="187">
        <f t="shared" ref="AF110" si="303">IFERROR(IF(Y110="Probabilidad",(Q110-(+Q110*AB110)),IF(Y110="Impacto",Q110,"")),"")</f>
        <v>0.36</v>
      </c>
      <c r="AG110" s="188" t="str">
        <f t="shared" si="270"/>
        <v>Baja</v>
      </c>
      <c r="AH110" s="186">
        <f t="shared" si="271"/>
        <v>0.36</v>
      </c>
      <c r="AI110" s="188" t="str">
        <f t="shared" ca="1" si="272"/>
        <v>Leve</v>
      </c>
      <c r="AJ110" s="186">
        <f t="shared" ref="AJ110" ca="1" si="304">IFERROR(IF(Y110="Impacto",(U110-(+U110*AB110)),IF(Y110="Probabilidad",U110,"")),"")</f>
        <v>0.2</v>
      </c>
      <c r="AK110" s="189" t="str">
        <f t="shared" ca="1" si="274"/>
        <v>Bajo</v>
      </c>
      <c r="AL110" s="185" t="s">
        <v>255</v>
      </c>
      <c r="AM110" s="227"/>
      <c r="AN110" s="230"/>
      <c r="AO110" s="228"/>
      <c r="AP110" s="228"/>
      <c r="AQ110" s="227"/>
      <c r="AR110" s="229"/>
    </row>
    <row r="111" spans="1:44" s="191" customFormat="1" ht="409.5" customHeight="1" thickTop="1" thickBot="1" x14ac:dyDescent="0.3">
      <c r="A111" s="226">
        <v>45</v>
      </c>
      <c r="B111" s="242" t="s">
        <v>670</v>
      </c>
      <c r="C111" s="237" t="s">
        <v>274</v>
      </c>
      <c r="D111" s="243" t="s">
        <v>671</v>
      </c>
      <c r="E111" s="237" t="s">
        <v>240</v>
      </c>
      <c r="F111" s="238" t="s">
        <v>611</v>
      </c>
      <c r="G111" s="238" t="s">
        <v>672</v>
      </c>
      <c r="H111" s="252" t="s">
        <v>1190</v>
      </c>
      <c r="I111" s="231" t="s">
        <v>593</v>
      </c>
      <c r="J111" s="231" t="s">
        <v>593</v>
      </c>
      <c r="K111" s="231" t="s">
        <v>593</v>
      </c>
      <c r="L111" s="231" t="s">
        <v>593</v>
      </c>
      <c r="M111" s="239" t="s">
        <v>244</v>
      </c>
      <c r="N111" s="227"/>
      <c r="O111" s="230">
        <v>365</v>
      </c>
      <c r="P111" s="232" t="str">
        <f t="shared" si="264"/>
        <v>Media</v>
      </c>
      <c r="Q111" s="225">
        <f t="shared" si="265"/>
        <v>0.6</v>
      </c>
      <c r="R111" s="225" t="s">
        <v>190</v>
      </c>
      <c r="S111" s="225" t="str">
        <f ca="1">IF(NOT(ISERROR(MATCH(R111,'Tabla Impacto'!$B$221:$B$223,0))),'Tabla Impacto'!$F$223&amp;"Por favor no seleccionar los criterios de impacto(Afectación Económica o presupuestal y Pérdida Reputacional)",R111)</f>
        <v>El riesgo afecta la imagen de la entidad con algunos usuarios de relevancia frente al logro de los objetivos</v>
      </c>
      <c r="T111" s="232" t="str">
        <f ca="1">+IF(OR(S111='[1]Tabla Impacto'!$C$11,S111='[1]Tabla Impacto'!$D$11),"Leve",IF(OR(S111='[1]Tabla Impacto'!$C$12,S111='[1]Tabla Impacto'!$D$12),"Menor",IF(OR(S111='[1]Tabla Impacto'!$C$13,S111='[1]Tabla Impacto'!$D$13),"Moderado",IF(OR(S111='[1]Tabla Impacto'!$C$14,S111='[1]Tabla Impacto'!$D$14),"Mayor",IF(OR(S111='[1]Tabla Impacto'!$C$15,S111='[1]Tabla Impacto'!$D$15),"Catastrófico","")))))</f>
        <v>Moderado</v>
      </c>
      <c r="U111" s="225">
        <f t="shared" ref="U111" ca="1" si="305">IF(T111="","",IF(T111="Leve",0.2,IF(T111="Menor",0.4,IF(T111="Moderado",0.6,IF(T111="Mayor",0.8,IF(T111="Catastrófico",1,))))))</f>
        <v>0.6</v>
      </c>
      <c r="V111" s="233" t="str">
        <f t="shared" ref="V111" ca="1" si="306">IF(OR(AND(P111="Muy Baja",T111="Leve"),AND(P111="Muy Baja",T111="Menor"),AND(P111="Baja",T111="Leve")),"Bajo",IF(OR(AND(P111="Muy baja",T111="Moderado"),AND(P111="Baja",T111="Menor"),AND(P111="Baja",T111="Moderado"),AND(P111="Media",T111="Leve"),AND(P111="Media",T111="Menor"),AND(P111="Media",T111="Moderado"),AND(P111="Alta",T111="Leve"),AND(P111="Alta",T111="Menor")),"Moderado",IF(OR(AND(P111="Muy Baja",T111="Mayor"),AND(P111="Baja",T111="Mayor"),AND(P111="Media",T111="Mayor"),AND(P111="Alta",T111="Moderado"),AND(P111="Alta",T111="Mayor"),AND(P111="Muy Alta",T111="Leve"),AND(P111="Muy Alta",T111="Menor"),AND(P111="Muy Alta",T111="Moderado"),AND(P111="Muy Alta",T111="Mayor")),"Alto",IF(OR(AND(P111="Muy Baja",T111="Catastrófico"),AND(P111="Baja",T111="Catastrófico"),AND(P111="Media",T111="Catastrófico"),AND(P111="Alta",T111="Catastrófico"),AND(P111="Muy Alta",T111="Catastrófico")),"Extremo",""))))</f>
        <v>Moderado</v>
      </c>
      <c r="W111" s="233">
        <v>1</v>
      </c>
      <c r="X111" s="207" t="s">
        <v>946</v>
      </c>
      <c r="Y111" s="230" t="str">
        <f t="shared" si="268"/>
        <v>Probabilidad</v>
      </c>
      <c r="Z111" s="185" t="s">
        <v>208</v>
      </c>
      <c r="AA111" s="185" t="s">
        <v>216</v>
      </c>
      <c r="AB111" s="186" t="str">
        <f t="shared" ref="AB111:AB139" si="307">IF(AND(Z111="Preventivo",AA111="Automático"),"50%",IF(AND(Z111="Preventivo",AA111="Manual"),"40%",IF(AND(Z111="Detectivo",AA111="Automático"),"40%",IF(AND(Z111="Detectivo",AA111="Manual"),"30%",IF(AND(Z111="Correctivo",AA111="Automático"),"35%",IF(AND(Z111="Correctivo",AA111="Manual"),"25%",""))))))</f>
        <v>40%</v>
      </c>
      <c r="AC111" s="185" t="s">
        <v>219</v>
      </c>
      <c r="AD111" s="185" t="s">
        <v>224</v>
      </c>
      <c r="AE111" s="185" t="s">
        <v>228</v>
      </c>
      <c r="AF111" s="187">
        <f t="shared" ref="AF111" si="308">IFERROR(IF(Y111="Probabilidad",(Q111-(+Q111*AB111)),IF(Y111="Impacto",Q111,"")),"")</f>
        <v>0.36</v>
      </c>
      <c r="AG111" s="188" t="str">
        <f t="shared" si="270"/>
        <v>Baja</v>
      </c>
      <c r="AH111" s="186">
        <f t="shared" si="271"/>
        <v>0.36</v>
      </c>
      <c r="AI111" s="188" t="str">
        <f t="shared" ca="1" si="272"/>
        <v>Moderado</v>
      </c>
      <c r="AJ111" s="186">
        <f t="shared" ref="AJ111" ca="1" si="309">IFERROR(IF(Y111="Impacto",(U111-(+U111*AB111)),IF(Y111="Probabilidad",U111,"")),"")</f>
        <v>0.6</v>
      </c>
      <c r="AK111" s="189" t="str">
        <f t="shared" ca="1" si="274"/>
        <v>Moderado</v>
      </c>
      <c r="AL111" s="185" t="s">
        <v>255</v>
      </c>
      <c r="AM111" s="227"/>
      <c r="AN111" s="230"/>
      <c r="AO111" s="228"/>
      <c r="AP111" s="228"/>
      <c r="AQ111" s="227"/>
      <c r="AR111" s="229"/>
    </row>
    <row r="112" spans="1:44" s="191" customFormat="1" ht="267" customHeight="1" thickTop="1" thickBot="1" x14ac:dyDescent="0.3">
      <c r="A112" s="226">
        <v>46</v>
      </c>
      <c r="B112" s="242" t="s">
        <v>673</v>
      </c>
      <c r="C112" s="237" t="s">
        <v>274</v>
      </c>
      <c r="D112" s="243" t="s">
        <v>671</v>
      </c>
      <c r="E112" s="237" t="s">
        <v>238</v>
      </c>
      <c r="F112" s="238" t="s">
        <v>674</v>
      </c>
      <c r="G112" s="238" t="s">
        <v>675</v>
      </c>
      <c r="H112" s="252" t="s">
        <v>1147</v>
      </c>
      <c r="I112" s="231" t="s">
        <v>474</v>
      </c>
      <c r="J112" s="231" t="s">
        <v>474</v>
      </c>
      <c r="K112" s="231" t="s">
        <v>474</v>
      </c>
      <c r="L112" s="231" t="s">
        <v>474</v>
      </c>
      <c r="M112" s="227" t="s">
        <v>239</v>
      </c>
      <c r="N112" s="227"/>
      <c r="O112" s="230">
        <v>1</v>
      </c>
      <c r="P112" s="232" t="str">
        <f t="shared" si="264"/>
        <v>Muy Baja</v>
      </c>
      <c r="Q112" s="225">
        <f t="shared" si="265"/>
        <v>0.2</v>
      </c>
      <c r="R112" s="225" t="s">
        <v>187</v>
      </c>
      <c r="S112" s="225" t="str">
        <f ca="1">IF(NOT(ISERROR(MATCH(R112,'Tabla Impacto'!$B$221:$B$223,0))),'Tabla Impacto'!$F$223&amp;"Por favor no seleccionar los criterios de impacto(Afectación Económica o presupuestal y Pérdida Reputacional)",R112)</f>
        <v>El riesgo afecta la imagen de la entidad internamente, de conocimiento general, nivel interno, de junta dircetiva y accionistas y/o de provedores</v>
      </c>
      <c r="T112" s="232" t="str">
        <f ca="1">+IF(OR(S112='[1]Tabla Impacto'!$C$11,S112='[1]Tabla Impacto'!$D$11),"Leve",IF(OR(S112='[1]Tabla Impacto'!$C$12,S112='[1]Tabla Impacto'!$D$12),"Menor",IF(OR(S112='[1]Tabla Impacto'!$C$13,S112='[1]Tabla Impacto'!$D$13),"Moderado",IF(OR(S112='[1]Tabla Impacto'!$C$14,S112='[1]Tabla Impacto'!$D$14),"Mayor",IF(OR(S112='[1]Tabla Impacto'!$C$15,S112='[1]Tabla Impacto'!$D$15),"Catastrófico","")))))</f>
        <v>Menor</v>
      </c>
      <c r="U112" s="225">
        <f t="shared" ref="U112" ca="1" si="310">IF(T112="","",IF(T112="Leve",0.2,IF(T112="Menor",0.4,IF(T112="Moderado",0.6,IF(T112="Mayor",0.8,IF(T112="Catastrófico",1,))))))</f>
        <v>0.4</v>
      </c>
      <c r="V112" s="233" t="str">
        <f t="shared" ref="V112" ca="1" si="311">IF(OR(AND(P112="Muy Baja",T112="Leve"),AND(P112="Muy Baja",T112="Menor"),AND(P112="Baja",T112="Leve")),"Bajo",IF(OR(AND(P112="Muy baja",T112="Moderado"),AND(P112="Baja",T112="Menor"),AND(P112="Baja",T112="Moderado"),AND(P112="Media",T112="Leve"),AND(P112="Media",T112="Menor"),AND(P112="Media",T112="Moderado"),AND(P112="Alta",T112="Leve"),AND(P112="Alta",T112="Menor")),"Moderado",IF(OR(AND(P112="Muy Baja",T112="Mayor"),AND(P112="Baja",T112="Mayor"),AND(P112="Media",T112="Mayor"),AND(P112="Alta",T112="Moderado"),AND(P112="Alta",T112="Mayor"),AND(P112="Muy Alta",T112="Leve"),AND(P112="Muy Alta",T112="Menor"),AND(P112="Muy Alta",T112="Moderado"),AND(P112="Muy Alta",T112="Mayor")),"Alto",IF(OR(AND(P112="Muy Baja",T112="Catastrófico"),AND(P112="Baja",T112="Catastrófico"),AND(P112="Media",T112="Catastrófico"),AND(P112="Alta",T112="Catastrófico"),AND(P112="Muy Alta",T112="Catastrófico")),"Extremo",""))))</f>
        <v>Bajo</v>
      </c>
      <c r="W112" s="233">
        <v>1</v>
      </c>
      <c r="X112" s="207" t="s">
        <v>676</v>
      </c>
      <c r="Y112" s="230" t="str">
        <f t="shared" si="268"/>
        <v>Probabilidad</v>
      </c>
      <c r="Z112" s="185" t="s">
        <v>208</v>
      </c>
      <c r="AA112" s="185" t="s">
        <v>216</v>
      </c>
      <c r="AB112" s="186" t="str">
        <f t="shared" si="307"/>
        <v>40%</v>
      </c>
      <c r="AC112" s="185" t="s">
        <v>219</v>
      </c>
      <c r="AD112" s="185" t="s">
        <v>224</v>
      </c>
      <c r="AE112" s="185" t="s">
        <v>228</v>
      </c>
      <c r="AF112" s="187">
        <f t="shared" ref="AF112" si="312">IFERROR(IF(Y112="Probabilidad",(Q112-(+Q112*AB112)),IF(Y112="Impacto",Q112,"")),"")</f>
        <v>0.12</v>
      </c>
      <c r="AG112" s="188" t="str">
        <f t="shared" si="270"/>
        <v>Muy Baja</v>
      </c>
      <c r="AH112" s="186">
        <f t="shared" si="271"/>
        <v>0.12</v>
      </c>
      <c r="AI112" s="188" t="str">
        <f t="shared" ca="1" si="272"/>
        <v>Menor</v>
      </c>
      <c r="AJ112" s="186">
        <f t="shared" ref="AJ112" ca="1" si="313">IFERROR(IF(Y112="Impacto",(U112-(+U112*AB112)),IF(Y112="Probabilidad",U112,"")),"")</f>
        <v>0.4</v>
      </c>
      <c r="AK112" s="189" t="str">
        <f t="shared" ca="1" si="274"/>
        <v>Bajo</v>
      </c>
      <c r="AL112" s="185" t="s">
        <v>255</v>
      </c>
      <c r="AM112" s="227"/>
      <c r="AN112" s="230"/>
      <c r="AO112" s="228"/>
      <c r="AP112" s="228"/>
      <c r="AQ112" s="227"/>
      <c r="AR112" s="229"/>
    </row>
    <row r="113" spans="1:44" s="191" customFormat="1" ht="172.5" customHeight="1" thickTop="1" thickBot="1" x14ac:dyDescent="0.3">
      <c r="A113" s="328">
        <v>47</v>
      </c>
      <c r="B113" s="345" t="s">
        <v>677</v>
      </c>
      <c r="C113" s="335" t="s">
        <v>274</v>
      </c>
      <c r="D113" s="335" t="s">
        <v>678</v>
      </c>
      <c r="E113" s="335" t="s">
        <v>240</v>
      </c>
      <c r="F113" s="336" t="s">
        <v>679</v>
      </c>
      <c r="G113" s="336" t="s">
        <v>680</v>
      </c>
      <c r="H113" s="337" t="s">
        <v>1148</v>
      </c>
      <c r="I113" s="338" t="s">
        <v>593</v>
      </c>
      <c r="J113" s="338" t="s">
        <v>593</v>
      </c>
      <c r="K113" s="338" t="s">
        <v>593</v>
      </c>
      <c r="L113" s="338" t="s">
        <v>593</v>
      </c>
      <c r="M113" s="333" t="s">
        <v>239</v>
      </c>
      <c r="N113" s="333"/>
      <c r="O113" s="339">
        <v>365</v>
      </c>
      <c r="P113" s="340" t="str">
        <f t="shared" si="264"/>
        <v>Media</v>
      </c>
      <c r="Q113" s="341">
        <f t="shared" si="265"/>
        <v>0.6</v>
      </c>
      <c r="R113" s="341" t="s">
        <v>186</v>
      </c>
      <c r="S113" s="341" t="str">
        <f ca="1">IF(NOT(ISERROR(MATCH(R113,'Tabla Impacto'!$B$221:$B$223,0))),'Tabla Impacto'!$F$223&amp;"Por favor no seleccionar los criterios de impacto(Afectación Económica o presupuestal y Pérdida Reputacional)",R113)</f>
        <v xml:space="preserve">Entre 10 y 50 SMLMV </v>
      </c>
      <c r="T113" s="340" t="str">
        <f ca="1">+IF(OR(S113='[1]Tabla Impacto'!$C$11,S113='[1]Tabla Impacto'!$D$11),"Leve",IF(OR(S113='[1]Tabla Impacto'!$C$12,S113='[1]Tabla Impacto'!$D$12),"Menor",IF(OR(S113='[1]Tabla Impacto'!$C$13,S113='[1]Tabla Impacto'!$D$13),"Moderado",IF(OR(S113='[1]Tabla Impacto'!$C$14,S113='[1]Tabla Impacto'!$D$14),"Mayor",IF(OR(S113='[1]Tabla Impacto'!$C$15,S113='[1]Tabla Impacto'!$D$15),"Catastrófico","")))))</f>
        <v>Menor</v>
      </c>
      <c r="U113" s="341">
        <f t="shared" ref="U113" ca="1" si="314">IF(T113="","",IF(T113="Leve",0.2,IF(T113="Menor",0.4,IF(T113="Moderado",0.6,IF(T113="Mayor",0.8,IF(T113="Catastrófico",1,))))))</f>
        <v>0.4</v>
      </c>
      <c r="V113" s="327" t="str">
        <f t="shared" ref="V113" ca="1" si="315">IF(OR(AND(P113="Muy Baja",T113="Leve"),AND(P113="Muy Baja",T113="Menor"),AND(P113="Baja",T113="Leve")),"Bajo",IF(OR(AND(P113="Muy baja",T113="Moderado"),AND(P113="Baja",T113="Menor"),AND(P113="Baja",T113="Moderado"),AND(P113="Media",T113="Leve"),AND(P113="Media",T113="Menor"),AND(P113="Media",T113="Moderado"),AND(P113="Alta",T113="Leve"),AND(P113="Alta",T113="Menor")),"Moderado",IF(OR(AND(P113="Muy Baja",T113="Mayor"),AND(P113="Baja",T113="Mayor"),AND(P113="Media",T113="Mayor"),AND(P113="Alta",T113="Moderado"),AND(P113="Alta",T113="Mayor"),AND(P113="Muy Alta",T113="Leve"),AND(P113="Muy Alta",T113="Menor"),AND(P113="Muy Alta",T113="Moderado"),AND(P113="Muy Alta",T113="Mayor")),"Alto",IF(OR(AND(P113="Muy Baja",T113="Catastrófico"),AND(P113="Baja",T113="Catastrófico"),AND(P113="Media",T113="Catastrófico"),AND(P113="Alta",T113="Catastrófico"),AND(P113="Muy Alta",T113="Catastrófico")),"Extremo",""))))</f>
        <v>Moderado</v>
      </c>
      <c r="W113" s="233">
        <v>1</v>
      </c>
      <c r="X113" s="207" t="s">
        <v>681</v>
      </c>
      <c r="Y113" s="230" t="str">
        <f t="shared" si="268"/>
        <v>Probabilidad</v>
      </c>
      <c r="Z113" s="185" t="s">
        <v>208</v>
      </c>
      <c r="AA113" s="185" t="s">
        <v>216</v>
      </c>
      <c r="AB113" s="186" t="str">
        <f t="shared" si="307"/>
        <v>40%</v>
      </c>
      <c r="AC113" s="185" t="s">
        <v>219</v>
      </c>
      <c r="AD113" s="185" t="s">
        <v>224</v>
      </c>
      <c r="AE113" s="185" t="s">
        <v>228</v>
      </c>
      <c r="AF113" s="187">
        <f t="shared" ref="AF113" si="316">IFERROR(IF(Y113="Probabilidad",(Q113-(+Q113*AB113)),IF(Y113="Impacto",Q113,"")),"")</f>
        <v>0.36</v>
      </c>
      <c r="AG113" s="188" t="str">
        <f t="shared" si="270"/>
        <v>Baja</v>
      </c>
      <c r="AH113" s="186">
        <f t="shared" si="271"/>
        <v>0.36</v>
      </c>
      <c r="AI113" s="188" t="str">
        <f t="shared" ca="1" si="272"/>
        <v>Menor</v>
      </c>
      <c r="AJ113" s="186">
        <f t="shared" ref="AJ113" ca="1" si="317">IFERROR(IF(Y113="Impacto",(U113-(+U113*AB113)),IF(Y113="Probabilidad",U113,"")),"")</f>
        <v>0.4</v>
      </c>
      <c r="AK113" s="189" t="str">
        <f t="shared" ca="1" si="274"/>
        <v>Moderado</v>
      </c>
      <c r="AL113" s="185" t="s">
        <v>255</v>
      </c>
      <c r="AM113" s="227"/>
      <c r="AN113" s="230"/>
      <c r="AO113" s="228"/>
      <c r="AP113" s="228"/>
      <c r="AQ113" s="227"/>
      <c r="AR113" s="229"/>
    </row>
    <row r="114" spans="1:44" s="191" customFormat="1" ht="156" customHeight="1" thickTop="1" thickBot="1" x14ac:dyDescent="0.3">
      <c r="A114" s="328"/>
      <c r="B114" s="345"/>
      <c r="C114" s="335"/>
      <c r="D114" s="335"/>
      <c r="E114" s="335"/>
      <c r="F114" s="336"/>
      <c r="G114" s="336"/>
      <c r="H114" s="337"/>
      <c r="I114" s="338"/>
      <c r="J114" s="338"/>
      <c r="K114" s="338"/>
      <c r="L114" s="338"/>
      <c r="M114" s="333"/>
      <c r="N114" s="333"/>
      <c r="O114" s="339"/>
      <c r="P114" s="340"/>
      <c r="Q114" s="341"/>
      <c r="R114" s="341"/>
      <c r="S114" s="341">
        <f ca="1">IF(NOT(ISERROR(MATCH(R114,_xlfn.ANCHORARRAY(H120),0))),Q122&amp;"Por favor no seleccionar los criterios de impacto",R114)</f>
        <v>0</v>
      </c>
      <c r="T114" s="340"/>
      <c r="U114" s="341"/>
      <c r="V114" s="327"/>
      <c r="W114" s="233">
        <v>2</v>
      </c>
      <c r="X114" s="207" t="s">
        <v>682</v>
      </c>
      <c r="Y114" s="230" t="str">
        <f t="shared" si="268"/>
        <v>Probabilidad</v>
      </c>
      <c r="Z114" s="185" t="s">
        <v>208</v>
      </c>
      <c r="AA114" s="185" t="s">
        <v>216</v>
      </c>
      <c r="AB114" s="186" t="str">
        <f t="shared" si="307"/>
        <v>40%</v>
      </c>
      <c r="AC114" s="185" t="s">
        <v>219</v>
      </c>
      <c r="AD114" s="185" t="s">
        <v>224</v>
      </c>
      <c r="AE114" s="185" t="s">
        <v>228</v>
      </c>
      <c r="AF114" s="187">
        <f t="shared" ref="AF114:AF115" si="318">IFERROR(IF(AND(Y113="Probabilidad",Y114="Probabilidad"),(AH113-(+AH113*AB114)),IF(Y114="Probabilidad",(Q113-(+Q113*AB114)),IF(Y114="Impacto",AH113,""))),"")</f>
        <v>0.216</v>
      </c>
      <c r="AG114" s="188" t="str">
        <f t="shared" si="270"/>
        <v>Baja</v>
      </c>
      <c r="AH114" s="186">
        <f t="shared" si="271"/>
        <v>0.216</v>
      </c>
      <c r="AI114" s="188" t="str">
        <f t="shared" ca="1" si="272"/>
        <v>Menor</v>
      </c>
      <c r="AJ114" s="186">
        <f t="shared" ref="AJ114" ca="1" si="319">IFERROR(IF(AND(Y113="Impacto",Y114="Impacto"),(AJ113-(+AJ113*AB114)),IF(Y114="Impacto",(U113-(+U113*AB114)),IF(Y114="Probabilidad",AJ113,""))),"")</f>
        <v>0.4</v>
      </c>
      <c r="AK114" s="189" t="str">
        <f t="shared" ca="1" si="274"/>
        <v>Moderado</v>
      </c>
      <c r="AL114" s="185" t="s">
        <v>255</v>
      </c>
      <c r="AM114" s="227"/>
      <c r="AN114" s="230"/>
      <c r="AO114" s="228"/>
      <c r="AP114" s="228"/>
      <c r="AQ114" s="227"/>
      <c r="AR114" s="229"/>
    </row>
    <row r="115" spans="1:44" s="191" customFormat="1" ht="156" customHeight="1" thickTop="1" thickBot="1" x14ac:dyDescent="0.3">
      <c r="A115" s="328"/>
      <c r="B115" s="345"/>
      <c r="C115" s="335"/>
      <c r="D115" s="335"/>
      <c r="E115" s="335"/>
      <c r="F115" s="336"/>
      <c r="G115" s="336"/>
      <c r="H115" s="337"/>
      <c r="I115" s="338"/>
      <c r="J115" s="338"/>
      <c r="K115" s="338"/>
      <c r="L115" s="338"/>
      <c r="M115" s="333"/>
      <c r="N115" s="333"/>
      <c r="O115" s="339"/>
      <c r="P115" s="340"/>
      <c r="Q115" s="341"/>
      <c r="R115" s="341"/>
      <c r="S115" s="341">
        <f ca="1">IF(NOT(ISERROR(MATCH(R115,_xlfn.ANCHORARRAY(H121),0))),Q123&amp;"Por favor no seleccionar los criterios de impacto",R115)</f>
        <v>0</v>
      </c>
      <c r="T115" s="340"/>
      <c r="U115" s="341"/>
      <c r="V115" s="327"/>
      <c r="W115" s="233">
        <v>3</v>
      </c>
      <c r="X115" s="207" t="s">
        <v>683</v>
      </c>
      <c r="Y115" s="230" t="str">
        <f t="shared" si="268"/>
        <v>Probabilidad</v>
      </c>
      <c r="Z115" s="185" t="s">
        <v>208</v>
      </c>
      <c r="AA115" s="185" t="s">
        <v>216</v>
      </c>
      <c r="AB115" s="186" t="str">
        <f t="shared" si="307"/>
        <v>40%</v>
      </c>
      <c r="AC115" s="185" t="s">
        <v>219</v>
      </c>
      <c r="AD115" s="185" t="s">
        <v>224</v>
      </c>
      <c r="AE115" s="185" t="s">
        <v>228</v>
      </c>
      <c r="AF115" s="187">
        <f t="shared" si="318"/>
        <v>0.12959999999999999</v>
      </c>
      <c r="AG115" s="188" t="str">
        <f t="shared" si="270"/>
        <v>Muy Baja</v>
      </c>
      <c r="AH115" s="186">
        <f t="shared" si="271"/>
        <v>0.12959999999999999</v>
      </c>
      <c r="AI115" s="188" t="str">
        <f t="shared" ca="1" si="272"/>
        <v>Menor</v>
      </c>
      <c r="AJ115" s="186">
        <f t="shared" ref="AJ115" ca="1" si="320">IFERROR(IF(AND(Y114="Impacto",Y115="Impacto"),(AJ114-(+AJ114*AB115)),IF(AND(Y114="Probabilidad",Y115="Impacto"),(AJ113-(+AJ113*AB115)),IF(Y115="Probabilidad",AJ114,""))),"")</f>
        <v>0.4</v>
      </c>
      <c r="AK115" s="189" t="str">
        <f t="shared" ca="1" si="274"/>
        <v>Bajo</v>
      </c>
      <c r="AL115" s="185"/>
      <c r="AM115" s="227"/>
      <c r="AN115" s="230"/>
      <c r="AO115" s="228"/>
      <c r="AP115" s="228"/>
      <c r="AQ115" s="227"/>
      <c r="AR115" s="229"/>
    </row>
    <row r="116" spans="1:44" s="191" customFormat="1" ht="137.25" customHeight="1" thickTop="1" thickBot="1" x14ac:dyDescent="0.3">
      <c r="A116" s="328">
        <v>48</v>
      </c>
      <c r="B116" s="345" t="s">
        <v>684</v>
      </c>
      <c r="C116" s="335" t="s">
        <v>274</v>
      </c>
      <c r="D116" s="335" t="s">
        <v>685</v>
      </c>
      <c r="E116" s="335" t="s">
        <v>240</v>
      </c>
      <c r="F116" s="336" t="s">
        <v>686</v>
      </c>
      <c r="G116" s="336" t="s">
        <v>687</v>
      </c>
      <c r="H116" s="337" t="s">
        <v>1149</v>
      </c>
      <c r="I116" s="338" t="s">
        <v>474</v>
      </c>
      <c r="J116" s="338" t="s">
        <v>474</v>
      </c>
      <c r="K116" s="338" t="s">
        <v>474</v>
      </c>
      <c r="L116" s="338" t="s">
        <v>474</v>
      </c>
      <c r="M116" s="333" t="s">
        <v>239</v>
      </c>
      <c r="N116" s="333"/>
      <c r="O116" s="339">
        <v>160</v>
      </c>
      <c r="P116" s="340" t="str">
        <f>IF(O116&lt;=0,"",IF(O116&lt;=2,"Muy Baja",IF(O116&lt;=24,"Baja",IF(O116&lt;=500,"Media",IF(O116&lt;=5000,"Alta","Muy Alta")))))</f>
        <v>Media</v>
      </c>
      <c r="Q116" s="341">
        <f>IF(P116="","",IF(P116="Muy Baja",0.2,IF(P116="Baja",0.4,IF(P116="Media",0.6,IF(P116="Alta",0.8,IF(P116="Muy Alta",1,))))))</f>
        <v>0.6</v>
      </c>
      <c r="R116" s="341" t="s">
        <v>187</v>
      </c>
      <c r="S116" s="341" t="str">
        <f ca="1">IF(NOT(ISERROR(MATCH(R116,'Tabla Impacto'!$B$221:$B$223,0))),'Tabla Impacto'!$F$223&amp;"Por favor no seleccionar los criterios de impacto(Afectación Económica o presupuestal y Pérdida Reputacional)",R116)</f>
        <v>El riesgo afecta la imagen de la entidad internamente, de conocimiento general, nivel interno, de junta dircetiva y accionistas y/o de provedores</v>
      </c>
      <c r="T116" s="340" t="str">
        <f ca="1">+IF(OR(S116='[1]Tabla Impacto'!$C$11,S116='[1]Tabla Impacto'!$D$11),"Leve",IF(OR(S116='[1]Tabla Impacto'!$C$12,S116='[1]Tabla Impacto'!$D$12),"Menor",IF(OR(S116='[1]Tabla Impacto'!$C$13,S116='[1]Tabla Impacto'!$D$13),"Moderado",IF(OR(S116='[1]Tabla Impacto'!$C$14,S116='[1]Tabla Impacto'!$D$14),"Mayor",IF(OR(S116='[1]Tabla Impacto'!$C$15,S116='[1]Tabla Impacto'!$D$15),"Catastrófico","")))))</f>
        <v>Menor</v>
      </c>
      <c r="U116" s="341">
        <f t="shared" ref="U116" ca="1" si="321">IF(T116="","",IF(T116="Leve",0.2,IF(T116="Menor",0.4,IF(T116="Moderado",0.6,IF(T116="Mayor",0.8,IF(T116="Catastrófico",1,))))))</f>
        <v>0.4</v>
      </c>
      <c r="V116" s="327" t="str">
        <f t="shared" ref="V116" ca="1" si="322">IF(OR(AND(P116="Muy Baja",T116="Leve"),AND(P116="Muy Baja",T116="Menor"),AND(P116="Baja",T116="Leve")),"Bajo",IF(OR(AND(P116="Muy baja",T116="Moderado"),AND(P116="Baja",T116="Menor"),AND(P116="Baja",T116="Moderado"),AND(P116="Media",T116="Leve"),AND(P116="Media",T116="Menor"),AND(P116="Media",T116="Moderado"),AND(P116="Alta",T116="Leve"),AND(P116="Alta",T116="Menor")),"Moderado",IF(OR(AND(P116="Muy Baja",T116="Mayor"),AND(P116="Baja",T116="Mayor"),AND(P116="Media",T116="Mayor"),AND(P116="Alta",T116="Moderado"),AND(P116="Alta",T116="Mayor"),AND(P116="Muy Alta",T116="Leve"),AND(P116="Muy Alta",T116="Menor"),AND(P116="Muy Alta",T116="Moderado"),AND(P116="Muy Alta",T116="Mayor")),"Alto",IF(OR(AND(P116="Muy Baja",T116="Catastrófico"),AND(P116="Baja",T116="Catastrófico"),AND(P116="Media",T116="Catastrófico"),AND(P116="Alta",T116="Catastrófico"),AND(P116="Muy Alta",T116="Catastrófico")),"Extremo",""))))</f>
        <v>Moderado</v>
      </c>
      <c r="W116" s="233">
        <v>1</v>
      </c>
      <c r="X116" s="207" t="s">
        <v>688</v>
      </c>
      <c r="Y116" s="230" t="str">
        <f>IF(OR(Z116="Preventivo",Z116="Detectivo"),"Probabilidad",IF(Z116="Correctivo","Impacto",""))</f>
        <v>Probabilidad</v>
      </c>
      <c r="Z116" s="185" t="s">
        <v>210</v>
      </c>
      <c r="AA116" s="185" t="s">
        <v>216</v>
      </c>
      <c r="AB116" s="186" t="str">
        <f t="shared" si="307"/>
        <v>30%</v>
      </c>
      <c r="AC116" s="185" t="s">
        <v>219</v>
      </c>
      <c r="AD116" s="185" t="s">
        <v>224</v>
      </c>
      <c r="AE116" s="185" t="s">
        <v>228</v>
      </c>
      <c r="AF116" s="187">
        <f>IFERROR(IF(Y116="Probabilidad",(Q116-(+Q116*AB116)),IF(Y116="Impacto",Q116,"")),"")</f>
        <v>0.42</v>
      </c>
      <c r="AG116" s="188" t="str">
        <f>IFERROR(IF(AF116="","",IF(AF116&lt;=0.2,"Muy Baja",IF(AF116&lt;=0.4,"Baja",IF(AF116&lt;=0.6,"Media",IF(AF116&lt;=0.8,"Alta","Muy Alta"))))),"")</f>
        <v>Media</v>
      </c>
      <c r="AH116" s="186">
        <f>+AF116</f>
        <v>0.42</v>
      </c>
      <c r="AI116" s="188" t="str">
        <f ca="1">IFERROR(IF(AJ116="","",IF(AJ116&lt;=0.2,"Leve",IF(AJ116&lt;=0.4,"Menor",IF(AJ116&lt;=0.6,"Moderado",IF(AJ116&lt;=0.8,"Mayor","Catastrófico"))))),"")</f>
        <v>Menor</v>
      </c>
      <c r="AJ116" s="186">
        <f ca="1">IFERROR(IF(Y116="Impacto",(U116-(+U116*AB116)),IF(Y116="Probabilidad",U116,"")),"")</f>
        <v>0.4</v>
      </c>
      <c r="AK116" s="189" t="str">
        <f ca="1">IFERROR(IF(OR(AND(AG116="Muy Baja",AI116="Leve"),AND(AG116="Muy Baja",AI116="Menor"),AND(AG116="Baja",AI116="Leve")),"Bajo",IF(OR(AND(AG116="Muy baja",AI116="Moderado"),AND(AG116="Baja",AI116="Menor"),AND(AG116="Baja",AI116="Moderado"),AND(AG116="Media",AI116="Leve"),AND(AG116="Media",AI116="Menor"),AND(AG116="Media",AI116="Moderado"),AND(AG116="Alta",AI116="Leve"),AND(AG116="Alta",AI116="Menor")),"Moderado",IF(OR(AND(AG116="Muy Baja",AI116="Mayor"),AND(AG116="Baja",AI116="Mayor"),AND(AG116="Media",AI116="Mayor"),AND(AG116="Alta",AI116="Moderado"),AND(AG116="Alta",AI116="Mayor"),AND(AG116="Muy Alta",AI116="Leve"),AND(AG116="Muy Alta",AI116="Menor"),AND(AG116="Muy Alta",AI116="Moderado"),AND(AG116="Muy Alta",AI116="Mayor")),"Alto",IF(OR(AND(AG116="Muy Baja",AI116="Catastrófico"),AND(AG116="Baja",AI116="Catastrófico"),AND(AG116="Media",AI116="Catastrófico"),AND(AG116="Alta",AI116="Catastrófico"),AND(AG116="Muy Alta",AI116="Catastrófico")),"Extremo","")))),"")</f>
        <v>Moderado</v>
      </c>
      <c r="AL116" s="185" t="s">
        <v>255</v>
      </c>
      <c r="AM116" s="227"/>
      <c r="AN116" s="230"/>
      <c r="AO116" s="228"/>
      <c r="AP116" s="228"/>
      <c r="AQ116" s="227"/>
      <c r="AR116" s="229"/>
    </row>
    <row r="117" spans="1:44" s="191" customFormat="1" ht="135" customHeight="1" thickTop="1" thickBot="1" x14ac:dyDescent="0.3">
      <c r="A117" s="328"/>
      <c r="B117" s="345"/>
      <c r="C117" s="335"/>
      <c r="D117" s="335"/>
      <c r="E117" s="335"/>
      <c r="F117" s="336"/>
      <c r="G117" s="336"/>
      <c r="H117" s="337"/>
      <c r="I117" s="338"/>
      <c r="J117" s="338"/>
      <c r="K117" s="338"/>
      <c r="L117" s="338"/>
      <c r="M117" s="333"/>
      <c r="N117" s="333"/>
      <c r="O117" s="339"/>
      <c r="P117" s="340"/>
      <c r="Q117" s="341"/>
      <c r="R117" s="341"/>
      <c r="S117" s="341">
        <f ca="1">IF(NOT(ISERROR(MATCH(R117,_xlfn.ANCHORARRAY(H124),0))),Q126&amp;"Por favor no seleccionar los criterios de impacto",R117)</f>
        <v>0</v>
      </c>
      <c r="T117" s="340"/>
      <c r="U117" s="341"/>
      <c r="V117" s="327"/>
      <c r="W117" s="233">
        <v>2</v>
      </c>
      <c r="X117" s="207" t="s">
        <v>689</v>
      </c>
      <c r="Y117" s="230" t="str">
        <f t="shared" ref="Y117:Y150" si="323">IF(OR(Z117="Preventivo",Z117="Detectivo"),"Probabilidad",IF(Z117="Correctivo","Impacto",""))</f>
        <v>Probabilidad</v>
      </c>
      <c r="Z117" s="185" t="s">
        <v>208</v>
      </c>
      <c r="AA117" s="185" t="s">
        <v>216</v>
      </c>
      <c r="AB117" s="186" t="str">
        <f t="shared" si="307"/>
        <v>40%</v>
      </c>
      <c r="AC117" s="185" t="s">
        <v>219</v>
      </c>
      <c r="AD117" s="185" t="s">
        <v>224</v>
      </c>
      <c r="AE117" s="185" t="s">
        <v>228</v>
      </c>
      <c r="AF117" s="187">
        <f>IFERROR(IF(AND(Y116="Probabilidad",Y117="Probabilidad"),(AH116-(+AH116*AB117)),IF(Y117="Probabilidad",(Q116-(+Q116*AB117)),IF(Y117="Impacto",AH116,""))),"")</f>
        <v>0.252</v>
      </c>
      <c r="AG117" s="188" t="str">
        <f t="shared" ref="AG117:AG150" si="324">IFERROR(IF(AF117="","",IF(AF117&lt;=0.2,"Muy Baja",IF(AF117&lt;=0.4,"Baja",IF(AF117&lt;=0.6,"Media",IF(AF117&lt;=0.8,"Alta","Muy Alta"))))),"")</f>
        <v>Baja</v>
      </c>
      <c r="AH117" s="186">
        <f t="shared" ref="AH117:AH150" si="325">+AF117</f>
        <v>0.252</v>
      </c>
      <c r="AI117" s="188" t="str">
        <f t="shared" ref="AI117:AI150" ca="1" si="326">IFERROR(IF(AJ117="","",IF(AJ117&lt;=0.2,"Leve",IF(AJ117&lt;=0.4,"Menor",IF(AJ117&lt;=0.6,"Moderado",IF(AJ117&lt;=0.8,"Mayor","Catastrófico"))))),"")</f>
        <v>Menor</v>
      </c>
      <c r="AJ117" s="186">
        <f ca="1">IFERROR(IF(AND(Y116="Impacto",Y117="Impacto"),(AJ116-(+AJ116*AB117)),IF(Y117="Impacto",(U116-(+U116*AB117)),IF(Y117="Probabilidad",AJ116,""))),"")</f>
        <v>0.4</v>
      </c>
      <c r="AK117" s="189" t="str">
        <f t="shared" ref="AK117:AK150" ca="1" si="327">IFERROR(IF(OR(AND(AG117="Muy Baja",AI117="Leve"),AND(AG117="Muy Baja",AI117="Menor"),AND(AG117="Baja",AI117="Leve")),"Bajo",IF(OR(AND(AG117="Muy baja",AI117="Moderado"),AND(AG117="Baja",AI117="Menor"),AND(AG117="Baja",AI117="Moderado"),AND(AG117="Media",AI117="Leve"),AND(AG117="Media",AI117="Menor"),AND(AG117="Media",AI117="Moderado"),AND(AG117="Alta",AI117="Leve"),AND(AG117="Alta",AI117="Menor")),"Moderado",IF(OR(AND(AG117="Muy Baja",AI117="Mayor"),AND(AG117="Baja",AI117="Mayor"),AND(AG117="Media",AI117="Mayor"),AND(AG117="Alta",AI117="Moderado"),AND(AG117="Alta",AI117="Mayor"),AND(AG117="Muy Alta",AI117="Leve"),AND(AG117="Muy Alta",AI117="Menor"),AND(AG117="Muy Alta",AI117="Moderado"),AND(AG117="Muy Alta",AI117="Mayor")),"Alto",IF(OR(AND(AG117="Muy Baja",AI117="Catastrófico"),AND(AG117="Baja",AI117="Catastrófico"),AND(AG117="Media",AI117="Catastrófico"),AND(AG117="Alta",AI117="Catastrófico"),AND(AG117="Muy Alta",AI117="Catastrófico")),"Extremo","")))),"")</f>
        <v>Moderado</v>
      </c>
      <c r="AL117" s="185" t="s">
        <v>255</v>
      </c>
      <c r="AM117" s="227"/>
      <c r="AN117" s="230"/>
      <c r="AO117" s="228"/>
      <c r="AP117" s="228"/>
      <c r="AQ117" s="227"/>
      <c r="AR117" s="229"/>
    </row>
    <row r="118" spans="1:44" s="191" customFormat="1" ht="142.5" customHeight="1" thickTop="1" thickBot="1" x14ac:dyDescent="0.3">
      <c r="A118" s="328"/>
      <c r="B118" s="345"/>
      <c r="C118" s="335"/>
      <c r="D118" s="335"/>
      <c r="E118" s="335"/>
      <c r="F118" s="336"/>
      <c r="G118" s="336"/>
      <c r="H118" s="337"/>
      <c r="I118" s="338"/>
      <c r="J118" s="338"/>
      <c r="K118" s="338"/>
      <c r="L118" s="338"/>
      <c r="M118" s="333"/>
      <c r="N118" s="333"/>
      <c r="O118" s="339"/>
      <c r="P118" s="340"/>
      <c r="Q118" s="341"/>
      <c r="R118" s="341"/>
      <c r="S118" s="341">
        <f ca="1">IF(NOT(ISERROR(MATCH(R118,_xlfn.ANCHORARRAY(H125),0))),#REF!&amp;"Por favor no seleccionar los criterios de impacto",R118)</f>
        <v>0</v>
      </c>
      <c r="T118" s="340"/>
      <c r="U118" s="341"/>
      <c r="V118" s="327"/>
      <c r="W118" s="233">
        <v>3</v>
      </c>
      <c r="X118" s="207" t="s">
        <v>690</v>
      </c>
      <c r="Y118" s="230" t="str">
        <f t="shared" si="323"/>
        <v>Probabilidad</v>
      </c>
      <c r="Z118" s="185" t="s">
        <v>208</v>
      </c>
      <c r="AA118" s="185" t="s">
        <v>216</v>
      </c>
      <c r="AB118" s="186" t="str">
        <f t="shared" si="307"/>
        <v>40%</v>
      </c>
      <c r="AC118" s="185" t="s">
        <v>219</v>
      </c>
      <c r="AD118" s="185" t="s">
        <v>224</v>
      </c>
      <c r="AE118" s="185" t="s">
        <v>228</v>
      </c>
      <c r="AF118" s="187">
        <f t="shared" ref="AF118:AF119" si="328">IFERROR(IF(AND(Y117="Probabilidad",Y118="Probabilidad"),(AH117-(+AH117*AB118)),IF(Y118="Probabilidad",(Q117-(+Q117*AB118)),IF(Y118="Impacto",AH117,""))),"")</f>
        <v>0.1512</v>
      </c>
      <c r="AG118" s="188" t="str">
        <f t="shared" si="324"/>
        <v>Muy Baja</v>
      </c>
      <c r="AH118" s="186">
        <f t="shared" si="325"/>
        <v>0.1512</v>
      </c>
      <c r="AI118" s="188" t="str">
        <f t="shared" ca="1" si="326"/>
        <v>Menor</v>
      </c>
      <c r="AJ118" s="186">
        <f ca="1">IFERROR(IF(AND(Y117="Impacto",Y118="Impacto"),(AJ117-(+AJ117*AB118)),IF(AND(Y117="Probabilidad",Y118="Impacto"),(AJ116-(+AJ116*AB118)),IF(Y118="Probabilidad",AJ117,""))),"")</f>
        <v>0.4</v>
      </c>
      <c r="AK118" s="189" t="str">
        <f t="shared" ca="1" si="327"/>
        <v>Bajo</v>
      </c>
      <c r="AL118" s="185" t="s">
        <v>255</v>
      </c>
      <c r="AM118" s="227"/>
      <c r="AN118" s="230"/>
      <c r="AO118" s="228"/>
      <c r="AP118" s="228"/>
      <c r="AQ118" s="227"/>
      <c r="AR118" s="229"/>
    </row>
    <row r="119" spans="1:44" s="191" customFormat="1" ht="129.75" customHeight="1" thickTop="1" thickBot="1" x14ac:dyDescent="0.3">
      <c r="A119" s="328"/>
      <c r="B119" s="345"/>
      <c r="C119" s="335"/>
      <c r="D119" s="335"/>
      <c r="E119" s="335"/>
      <c r="F119" s="336"/>
      <c r="G119" s="336"/>
      <c r="H119" s="337"/>
      <c r="I119" s="338"/>
      <c r="J119" s="338"/>
      <c r="K119" s="338"/>
      <c r="L119" s="338"/>
      <c r="M119" s="333"/>
      <c r="N119" s="333"/>
      <c r="O119" s="339"/>
      <c r="P119" s="340"/>
      <c r="Q119" s="341"/>
      <c r="R119" s="341"/>
      <c r="S119" s="341">
        <f ca="1">IF(NOT(ISERROR(MATCH(R119,_xlfn.ANCHORARRAY(H126),0))),#REF!&amp;"Por favor no seleccionar los criterios de impacto",R119)</f>
        <v>0</v>
      </c>
      <c r="T119" s="340"/>
      <c r="U119" s="341"/>
      <c r="V119" s="327"/>
      <c r="W119" s="233">
        <v>4</v>
      </c>
      <c r="X119" s="207" t="s">
        <v>691</v>
      </c>
      <c r="Y119" s="230" t="str">
        <f t="shared" si="323"/>
        <v>Probabilidad</v>
      </c>
      <c r="Z119" s="185" t="s">
        <v>208</v>
      </c>
      <c r="AA119" s="185" t="s">
        <v>216</v>
      </c>
      <c r="AB119" s="186" t="str">
        <f t="shared" si="307"/>
        <v>40%</v>
      </c>
      <c r="AC119" s="185" t="s">
        <v>219</v>
      </c>
      <c r="AD119" s="185" t="s">
        <v>224</v>
      </c>
      <c r="AE119" s="185" t="s">
        <v>228</v>
      </c>
      <c r="AF119" s="187">
        <f t="shared" si="328"/>
        <v>9.0719999999999995E-2</v>
      </c>
      <c r="AG119" s="188" t="str">
        <f t="shared" si="324"/>
        <v>Muy Baja</v>
      </c>
      <c r="AH119" s="186">
        <f t="shared" si="325"/>
        <v>9.0719999999999995E-2</v>
      </c>
      <c r="AI119" s="188" t="str">
        <f t="shared" ca="1" si="326"/>
        <v>Menor</v>
      </c>
      <c r="AJ119" s="186">
        <f t="shared" ref="AJ119" ca="1" si="329">IFERROR(IF(AND(Y118="Impacto",Y119="Impacto"),(AJ118-(+AJ118*AB119)),IF(AND(Y118="Probabilidad",Y119="Impacto"),(AJ117-(+AJ117*AB119)),IF(Y119="Probabilidad",AJ118,""))),"")</f>
        <v>0.4</v>
      </c>
      <c r="AK119" s="189" t="str">
        <f t="shared" ca="1" si="327"/>
        <v>Bajo</v>
      </c>
      <c r="AL119" s="185" t="s">
        <v>255</v>
      </c>
      <c r="AM119" s="227"/>
      <c r="AN119" s="230"/>
      <c r="AO119" s="228"/>
      <c r="AP119" s="228"/>
      <c r="AQ119" s="227"/>
      <c r="AR119" s="229"/>
    </row>
    <row r="120" spans="1:44" s="191" customFormat="1" ht="134.25" customHeight="1" thickTop="1" thickBot="1" x14ac:dyDescent="0.3">
      <c r="A120" s="328">
        <v>49</v>
      </c>
      <c r="B120" s="334" t="s">
        <v>692</v>
      </c>
      <c r="C120" s="335" t="s">
        <v>274</v>
      </c>
      <c r="D120" s="335" t="s">
        <v>693</v>
      </c>
      <c r="E120" s="335" t="s">
        <v>240</v>
      </c>
      <c r="F120" s="336" t="s">
        <v>694</v>
      </c>
      <c r="G120" s="336" t="s">
        <v>695</v>
      </c>
      <c r="H120" s="337" t="s">
        <v>1150</v>
      </c>
      <c r="I120" s="338" t="s">
        <v>474</v>
      </c>
      <c r="J120" s="338" t="s">
        <v>474</v>
      </c>
      <c r="K120" s="338" t="s">
        <v>474</v>
      </c>
      <c r="L120" s="338" t="s">
        <v>474</v>
      </c>
      <c r="M120" s="333" t="s">
        <v>239</v>
      </c>
      <c r="N120" s="333"/>
      <c r="O120" s="339">
        <v>12</v>
      </c>
      <c r="P120" s="340" t="str">
        <f>IF(O120&lt;=0,"",IF(O120&lt;=2,"Muy Baja",IF(O120&lt;=24,"Baja",IF(O120&lt;=500,"Media",IF(O120&lt;=5000,"Alta","Muy Alta")))))</f>
        <v>Baja</v>
      </c>
      <c r="Q120" s="341">
        <f>IF(P120="","",IF(P120="Muy Baja",0.2,IF(P120="Baja",0.4,IF(P120="Media",0.6,IF(P120="Alta",0.8,IF(P120="Muy Alta",1,))))))</f>
        <v>0.4</v>
      </c>
      <c r="R120" s="341" t="s">
        <v>193</v>
      </c>
      <c r="S120" s="341" t="str">
        <f ca="1">IF(NOT(ISERROR(MATCH(R120,'Tabla Impacto'!$B$221:$B$223,0))),'Tabla Impacto'!$F$223&amp;"Por favor no seleccionar los criterios de impacto(Afectación Económica o presupuestal y Pérdida Reputacional)",R120)</f>
        <v>El riesgo afecta la imagen de de la entidad con efecto publicitario sostenido a nivel de sector administrativo, nivel departamental o municipal</v>
      </c>
      <c r="T120" s="340" t="str">
        <f ca="1">+IF(OR(S120='[1]Tabla Impacto'!$C$11,S120='[1]Tabla Impacto'!$D$11),"Leve",IF(OR(S120='[1]Tabla Impacto'!$C$12,S120='[1]Tabla Impacto'!$D$12),"Menor",IF(OR(S120='[1]Tabla Impacto'!$C$13,S120='[1]Tabla Impacto'!$D$13),"Moderado",IF(OR(S120='[1]Tabla Impacto'!$C$14,S120='[1]Tabla Impacto'!$D$14),"Mayor",IF(OR(S120='[1]Tabla Impacto'!$C$15,S120='[1]Tabla Impacto'!$D$15),"Catastrófico","")))))</f>
        <v>Mayor</v>
      </c>
      <c r="U120" s="341">
        <f t="shared" ref="U120" ca="1" si="330">IF(T120="","",IF(T120="Leve",0.2,IF(T120="Menor",0.4,IF(T120="Moderado",0.6,IF(T120="Mayor",0.8,IF(T120="Catastrófico",1,))))))</f>
        <v>0.8</v>
      </c>
      <c r="V120" s="327" t="str">
        <f t="shared" ref="V120" ca="1" si="331">IF(OR(AND(P120="Muy Baja",T120="Leve"),AND(P120="Muy Baja",T120="Menor"),AND(P120="Baja",T120="Leve")),"Bajo",IF(OR(AND(P120="Muy baja",T120="Moderado"),AND(P120="Baja",T120="Menor"),AND(P120="Baja",T120="Moderado"),AND(P120="Media",T120="Leve"),AND(P120="Media",T120="Menor"),AND(P120="Media",T120="Moderado"),AND(P120="Alta",T120="Leve"),AND(P120="Alta",T120="Menor")),"Moderado",IF(OR(AND(P120="Muy Baja",T120="Mayor"),AND(P120="Baja",T120="Mayor"),AND(P120="Media",T120="Mayor"),AND(P120="Alta",T120="Moderado"),AND(P120="Alta",T120="Mayor"),AND(P120="Muy Alta",T120="Leve"),AND(P120="Muy Alta",T120="Menor"),AND(P120="Muy Alta",T120="Moderado"),AND(P120="Muy Alta",T120="Mayor")),"Alto",IF(OR(AND(P120="Muy Baja",T120="Catastrófico"),AND(P120="Baja",T120="Catastrófico"),AND(P120="Media",T120="Catastrófico"),AND(P120="Alta",T120="Catastrófico"),AND(P120="Muy Alta",T120="Catastrófico")),"Extremo",""))))</f>
        <v>Alto</v>
      </c>
      <c r="W120" s="233">
        <v>1</v>
      </c>
      <c r="X120" s="207" t="s">
        <v>696</v>
      </c>
      <c r="Y120" s="230" t="str">
        <f t="shared" si="323"/>
        <v>Probabilidad</v>
      </c>
      <c r="Z120" s="185" t="s">
        <v>208</v>
      </c>
      <c r="AA120" s="185" t="s">
        <v>216</v>
      </c>
      <c r="AB120" s="186" t="str">
        <f t="shared" si="307"/>
        <v>40%</v>
      </c>
      <c r="AC120" s="185" t="s">
        <v>219</v>
      </c>
      <c r="AD120" s="185" t="s">
        <v>224</v>
      </c>
      <c r="AE120" s="185" t="s">
        <v>228</v>
      </c>
      <c r="AF120" s="187">
        <f t="shared" ref="AF120" si="332">IFERROR(IF(Y120="Probabilidad",(Q120-(+Q120*AB120)),IF(Y120="Impacto",Q120,"")),"")</f>
        <v>0.24</v>
      </c>
      <c r="AG120" s="188" t="str">
        <f t="shared" si="324"/>
        <v>Baja</v>
      </c>
      <c r="AH120" s="186">
        <f t="shared" si="325"/>
        <v>0.24</v>
      </c>
      <c r="AI120" s="188" t="str">
        <f t="shared" ca="1" si="326"/>
        <v>Mayor</v>
      </c>
      <c r="AJ120" s="186">
        <f t="shared" ref="AJ120" ca="1" si="333">IFERROR(IF(Y120="Impacto",(U120-(+U120*AB120)),IF(Y120="Probabilidad",U120,"")),"")</f>
        <v>0.8</v>
      </c>
      <c r="AK120" s="189" t="str">
        <f t="shared" ca="1" si="327"/>
        <v>Alto</v>
      </c>
      <c r="AL120" s="185" t="s">
        <v>262</v>
      </c>
      <c r="AM120" s="333" t="s">
        <v>700</v>
      </c>
      <c r="AN120" s="333" t="s">
        <v>701</v>
      </c>
      <c r="AO120" s="353" t="s">
        <v>1096</v>
      </c>
      <c r="AP120" s="353" t="s">
        <v>527</v>
      </c>
      <c r="AQ120" s="333" t="s">
        <v>702</v>
      </c>
      <c r="AR120" s="354" t="s">
        <v>259</v>
      </c>
    </row>
    <row r="121" spans="1:44" s="191" customFormat="1" ht="144" customHeight="1" thickTop="1" thickBot="1" x14ac:dyDescent="0.3">
      <c r="A121" s="328"/>
      <c r="B121" s="334"/>
      <c r="C121" s="335"/>
      <c r="D121" s="335"/>
      <c r="E121" s="335"/>
      <c r="F121" s="336"/>
      <c r="G121" s="336"/>
      <c r="H121" s="337"/>
      <c r="I121" s="338"/>
      <c r="J121" s="338"/>
      <c r="K121" s="338"/>
      <c r="L121" s="338"/>
      <c r="M121" s="333"/>
      <c r="N121" s="333"/>
      <c r="O121" s="339"/>
      <c r="P121" s="340"/>
      <c r="Q121" s="341"/>
      <c r="R121" s="341"/>
      <c r="S121" s="341">
        <f ca="1">IF(NOT(ISERROR(MATCH(R121,_xlfn.ANCHORARRAY(H137),0))),#REF!&amp;"Por favor no seleccionar los criterios de impacto",R121)</f>
        <v>0</v>
      </c>
      <c r="T121" s="340"/>
      <c r="U121" s="341"/>
      <c r="V121" s="327"/>
      <c r="W121" s="233">
        <v>2</v>
      </c>
      <c r="X121" s="207" t="s">
        <v>697</v>
      </c>
      <c r="Y121" s="230" t="str">
        <f t="shared" si="323"/>
        <v>Probabilidad</v>
      </c>
      <c r="Z121" s="185" t="s">
        <v>208</v>
      </c>
      <c r="AA121" s="185" t="s">
        <v>216</v>
      </c>
      <c r="AB121" s="186" t="str">
        <f t="shared" si="307"/>
        <v>40%</v>
      </c>
      <c r="AC121" s="185" t="s">
        <v>219</v>
      </c>
      <c r="AD121" s="185" t="s">
        <v>224</v>
      </c>
      <c r="AE121" s="185" t="s">
        <v>228</v>
      </c>
      <c r="AF121" s="187">
        <f t="shared" ref="AF121:AF123" si="334">IFERROR(IF(AND(Y120="Probabilidad",Y121="Probabilidad"),(AH120-(+AH120*AB121)),IF(Y121="Probabilidad",(Q120-(+Q120*AB121)),IF(Y121="Impacto",AH120,""))),"")</f>
        <v>0.14399999999999999</v>
      </c>
      <c r="AG121" s="188" t="str">
        <f t="shared" si="324"/>
        <v>Muy Baja</v>
      </c>
      <c r="AH121" s="186">
        <f t="shared" si="325"/>
        <v>0.14399999999999999</v>
      </c>
      <c r="AI121" s="188" t="str">
        <f t="shared" ca="1" si="326"/>
        <v>Mayor</v>
      </c>
      <c r="AJ121" s="186">
        <f t="shared" ref="AJ121" ca="1" si="335">IFERROR(IF(AND(Y120="Impacto",Y121="Impacto"),(AJ120-(+AJ120*AB121)),IF(Y121="Impacto",(U120-(+U120*AB121)),IF(Y121="Probabilidad",AJ120,""))),"")</f>
        <v>0.8</v>
      </c>
      <c r="AK121" s="189" t="str">
        <f t="shared" ca="1" si="327"/>
        <v>Alto</v>
      </c>
      <c r="AL121" s="185" t="s">
        <v>262</v>
      </c>
      <c r="AM121" s="333"/>
      <c r="AN121" s="333"/>
      <c r="AO121" s="353"/>
      <c r="AP121" s="353"/>
      <c r="AQ121" s="333"/>
      <c r="AR121" s="354"/>
    </row>
    <row r="122" spans="1:44" s="191" customFormat="1" ht="129.75" thickTop="1" thickBot="1" x14ac:dyDescent="0.3">
      <c r="A122" s="328"/>
      <c r="B122" s="334"/>
      <c r="C122" s="335"/>
      <c r="D122" s="335"/>
      <c r="E122" s="335"/>
      <c r="F122" s="336"/>
      <c r="G122" s="336"/>
      <c r="H122" s="337"/>
      <c r="I122" s="338"/>
      <c r="J122" s="338"/>
      <c r="K122" s="338"/>
      <c r="L122" s="338"/>
      <c r="M122" s="333"/>
      <c r="N122" s="333"/>
      <c r="O122" s="339"/>
      <c r="P122" s="340"/>
      <c r="Q122" s="341"/>
      <c r="R122" s="341"/>
      <c r="S122" s="341">
        <f ca="1">IF(NOT(ISERROR(MATCH(R122,_xlfn.ANCHORARRAY(H138),0))),#REF!&amp;"Por favor no seleccionar los criterios de impacto",R122)</f>
        <v>0</v>
      </c>
      <c r="T122" s="340"/>
      <c r="U122" s="341"/>
      <c r="V122" s="327"/>
      <c r="W122" s="233">
        <v>3</v>
      </c>
      <c r="X122" s="207" t="s">
        <v>698</v>
      </c>
      <c r="Y122" s="230" t="str">
        <f t="shared" si="323"/>
        <v>Probabilidad</v>
      </c>
      <c r="Z122" s="185" t="s">
        <v>208</v>
      </c>
      <c r="AA122" s="185" t="s">
        <v>216</v>
      </c>
      <c r="AB122" s="186" t="str">
        <f t="shared" si="307"/>
        <v>40%</v>
      </c>
      <c r="AC122" s="185" t="s">
        <v>219</v>
      </c>
      <c r="AD122" s="185" t="s">
        <v>224</v>
      </c>
      <c r="AE122" s="185" t="s">
        <v>228</v>
      </c>
      <c r="AF122" s="187">
        <f t="shared" si="334"/>
        <v>8.6399999999999991E-2</v>
      </c>
      <c r="AG122" s="188" t="str">
        <f t="shared" si="324"/>
        <v>Muy Baja</v>
      </c>
      <c r="AH122" s="186">
        <f t="shared" si="325"/>
        <v>8.6399999999999991E-2</v>
      </c>
      <c r="AI122" s="188" t="str">
        <f t="shared" ca="1" si="326"/>
        <v>Mayor</v>
      </c>
      <c r="AJ122" s="186">
        <f t="shared" ref="AJ122:AJ123" ca="1" si="336">IFERROR(IF(AND(Y121="Impacto",Y122="Impacto"),(AJ121-(+AJ121*AB122)),IF(AND(Y121="Probabilidad",Y122="Impacto"),(AJ120-(+AJ120*AB122)),IF(Y122="Probabilidad",AJ121,""))),"")</f>
        <v>0.8</v>
      </c>
      <c r="AK122" s="189" t="str">
        <f t="shared" ca="1" si="327"/>
        <v>Alto</v>
      </c>
      <c r="AL122" s="185" t="s">
        <v>262</v>
      </c>
      <c r="AM122" s="333"/>
      <c r="AN122" s="333"/>
      <c r="AO122" s="353"/>
      <c r="AP122" s="353"/>
      <c r="AQ122" s="333"/>
      <c r="AR122" s="354"/>
    </row>
    <row r="123" spans="1:44" s="191" customFormat="1" ht="128.25" customHeight="1" thickTop="1" thickBot="1" x14ac:dyDescent="0.3">
      <c r="A123" s="328"/>
      <c r="B123" s="334"/>
      <c r="C123" s="335"/>
      <c r="D123" s="335"/>
      <c r="E123" s="335"/>
      <c r="F123" s="336"/>
      <c r="G123" s="336"/>
      <c r="H123" s="337"/>
      <c r="I123" s="338"/>
      <c r="J123" s="338"/>
      <c r="K123" s="338"/>
      <c r="L123" s="338"/>
      <c r="M123" s="333"/>
      <c r="N123" s="333"/>
      <c r="O123" s="339"/>
      <c r="P123" s="340"/>
      <c r="Q123" s="341"/>
      <c r="R123" s="341"/>
      <c r="S123" s="341">
        <f ca="1">IF(NOT(ISERROR(MATCH(R123,_xlfn.ANCHORARRAY(#REF!),0))),#REF!&amp;"Por favor no seleccionar los criterios de impacto",R123)</f>
        <v>0</v>
      </c>
      <c r="T123" s="340"/>
      <c r="U123" s="341"/>
      <c r="V123" s="327"/>
      <c r="W123" s="233">
        <v>4</v>
      </c>
      <c r="X123" s="207" t="s">
        <v>699</v>
      </c>
      <c r="Y123" s="230" t="str">
        <f t="shared" si="323"/>
        <v>Probabilidad</v>
      </c>
      <c r="Z123" s="185" t="s">
        <v>208</v>
      </c>
      <c r="AA123" s="185" t="s">
        <v>216</v>
      </c>
      <c r="AB123" s="186" t="str">
        <f t="shared" si="307"/>
        <v>40%</v>
      </c>
      <c r="AC123" s="185" t="s">
        <v>219</v>
      </c>
      <c r="AD123" s="185" t="s">
        <v>224</v>
      </c>
      <c r="AE123" s="185" t="s">
        <v>228</v>
      </c>
      <c r="AF123" s="187">
        <f t="shared" si="334"/>
        <v>5.183999999999999E-2</v>
      </c>
      <c r="AG123" s="188" t="str">
        <f t="shared" si="324"/>
        <v>Muy Baja</v>
      </c>
      <c r="AH123" s="186">
        <f t="shared" si="325"/>
        <v>5.183999999999999E-2</v>
      </c>
      <c r="AI123" s="188" t="str">
        <f t="shared" ca="1" si="326"/>
        <v>Mayor</v>
      </c>
      <c r="AJ123" s="186">
        <f t="shared" ca="1" si="336"/>
        <v>0.8</v>
      </c>
      <c r="AK123" s="189" t="str">
        <f t="shared" ca="1" si="327"/>
        <v>Alto</v>
      </c>
      <c r="AL123" s="185" t="s">
        <v>262</v>
      </c>
      <c r="AM123" s="333"/>
      <c r="AN123" s="333"/>
      <c r="AO123" s="353"/>
      <c r="AP123" s="353"/>
      <c r="AQ123" s="333"/>
      <c r="AR123" s="354"/>
    </row>
    <row r="124" spans="1:44" s="191" customFormat="1" ht="149.25" customHeight="1" thickTop="1" thickBot="1" x14ac:dyDescent="0.3">
      <c r="A124" s="328">
        <v>50</v>
      </c>
      <c r="B124" s="334" t="s">
        <v>703</v>
      </c>
      <c r="C124" s="335" t="s">
        <v>274</v>
      </c>
      <c r="D124" s="335" t="s">
        <v>693</v>
      </c>
      <c r="E124" s="335" t="s">
        <v>240</v>
      </c>
      <c r="F124" s="336" t="s">
        <v>704</v>
      </c>
      <c r="G124" s="336" t="s">
        <v>705</v>
      </c>
      <c r="H124" s="337" t="s">
        <v>1151</v>
      </c>
      <c r="I124" s="338" t="s">
        <v>474</v>
      </c>
      <c r="J124" s="338" t="s">
        <v>474</v>
      </c>
      <c r="K124" s="338" t="s">
        <v>474</v>
      </c>
      <c r="L124" s="338" t="s">
        <v>474</v>
      </c>
      <c r="M124" s="333" t="s">
        <v>245</v>
      </c>
      <c r="N124" s="333"/>
      <c r="O124" s="339">
        <v>12</v>
      </c>
      <c r="P124" s="340" t="str">
        <f>IF(O124&lt;=0,"",IF(O124&lt;=2,"Muy Baja",IF(O124&lt;=24,"Baja",IF(O124&lt;=500,"Media",IF(O124&lt;=5000,"Alta","Muy Alta")))))</f>
        <v>Baja</v>
      </c>
      <c r="Q124" s="341">
        <f>IF(P124="","",IF(P124="Muy Baja",0.2,IF(P124="Baja",0.4,IF(P124="Media",0.6,IF(P124="Alta",0.8,IF(P124="Muy Alta",1,))))))</f>
        <v>0.4</v>
      </c>
      <c r="R124" s="341" t="s">
        <v>192</v>
      </c>
      <c r="S124" s="341" t="str">
        <f ca="1">IF(NOT(ISERROR(MATCH(R124,'Tabla Impacto'!$B$221:$B$223,0))),'Tabla Impacto'!$F$223&amp;"Por favor no seleccionar los criterios de impacto(Afectación Económica o presupuestal y Pérdida Reputacional)",R124)</f>
        <v xml:space="preserve">Entre 100 y 500 SMLMV </v>
      </c>
      <c r="T124" s="340" t="str">
        <f ca="1">+IF(OR(S124='[1]Tabla Impacto'!$C$11,S124='[1]Tabla Impacto'!$D$11),"Leve",IF(OR(S124='[1]Tabla Impacto'!$C$12,S124='[1]Tabla Impacto'!$D$12),"Menor",IF(OR(S124='[1]Tabla Impacto'!$C$13,S124='[1]Tabla Impacto'!$D$13),"Moderado",IF(OR(S124='[1]Tabla Impacto'!$C$14,S124='[1]Tabla Impacto'!$D$14),"Mayor",IF(OR(S124='[1]Tabla Impacto'!$C$15,S124='[1]Tabla Impacto'!$D$15),"Catastrófico","")))))</f>
        <v>Mayor</v>
      </c>
      <c r="U124" s="341">
        <f t="shared" ref="U124" ca="1" si="337">IF(T124="","",IF(T124="Leve",0.2,IF(T124="Menor",0.4,IF(T124="Moderado",0.6,IF(T124="Mayor",0.8,IF(T124="Catastrófico",1,))))))</f>
        <v>0.8</v>
      </c>
      <c r="V124" s="327" t="str">
        <f t="shared" ref="V124" ca="1" si="338">IF(OR(AND(P124="Muy Baja",T124="Leve"),AND(P124="Muy Baja",T124="Menor"),AND(P124="Baja",T124="Leve")),"Bajo",IF(OR(AND(P124="Muy baja",T124="Moderado"),AND(P124="Baja",T124="Menor"),AND(P124="Baja",T124="Moderado"),AND(P124="Media",T124="Leve"),AND(P124="Media",T124="Menor"),AND(P124="Media",T124="Moderado"),AND(P124="Alta",T124="Leve"),AND(P124="Alta",T124="Menor")),"Moderado",IF(OR(AND(P124="Muy Baja",T124="Mayor"),AND(P124="Baja",T124="Mayor"),AND(P124="Media",T124="Mayor"),AND(P124="Alta",T124="Moderado"),AND(P124="Alta",T124="Mayor"),AND(P124="Muy Alta",T124="Leve"),AND(P124="Muy Alta",T124="Menor"),AND(P124="Muy Alta",T124="Moderado"),AND(P124="Muy Alta",T124="Mayor")),"Alto",IF(OR(AND(P124="Muy Baja",T124="Catastrófico"),AND(P124="Baja",T124="Catastrófico"),AND(P124="Media",T124="Catastrófico"),AND(P124="Alta",T124="Catastrófico"),AND(P124="Muy Alta",T124="Catastrófico")),"Extremo",""))))</f>
        <v>Alto</v>
      </c>
      <c r="W124" s="233">
        <v>1</v>
      </c>
      <c r="X124" s="207" t="s">
        <v>706</v>
      </c>
      <c r="Y124" s="230" t="str">
        <f t="shared" si="323"/>
        <v>Probabilidad</v>
      </c>
      <c r="Z124" s="185" t="s">
        <v>208</v>
      </c>
      <c r="AA124" s="185" t="s">
        <v>216</v>
      </c>
      <c r="AB124" s="186" t="str">
        <f t="shared" si="307"/>
        <v>40%</v>
      </c>
      <c r="AC124" s="185" t="s">
        <v>219</v>
      </c>
      <c r="AD124" s="185" t="s">
        <v>224</v>
      </c>
      <c r="AE124" s="185" t="s">
        <v>228</v>
      </c>
      <c r="AF124" s="187">
        <f t="shared" ref="AF124" si="339">IFERROR(IF(Y124="Probabilidad",(Q124-(+Q124*AB124)),IF(Y124="Impacto",Q124,"")),"")</f>
        <v>0.24</v>
      </c>
      <c r="AG124" s="188" t="str">
        <f t="shared" si="324"/>
        <v>Baja</v>
      </c>
      <c r="AH124" s="186">
        <f t="shared" si="325"/>
        <v>0.24</v>
      </c>
      <c r="AI124" s="188" t="str">
        <f t="shared" ca="1" si="326"/>
        <v>Mayor</v>
      </c>
      <c r="AJ124" s="186">
        <f t="shared" ref="AJ124" ca="1" si="340">IFERROR(IF(Y124="Impacto",(U124-(+U124*AB124)),IF(Y124="Probabilidad",U124,"")),"")</f>
        <v>0.8</v>
      </c>
      <c r="AK124" s="189" t="str">
        <f t="shared" ca="1" si="327"/>
        <v>Alto</v>
      </c>
      <c r="AL124" s="185" t="s">
        <v>262</v>
      </c>
      <c r="AM124" s="333" t="s">
        <v>709</v>
      </c>
      <c r="AN124" s="333" t="s">
        <v>693</v>
      </c>
      <c r="AO124" s="353" t="s">
        <v>1095</v>
      </c>
      <c r="AP124" s="353" t="s">
        <v>527</v>
      </c>
      <c r="AQ124" s="333" t="s">
        <v>710</v>
      </c>
      <c r="AR124" s="354" t="s">
        <v>259</v>
      </c>
    </row>
    <row r="125" spans="1:44" s="191" customFormat="1" ht="131.25" customHeight="1" thickTop="1" thickBot="1" x14ac:dyDescent="0.3">
      <c r="A125" s="328"/>
      <c r="B125" s="334"/>
      <c r="C125" s="335"/>
      <c r="D125" s="335"/>
      <c r="E125" s="335"/>
      <c r="F125" s="336"/>
      <c r="G125" s="336"/>
      <c r="H125" s="337"/>
      <c r="I125" s="338"/>
      <c r="J125" s="338"/>
      <c r="K125" s="338"/>
      <c r="L125" s="338"/>
      <c r="M125" s="333"/>
      <c r="N125" s="333"/>
      <c r="O125" s="339"/>
      <c r="P125" s="340"/>
      <c r="Q125" s="341"/>
      <c r="R125" s="341"/>
      <c r="S125" s="341">
        <f ca="1">IF(NOT(ISERROR(MATCH(R125,_xlfn.ANCHORARRAY(H139),0))),#REF!&amp;"Por favor no seleccionar los criterios de impacto",R125)</f>
        <v>0</v>
      </c>
      <c r="T125" s="340"/>
      <c r="U125" s="341"/>
      <c r="V125" s="327"/>
      <c r="W125" s="233">
        <v>2</v>
      </c>
      <c r="X125" s="207" t="s">
        <v>707</v>
      </c>
      <c r="Y125" s="230" t="str">
        <f t="shared" si="323"/>
        <v>Probabilidad</v>
      </c>
      <c r="Z125" s="185" t="s">
        <v>208</v>
      </c>
      <c r="AA125" s="185" t="s">
        <v>216</v>
      </c>
      <c r="AB125" s="186" t="str">
        <f t="shared" si="307"/>
        <v>40%</v>
      </c>
      <c r="AC125" s="185" t="s">
        <v>219</v>
      </c>
      <c r="AD125" s="185" t="s">
        <v>224</v>
      </c>
      <c r="AE125" s="185" t="s">
        <v>228</v>
      </c>
      <c r="AF125" s="187">
        <f t="shared" ref="AF125:AF126" si="341">IFERROR(IF(AND(Y124="Probabilidad",Y125="Probabilidad"),(AH124-(+AH124*AB125)),IF(Y125="Probabilidad",(Q124-(+Q124*AB125)),IF(Y125="Impacto",AH124,""))),"")</f>
        <v>0.14399999999999999</v>
      </c>
      <c r="AG125" s="188" t="str">
        <f t="shared" si="324"/>
        <v>Muy Baja</v>
      </c>
      <c r="AH125" s="186">
        <f t="shared" si="325"/>
        <v>0.14399999999999999</v>
      </c>
      <c r="AI125" s="188" t="str">
        <f t="shared" ca="1" si="326"/>
        <v>Mayor</v>
      </c>
      <c r="AJ125" s="186">
        <f t="shared" ref="AJ125" ca="1" si="342">IFERROR(IF(AND(Y124="Impacto",Y125="Impacto"),(AJ124-(+AJ124*AB125)),IF(Y125="Impacto",(U124-(+U124*AB125)),IF(Y125="Probabilidad",AJ124,""))),"")</f>
        <v>0.8</v>
      </c>
      <c r="AK125" s="189" t="str">
        <f t="shared" ca="1" si="327"/>
        <v>Alto</v>
      </c>
      <c r="AL125" s="185" t="s">
        <v>262</v>
      </c>
      <c r="AM125" s="333"/>
      <c r="AN125" s="333"/>
      <c r="AO125" s="353"/>
      <c r="AP125" s="353"/>
      <c r="AQ125" s="333"/>
      <c r="AR125" s="354"/>
    </row>
    <row r="126" spans="1:44" s="191" customFormat="1" ht="163.5" customHeight="1" thickTop="1" thickBot="1" x14ac:dyDescent="0.3">
      <c r="A126" s="328"/>
      <c r="B126" s="334"/>
      <c r="C126" s="335"/>
      <c r="D126" s="335"/>
      <c r="E126" s="335"/>
      <c r="F126" s="336"/>
      <c r="G126" s="336"/>
      <c r="H126" s="337"/>
      <c r="I126" s="338"/>
      <c r="J126" s="338"/>
      <c r="K126" s="338"/>
      <c r="L126" s="338"/>
      <c r="M126" s="333"/>
      <c r="N126" s="333"/>
      <c r="O126" s="339"/>
      <c r="P126" s="340"/>
      <c r="Q126" s="341"/>
      <c r="R126" s="341"/>
      <c r="S126" s="341">
        <f ca="1">IF(NOT(ISERROR(MATCH(R126,_xlfn.ANCHORARRAY(#REF!),0))),#REF!&amp;"Por favor no seleccionar los criterios de impacto",R126)</f>
        <v>0</v>
      </c>
      <c r="T126" s="340"/>
      <c r="U126" s="341"/>
      <c r="V126" s="327"/>
      <c r="W126" s="233">
        <v>3</v>
      </c>
      <c r="X126" s="207" t="s">
        <v>708</v>
      </c>
      <c r="Y126" s="230" t="str">
        <f t="shared" si="323"/>
        <v>Probabilidad</v>
      </c>
      <c r="Z126" s="185" t="s">
        <v>208</v>
      </c>
      <c r="AA126" s="185" t="s">
        <v>216</v>
      </c>
      <c r="AB126" s="186" t="str">
        <f t="shared" si="307"/>
        <v>40%</v>
      </c>
      <c r="AC126" s="185" t="s">
        <v>219</v>
      </c>
      <c r="AD126" s="185" t="s">
        <v>224</v>
      </c>
      <c r="AE126" s="185" t="s">
        <v>228</v>
      </c>
      <c r="AF126" s="187">
        <f t="shared" si="341"/>
        <v>8.6399999999999991E-2</v>
      </c>
      <c r="AG126" s="188" t="str">
        <f t="shared" si="324"/>
        <v>Muy Baja</v>
      </c>
      <c r="AH126" s="186">
        <f t="shared" si="325"/>
        <v>8.6399999999999991E-2</v>
      </c>
      <c r="AI126" s="188" t="str">
        <f t="shared" ca="1" si="326"/>
        <v>Mayor</v>
      </c>
      <c r="AJ126" s="186">
        <f t="shared" ref="AJ126" ca="1" si="343">IFERROR(IF(AND(Y125="Impacto",Y126="Impacto"),(AJ125-(+AJ125*AB126)),IF(AND(Y125="Probabilidad",Y126="Impacto"),(AJ124-(+AJ124*AB126)),IF(Y126="Probabilidad",AJ125,""))),"")</f>
        <v>0.8</v>
      </c>
      <c r="AK126" s="189" t="str">
        <f t="shared" ca="1" si="327"/>
        <v>Alto</v>
      </c>
      <c r="AL126" s="185" t="s">
        <v>262</v>
      </c>
      <c r="AM126" s="333"/>
      <c r="AN126" s="333"/>
      <c r="AO126" s="353"/>
      <c r="AP126" s="353"/>
      <c r="AQ126" s="333"/>
      <c r="AR126" s="354"/>
    </row>
    <row r="127" spans="1:44" s="191" customFormat="1" ht="409.5" customHeight="1" thickTop="1" thickBot="1" x14ac:dyDescent="0.3">
      <c r="A127" s="226">
        <v>51</v>
      </c>
      <c r="B127" s="246" t="s">
        <v>947</v>
      </c>
      <c r="C127" s="237" t="s">
        <v>274</v>
      </c>
      <c r="D127" s="244" t="s">
        <v>949</v>
      </c>
      <c r="E127" s="227" t="s">
        <v>240</v>
      </c>
      <c r="F127" s="238" t="s">
        <v>1091</v>
      </c>
      <c r="G127" s="238" t="s">
        <v>1092</v>
      </c>
      <c r="H127" s="252" t="s">
        <v>986</v>
      </c>
      <c r="I127" s="231" t="s">
        <v>474</v>
      </c>
      <c r="J127" s="231" t="s">
        <v>474</v>
      </c>
      <c r="K127" s="231" t="s">
        <v>474</v>
      </c>
      <c r="L127" s="231" t="s">
        <v>474</v>
      </c>
      <c r="M127" s="239" t="s">
        <v>244</v>
      </c>
      <c r="N127" s="227"/>
      <c r="O127" s="230">
        <v>365</v>
      </c>
      <c r="P127" s="232" t="str">
        <f>IF(O127&lt;=0,"",IF(O127&lt;=2,"Muy Baja",IF(O127&lt;=24,"Baja",IF(O127&lt;=500,"Media",IF(O127&lt;=5000,"Alta","Muy Alta")))))</f>
        <v>Media</v>
      </c>
      <c r="Q127" s="225">
        <f>IF(P127="","",IF(P127="Muy Baja",0.2,IF(P127="Baja",0.4,IF(P127="Media",0.6,IF(P127="Alta",0.8,IF(P127="Muy Alta",1,))))))</f>
        <v>0.6</v>
      </c>
      <c r="R127" s="225" t="s">
        <v>190</v>
      </c>
      <c r="S127" s="225" t="str">
        <f ca="1">IF(NOT(ISERROR(MATCH(R127,'Tabla Impacto'!$B$221:$B$223,0))),'Tabla Impacto'!$F$223&amp;"Por favor no seleccionar los criterios de impacto(Afectación Económica o presupuestal y Pérdida Reputacional)",R127)</f>
        <v>El riesgo afecta la imagen de la entidad con algunos usuarios de relevancia frente al logro de los objetivos</v>
      </c>
      <c r="T127" s="232" t="str">
        <f ca="1">+IF(OR(S127='[1]Tabla Impacto'!$C$11,S127='[1]Tabla Impacto'!$D$11),"Leve",IF(OR(S127='[1]Tabla Impacto'!$C$12,S127='[1]Tabla Impacto'!$D$12),"Menor",IF(OR(S127='[1]Tabla Impacto'!$C$13,S127='[1]Tabla Impacto'!$D$13),"Moderado",IF(OR(S127='[1]Tabla Impacto'!$C$14,S127='[1]Tabla Impacto'!$D$14),"Mayor",IF(OR(S127='[1]Tabla Impacto'!$C$15,S127='[1]Tabla Impacto'!$D$15),"Catastrófico","")))))</f>
        <v>Moderado</v>
      </c>
      <c r="U127" s="225">
        <f t="shared" ref="U127" ca="1" si="344">IF(T127="","",IF(T127="Leve",0.2,IF(T127="Menor",0.4,IF(T127="Moderado",0.6,IF(T127="Mayor",0.8,IF(T127="Catastrófico",1,))))))</f>
        <v>0.6</v>
      </c>
      <c r="V127" s="233" t="str">
        <f t="shared" ref="V127" ca="1" si="345">IF(OR(AND(P127="Muy Baja",T127="Leve"),AND(P127="Muy Baja",T127="Menor"),AND(P127="Baja",T127="Leve")),"Bajo",IF(OR(AND(P127="Muy baja",T127="Moderado"),AND(P127="Baja",T127="Menor"),AND(P127="Baja",T127="Moderado"),AND(P127="Media",T127="Leve"),AND(P127="Media",T127="Menor"),AND(P127="Media",T127="Moderado"),AND(P127="Alta",T127="Leve"),AND(P127="Alta",T127="Menor")),"Moderado",IF(OR(AND(P127="Muy Baja",T127="Mayor"),AND(P127="Baja",T127="Mayor"),AND(P127="Media",T127="Mayor"),AND(P127="Alta",T127="Moderado"),AND(P127="Alta",T127="Mayor"),AND(P127="Muy Alta",T127="Leve"),AND(P127="Muy Alta",T127="Menor"),AND(P127="Muy Alta",T127="Moderado"),AND(P127="Muy Alta",T127="Mayor")),"Alto",IF(OR(AND(P127="Muy Baja",T127="Catastrófico"),AND(P127="Baja",T127="Catastrófico"),AND(P127="Media",T127="Catastrófico"),AND(P127="Alta",T127="Catastrófico"),AND(P127="Muy Alta",T127="Catastrófico")),"Extremo",""))))</f>
        <v>Moderado</v>
      </c>
      <c r="W127" s="233">
        <v>1</v>
      </c>
      <c r="X127" s="207" t="s">
        <v>1041</v>
      </c>
      <c r="Y127" s="230" t="str">
        <f t="shared" ref="Y127:Y136" si="346">IF(OR(Z127="Preventivo",Z127="Detectivo"),"Probabilidad",IF(Z127="Correctivo","Impacto",""))</f>
        <v>Probabilidad</v>
      </c>
      <c r="Z127" s="185" t="s">
        <v>208</v>
      </c>
      <c r="AA127" s="185" t="s">
        <v>216</v>
      </c>
      <c r="AB127" s="186" t="str">
        <f t="shared" si="307"/>
        <v>40%</v>
      </c>
      <c r="AC127" s="185" t="s">
        <v>222</v>
      </c>
      <c r="AD127" s="185" t="s">
        <v>224</v>
      </c>
      <c r="AE127" s="185" t="s">
        <v>228</v>
      </c>
      <c r="AF127" s="187">
        <f t="shared" ref="AF127" si="347">IFERROR(IF(Y127="Probabilidad",(Q127-(+Q127*AB127)),IF(Y127="Impacto",Q127,"")),"")</f>
        <v>0.36</v>
      </c>
      <c r="AG127" s="188" t="str">
        <f t="shared" ref="AG127:AG130" si="348">IFERROR(IF(AF127="","",IF(AF127&lt;=0.2,"Muy Baja",IF(AF127&lt;=0.4,"Baja",IF(AF127&lt;=0.6,"Media",IF(AF127&lt;=0.8,"Alta","Muy Alta"))))),"")</f>
        <v>Baja</v>
      </c>
      <c r="AH127" s="186">
        <f t="shared" ref="AH127:AH130" si="349">+AF127</f>
        <v>0.36</v>
      </c>
      <c r="AI127" s="188" t="str">
        <f t="shared" ref="AI127:AI130" ca="1" si="350">IFERROR(IF(AJ127="","",IF(AJ127&lt;=0.2,"Leve",IF(AJ127&lt;=0.4,"Menor",IF(AJ127&lt;=0.6,"Moderado",IF(AJ127&lt;=0.8,"Mayor","Catastrófico"))))),"")</f>
        <v>Moderado</v>
      </c>
      <c r="AJ127" s="186">
        <f t="shared" ref="AJ127" ca="1" si="351">IFERROR(IF(Y127="Impacto",(U127-(+U127*AB127)),IF(Y127="Probabilidad",U127,"")),"")</f>
        <v>0.6</v>
      </c>
      <c r="AK127" s="189" t="str">
        <f t="shared" ref="AK127:AK130" ca="1" si="352">IFERROR(IF(OR(AND(AG127="Muy Baja",AI127="Leve"),AND(AG127="Muy Baja",AI127="Menor"),AND(AG127="Baja",AI127="Leve")),"Bajo",IF(OR(AND(AG127="Muy baja",AI127="Moderado"),AND(AG127="Baja",AI127="Menor"),AND(AG127="Baja",AI127="Moderado"),AND(AG127="Media",AI127="Leve"),AND(AG127="Media",AI127="Menor"),AND(AG127="Media",AI127="Moderado"),AND(AG127="Alta",AI127="Leve"),AND(AG127="Alta",AI127="Menor")),"Moderado",IF(OR(AND(AG127="Muy Baja",AI127="Mayor"),AND(AG127="Baja",AI127="Mayor"),AND(AG127="Media",AI127="Mayor"),AND(AG127="Alta",AI127="Moderado"),AND(AG127="Alta",AI127="Mayor"),AND(AG127="Muy Alta",AI127="Leve"),AND(AG127="Muy Alta",AI127="Menor"),AND(AG127="Muy Alta",AI127="Moderado"),AND(AG127="Muy Alta",AI127="Mayor")),"Alto",IF(OR(AND(AG127="Muy Baja",AI127="Catastrófico"),AND(AG127="Baja",AI127="Catastrófico"),AND(AG127="Media",AI127="Catastrófico"),AND(AG127="Alta",AI127="Catastrófico"),AND(AG127="Muy Alta",AI127="Catastrófico")),"Extremo","")))),"")</f>
        <v>Moderado</v>
      </c>
      <c r="AL127" s="185" t="s">
        <v>262</v>
      </c>
      <c r="AM127" s="227"/>
      <c r="AN127" s="230"/>
      <c r="AO127" s="228"/>
      <c r="AP127" s="228"/>
      <c r="AQ127" s="227"/>
      <c r="AR127" s="229"/>
    </row>
    <row r="128" spans="1:44" s="191" customFormat="1" ht="190.5" customHeight="1" thickTop="1" thickBot="1" x14ac:dyDescent="0.3">
      <c r="A128" s="328">
        <v>52</v>
      </c>
      <c r="B128" s="334" t="s">
        <v>948</v>
      </c>
      <c r="C128" s="335" t="s">
        <v>274</v>
      </c>
      <c r="D128" s="333" t="s">
        <v>949</v>
      </c>
      <c r="E128" s="333" t="s">
        <v>240</v>
      </c>
      <c r="F128" s="336" t="s">
        <v>950</v>
      </c>
      <c r="G128" s="336" t="s">
        <v>951</v>
      </c>
      <c r="H128" s="337" t="s">
        <v>1103</v>
      </c>
      <c r="I128" s="338" t="s">
        <v>474</v>
      </c>
      <c r="J128" s="338" t="s">
        <v>474</v>
      </c>
      <c r="K128" s="338" t="s">
        <v>474</v>
      </c>
      <c r="L128" s="338" t="s">
        <v>474</v>
      </c>
      <c r="M128" s="333" t="s">
        <v>239</v>
      </c>
      <c r="N128" s="333"/>
      <c r="O128" s="339">
        <v>365</v>
      </c>
      <c r="P128" s="340" t="str">
        <f>IF(O128&lt;=0,"",IF(O128&lt;=2,"Muy Baja",IF(O128&lt;=24,"Baja",IF(O128&lt;=500,"Media",IF(O128&lt;=5000,"Alta","Muy Alta")))))</f>
        <v>Media</v>
      </c>
      <c r="Q128" s="341">
        <f>IF(P128="","",IF(P128="Muy Baja",0.2,IF(P128="Baja",0.4,IF(P128="Media",0.6,IF(P128="Alta",0.8,IF(P128="Muy Alta",1,))))))</f>
        <v>0.6</v>
      </c>
      <c r="R128" s="341" t="s">
        <v>186</v>
      </c>
      <c r="S128" s="341" t="str">
        <f ca="1">IF(NOT(ISERROR(MATCH(R128,'Tabla Impacto'!$B$221:$B$223,0))),'Tabla Impacto'!$F$223&amp;"Por favor no seleccionar los criterios de impacto(Afectación Económica o presupuestal y Pérdida Reputacional)",R128)</f>
        <v xml:space="preserve">Entre 10 y 50 SMLMV </v>
      </c>
      <c r="T128" s="340" t="str">
        <f ca="1">+IF(OR(S128='[1]Tabla Impacto'!$C$11,S128='[1]Tabla Impacto'!$D$11),"Leve",IF(OR(S128='[1]Tabla Impacto'!$C$12,S128='[1]Tabla Impacto'!$D$12),"Menor",IF(OR(S128='[1]Tabla Impacto'!$C$13,S128='[1]Tabla Impacto'!$D$13),"Moderado",IF(OR(S128='[1]Tabla Impacto'!$C$14,S128='[1]Tabla Impacto'!$D$14),"Mayor",IF(OR(S128='[1]Tabla Impacto'!$C$15,S128='[1]Tabla Impacto'!$D$15),"Catastrófico","")))))</f>
        <v>Menor</v>
      </c>
      <c r="U128" s="341">
        <f t="shared" ref="U128" ca="1" si="353">IF(T128="","",IF(T128="Leve",0.2,IF(T128="Menor",0.4,IF(T128="Moderado",0.6,IF(T128="Mayor",0.8,IF(T128="Catastrófico",1,))))))</f>
        <v>0.4</v>
      </c>
      <c r="V128" s="327" t="str">
        <f t="shared" ref="V128" ca="1" si="354">IF(OR(AND(P128="Muy Baja",T128="Leve"),AND(P128="Muy Baja",T128="Menor"),AND(P128="Baja",T128="Leve")),"Bajo",IF(OR(AND(P128="Muy baja",T128="Moderado"),AND(P128="Baja",T128="Menor"),AND(P128="Baja",T128="Moderado"),AND(P128="Media",T128="Leve"),AND(P128="Media",T128="Menor"),AND(P128="Media",T128="Moderado"),AND(P128="Alta",T128="Leve"),AND(P128="Alta",T128="Menor")),"Moderado",IF(OR(AND(P128="Muy Baja",T128="Mayor"),AND(P128="Baja",T128="Mayor"),AND(P128="Media",T128="Mayor"),AND(P128="Alta",T128="Moderado"),AND(P128="Alta",T128="Mayor"),AND(P128="Muy Alta",T128="Leve"),AND(P128="Muy Alta",T128="Menor"),AND(P128="Muy Alta",T128="Moderado"),AND(P128="Muy Alta",T128="Mayor")),"Alto",IF(OR(AND(P128="Muy Baja",T128="Catastrófico"),AND(P128="Baja",T128="Catastrófico"),AND(P128="Media",T128="Catastrófico"),AND(P128="Alta",T128="Catastrófico"),AND(P128="Muy Alta",T128="Catastrófico")),"Extremo",""))))</f>
        <v>Moderado</v>
      </c>
      <c r="W128" s="233">
        <v>1</v>
      </c>
      <c r="X128" s="207" t="s">
        <v>1042</v>
      </c>
      <c r="Y128" s="230" t="str">
        <f t="shared" si="346"/>
        <v>Probabilidad</v>
      </c>
      <c r="Z128" s="185" t="s">
        <v>208</v>
      </c>
      <c r="AA128" s="185" t="s">
        <v>216</v>
      </c>
      <c r="AB128" s="186" t="str">
        <f t="shared" si="307"/>
        <v>40%</v>
      </c>
      <c r="AC128" s="185" t="s">
        <v>222</v>
      </c>
      <c r="AD128" s="185" t="s">
        <v>224</v>
      </c>
      <c r="AE128" s="185" t="s">
        <v>228</v>
      </c>
      <c r="AF128" s="187">
        <f t="shared" ref="AF128" si="355">IFERROR(IF(Y128="Probabilidad",(Q128-(+Q128*AB128)),IF(Y128="Impacto",Q128,"")),"")</f>
        <v>0.36</v>
      </c>
      <c r="AG128" s="188" t="str">
        <f t="shared" si="348"/>
        <v>Baja</v>
      </c>
      <c r="AH128" s="186">
        <f t="shared" si="349"/>
        <v>0.36</v>
      </c>
      <c r="AI128" s="188" t="str">
        <f t="shared" ca="1" si="350"/>
        <v>Menor</v>
      </c>
      <c r="AJ128" s="186">
        <f t="shared" ref="AJ128" ca="1" si="356">IFERROR(IF(Y128="Impacto",(U128-(+U128*AB128)),IF(Y128="Probabilidad",U128,"")),"")</f>
        <v>0.4</v>
      </c>
      <c r="AK128" s="189" t="str">
        <f t="shared" ca="1" si="352"/>
        <v>Moderado</v>
      </c>
      <c r="AL128" s="185" t="s">
        <v>255</v>
      </c>
      <c r="AM128" s="227"/>
      <c r="AN128" s="230"/>
      <c r="AO128" s="228"/>
      <c r="AP128" s="228"/>
      <c r="AQ128" s="227"/>
      <c r="AR128" s="229"/>
    </row>
    <row r="129" spans="1:44" s="191" customFormat="1" ht="217.5" customHeight="1" thickTop="1" thickBot="1" x14ac:dyDescent="0.3">
      <c r="A129" s="328"/>
      <c r="B129" s="334"/>
      <c r="C129" s="335"/>
      <c r="D129" s="333"/>
      <c r="E129" s="333"/>
      <c r="F129" s="336"/>
      <c r="G129" s="336"/>
      <c r="H129" s="337"/>
      <c r="I129" s="338"/>
      <c r="J129" s="338"/>
      <c r="K129" s="338"/>
      <c r="L129" s="338"/>
      <c r="M129" s="333"/>
      <c r="N129" s="333"/>
      <c r="O129" s="339"/>
      <c r="P129" s="340"/>
      <c r="Q129" s="341"/>
      <c r="R129" s="341"/>
      <c r="S129" s="341">
        <f ca="1">IF(NOT(ISERROR(MATCH(R129,_xlfn.ANCHORARRAY(H142),0))),#REF!&amp;"Por favor no seleccionar los criterios de impacto",R129)</f>
        <v>0</v>
      </c>
      <c r="T129" s="340"/>
      <c r="U129" s="341"/>
      <c r="V129" s="327"/>
      <c r="W129" s="233">
        <v>2</v>
      </c>
      <c r="X129" s="207" t="s">
        <v>1043</v>
      </c>
      <c r="Y129" s="230" t="str">
        <f t="shared" si="346"/>
        <v>Probabilidad</v>
      </c>
      <c r="Z129" s="185" t="s">
        <v>210</v>
      </c>
      <c r="AA129" s="185" t="s">
        <v>216</v>
      </c>
      <c r="AB129" s="186" t="str">
        <f t="shared" si="307"/>
        <v>30%</v>
      </c>
      <c r="AC129" s="185" t="s">
        <v>222</v>
      </c>
      <c r="AD129" s="185" t="s">
        <v>224</v>
      </c>
      <c r="AE129" s="185" t="s">
        <v>228</v>
      </c>
      <c r="AF129" s="187">
        <f t="shared" ref="AF129:AF130" si="357">IFERROR(IF(AND(Y128="Probabilidad",Y129="Probabilidad"),(AH128-(+AH128*AB129)),IF(Y129="Probabilidad",(Q128-(+Q128*AB129)),IF(Y129="Impacto",AH128,""))),"")</f>
        <v>0.252</v>
      </c>
      <c r="AG129" s="188" t="str">
        <f t="shared" si="348"/>
        <v>Baja</v>
      </c>
      <c r="AH129" s="186">
        <f t="shared" si="349"/>
        <v>0.252</v>
      </c>
      <c r="AI129" s="188" t="str">
        <f t="shared" ca="1" si="350"/>
        <v>Menor</v>
      </c>
      <c r="AJ129" s="186">
        <f t="shared" ref="AJ129" ca="1" si="358">IFERROR(IF(AND(Y128="Impacto",Y129="Impacto"),(AJ128-(+AJ128*AB129)),IF(Y129="Impacto",(U128-(+U128*AB129)),IF(Y129="Probabilidad",AJ128,""))),"")</f>
        <v>0.4</v>
      </c>
      <c r="AK129" s="189" t="str">
        <f t="shared" ca="1" si="352"/>
        <v>Moderado</v>
      </c>
      <c r="AL129" s="185" t="s">
        <v>255</v>
      </c>
      <c r="AM129" s="227"/>
      <c r="AN129" s="230"/>
      <c r="AO129" s="228"/>
      <c r="AP129" s="228"/>
      <c r="AQ129" s="227"/>
      <c r="AR129" s="229"/>
    </row>
    <row r="130" spans="1:44" s="191" customFormat="1" ht="219.75" customHeight="1" thickTop="1" thickBot="1" x14ac:dyDescent="0.3">
      <c r="A130" s="328"/>
      <c r="B130" s="334"/>
      <c r="C130" s="335"/>
      <c r="D130" s="333"/>
      <c r="E130" s="333"/>
      <c r="F130" s="336"/>
      <c r="G130" s="336"/>
      <c r="H130" s="337"/>
      <c r="I130" s="338"/>
      <c r="J130" s="338"/>
      <c r="K130" s="338"/>
      <c r="L130" s="338"/>
      <c r="M130" s="333"/>
      <c r="N130" s="333"/>
      <c r="O130" s="339"/>
      <c r="P130" s="340"/>
      <c r="Q130" s="341"/>
      <c r="R130" s="341"/>
      <c r="S130" s="341">
        <f ca="1">IF(NOT(ISERROR(MATCH(R130,_xlfn.ANCHORARRAY(H143),0))),#REF!&amp;"Por favor no seleccionar los criterios de impacto",R130)</f>
        <v>0</v>
      </c>
      <c r="T130" s="340"/>
      <c r="U130" s="341"/>
      <c r="V130" s="327"/>
      <c r="W130" s="233">
        <v>3</v>
      </c>
      <c r="X130" s="207" t="s">
        <v>1044</v>
      </c>
      <c r="Y130" s="230" t="str">
        <f t="shared" si="346"/>
        <v>Probabilidad</v>
      </c>
      <c r="Z130" s="185" t="s">
        <v>208</v>
      </c>
      <c r="AA130" s="185" t="s">
        <v>216</v>
      </c>
      <c r="AB130" s="186" t="str">
        <f t="shared" si="307"/>
        <v>40%</v>
      </c>
      <c r="AC130" s="185" t="s">
        <v>219</v>
      </c>
      <c r="AD130" s="185" t="s">
        <v>224</v>
      </c>
      <c r="AE130" s="185" t="s">
        <v>228</v>
      </c>
      <c r="AF130" s="187">
        <f t="shared" si="357"/>
        <v>0.1512</v>
      </c>
      <c r="AG130" s="188" t="str">
        <f t="shared" si="348"/>
        <v>Muy Baja</v>
      </c>
      <c r="AH130" s="186">
        <f t="shared" si="349"/>
        <v>0.1512</v>
      </c>
      <c r="AI130" s="188" t="str">
        <f t="shared" ca="1" si="350"/>
        <v>Menor</v>
      </c>
      <c r="AJ130" s="186">
        <f t="shared" ref="AJ130" ca="1" si="359">IFERROR(IF(AND(Y129="Impacto",Y130="Impacto"),(AJ129-(+AJ129*AB130)),IF(AND(Y129="Probabilidad",Y130="Impacto"),(AJ128-(+AJ128*AB130)),IF(Y130="Probabilidad",AJ129,""))),"")</f>
        <v>0.4</v>
      </c>
      <c r="AK130" s="189" t="str">
        <f t="shared" ca="1" si="352"/>
        <v>Bajo</v>
      </c>
      <c r="AL130" s="185" t="s">
        <v>255</v>
      </c>
      <c r="AM130" s="227"/>
      <c r="AN130" s="230"/>
      <c r="AO130" s="228"/>
      <c r="AP130" s="228"/>
      <c r="AQ130" s="227"/>
      <c r="AR130" s="229"/>
    </row>
    <row r="131" spans="1:44" s="191" customFormat="1" ht="152.25" customHeight="1" thickTop="1" thickBot="1" x14ac:dyDescent="0.3">
      <c r="A131" s="328">
        <v>53</v>
      </c>
      <c r="B131" s="334" t="s">
        <v>963</v>
      </c>
      <c r="C131" s="335" t="s">
        <v>274</v>
      </c>
      <c r="D131" s="333" t="s">
        <v>965</v>
      </c>
      <c r="E131" s="333" t="s">
        <v>240</v>
      </c>
      <c r="F131" s="336" t="s">
        <v>964</v>
      </c>
      <c r="G131" s="336" t="s">
        <v>1105</v>
      </c>
      <c r="H131" s="337" t="s">
        <v>1106</v>
      </c>
      <c r="I131" s="338" t="s">
        <v>474</v>
      </c>
      <c r="J131" s="338" t="s">
        <v>474</v>
      </c>
      <c r="K131" s="338" t="s">
        <v>474</v>
      </c>
      <c r="L131" s="338" t="s">
        <v>474</v>
      </c>
      <c r="M131" s="333" t="s">
        <v>239</v>
      </c>
      <c r="N131" s="333"/>
      <c r="O131" s="339">
        <v>320</v>
      </c>
      <c r="P131" s="340" t="str">
        <f>IF(O131&lt;=0,"",IF(O131&lt;=2,"Muy Baja",IF(O131&lt;=24,"Baja",IF(O131&lt;=500,"Media",IF(O131&lt;=5000,"Alta","Muy Alta")))))</f>
        <v>Media</v>
      </c>
      <c r="Q131" s="341">
        <f>IF(P131="","",IF(P131="Muy Baja",0.2,IF(P131="Baja",0.4,IF(P131="Media",0.6,IF(P131="Alta",0.8,IF(P131="Muy Alta",1,))))))</f>
        <v>0.6</v>
      </c>
      <c r="R131" s="341" t="s">
        <v>187</v>
      </c>
      <c r="S131" s="341" t="str">
        <f ca="1">IF(NOT(ISERROR(MATCH(R131,'Tabla Impacto'!$B$221:$B$223,0))),'Tabla Impacto'!$F$223&amp;"Por favor no seleccionar los criterios de impacto(Afectación Económica o presupuestal y Pérdida Reputacional)",R131)</f>
        <v>El riesgo afecta la imagen de la entidad internamente, de conocimiento general, nivel interno, de junta dircetiva y accionistas y/o de provedores</v>
      </c>
      <c r="T131" s="340" t="str">
        <f ca="1">+IF(OR(S131='[1]Tabla Impacto'!$C$11,S131='[1]Tabla Impacto'!$D$11),"Leve",IF(OR(S131='[1]Tabla Impacto'!$C$12,S131='[1]Tabla Impacto'!$D$12),"Menor",IF(OR(S131='[1]Tabla Impacto'!$C$13,S131='[1]Tabla Impacto'!$D$13),"Moderado",IF(OR(S131='[1]Tabla Impacto'!$C$14,S131='[1]Tabla Impacto'!$D$14),"Mayor",IF(OR(S131='[1]Tabla Impacto'!$C$15,S131='[1]Tabla Impacto'!$D$15),"Catastrófico","")))))</f>
        <v>Menor</v>
      </c>
      <c r="U131" s="341">
        <f t="shared" ref="U131" ca="1" si="360">IF(T131="","",IF(T131="Leve",0.2,IF(T131="Menor",0.4,IF(T131="Moderado",0.6,IF(T131="Mayor",0.8,IF(T131="Catastrófico",1,))))))</f>
        <v>0.4</v>
      </c>
      <c r="V131" s="327" t="str">
        <f t="shared" ref="V131" ca="1" si="361">IF(OR(AND(P131="Muy Baja",T131="Leve"),AND(P131="Muy Baja",T131="Menor"),AND(P131="Baja",T131="Leve")),"Bajo",IF(OR(AND(P131="Muy baja",T131="Moderado"),AND(P131="Baja",T131="Menor"),AND(P131="Baja",T131="Moderado"),AND(P131="Media",T131="Leve"),AND(P131="Media",T131="Menor"),AND(P131="Media",T131="Moderado"),AND(P131="Alta",T131="Leve"),AND(P131="Alta",T131="Menor")),"Moderado",IF(OR(AND(P131="Muy Baja",T131="Mayor"),AND(P131="Baja",T131="Mayor"),AND(P131="Media",T131="Mayor"),AND(P131="Alta",T131="Moderado"),AND(P131="Alta",T131="Mayor"),AND(P131="Muy Alta",T131="Leve"),AND(P131="Muy Alta",T131="Menor"),AND(P131="Muy Alta",T131="Moderado"),AND(P131="Muy Alta",T131="Mayor")),"Alto",IF(OR(AND(P131="Muy Baja",T131="Catastrófico"),AND(P131="Baja",T131="Catastrófico"),AND(P131="Media",T131="Catastrófico"),AND(P131="Alta",T131="Catastrófico"),AND(P131="Muy Alta",T131="Catastrófico")),"Extremo",""))))</f>
        <v>Moderado</v>
      </c>
      <c r="W131" s="233">
        <v>1</v>
      </c>
      <c r="X131" s="207" t="s">
        <v>1045</v>
      </c>
      <c r="Y131" s="230" t="str">
        <f t="shared" si="346"/>
        <v>Probabilidad</v>
      </c>
      <c r="Z131" s="185" t="s">
        <v>208</v>
      </c>
      <c r="AA131" s="185" t="s">
        <v>216</v>
      </c>
      <c r="AB131" s="186" t="str">
        <f t="shared" si="307"/>
        <v>40%</v>
      </c>
      <c r="AC131" s="185" t="s">
        <v>219</v>
      </c>
      <c r="AD131" s="185" t="s">
        <v>224</v>
      </c>
      <c r="AE131" s="185" t="s">
        <v>228</v>
      </c>
      <c r="AF131" s="187">
        <f t="shared" ref="AF131" si="362">IFERROR(IF(Y131="Probabilidad",(Q131-(+Q131*AB131)),IF(Y131="Impacto",Q131,"")),"")</f>
        <v>0.36</v>
      </c>
      <c r="AG131" s="188" t="str">
        <f t="shared" ref="AG131:AG136" si="363">IFERROR(IF(AF131="","",IF(AF131&lt;=0.2,"Muy Baja",IF(AF131&lt;=0.4,"Baja",IF(AF131&lt;=0.6,"Media",IF(AF131&lt;=0.8,"Alta","Muy Alta"))))),"")</f>
        <v>Baja</v>
      </c>
      <c r="AH131" s="186">
        <f t="shared" ref="AH131:AH136" si="364">+AF131</f>
        <v>0.36</v>
      </c>
      <c r="AI131" s="188" t="str">
        <f t="shared" ref="AI131:AI136" ca="1" si="365">IFERROR(IF(AJ131="","",IF(AJ131&lt;=0.2,"Leve",IF(AJ131&lt;=0.4,"Menor",IF(AJ131&lt;=0.6,"Moderado",IF(AJ131&lt;=0.8,"Mayor","Catastrófico"))))),"")</f>
        <v>Menor</v>
      </c>
      <c r="AJ131" s="186">
        <f t="shared" ref="AJ131" ca="1" si="366">IFERROR(IF(Y131="Impacto",(U131-(+U131*AB131)),IF(Y131="Probabilidad",U131,"")),"")</f>
        <v>0.4</v>
      </c>
      <c r="AK131" s="189" t="str">
        <f t="shared" ref="AK131:AK136" ca="1" si="367">IFERROR(IF(OR(AND(AG131="Muy Baja",AI131="Leve"),AND(AG131="Muy Baja",AI131="Menor"),AND(AG131="Baja",AI131="Leve")),"Bajo",IF(OR(AND(AG131="Muy baja",AI131="Moderado"),AND(AG131="Baja",AI131="Menor"),AND(AG131="Baja",AI131="Moderado"),AND(AG131="Media",AI131="Leve"),AND(AG131="Media",AI131="Menor"),AND(AG131="Media",AI131="Moderado"),AND(AG131="Alta",AI131="Leve"),AND(AG131="Alta",AI131="Menor")),"Moderado",IF(OR(AND(AG131="Muy Baja",AI131="Mayor"),AND(AG131="Baja",AI131="Mayor"),AND(AG131="Media",AI131="Mayor"),AND(AG131="Alta",AI131="Moderado"),AND(AG131="Alta",AI131="Mayor"),AND(AG131="Muy Alta",AI131="Leve"),AND(AG131="Muy Alta",AI131="Menor"),AND(AG131="Muy Alta",AI131="Moderado"),AND(AG131="Muy Alta",AI131="Mayor")),"Alto",IF(OR(AND(AG131="Muy Baja",AI131="Catastrófico"),AND(AG131="Baja",AI131="Catastrófico"),AND(AG131="Media",AI131="Catastrófico"),AND(AG131="Alta",AI131="Catastrófico"),AND(AG131="Muy Alta",AI131="Catastrófico")),"Extremo","")))),"")</f>
        <v>Moderado</v>
      </c>
      <c r="AL131" s="185" t="s">
        <v>255</v>
      </c>
      <c r="AM131" s="227"/>
      <c r="AN131" s="230"/>
      <c r="AO131" s="228"/>
      <c r="AP131" s="228"/>
      <c r="AQ131" s="227"/>
      <c r="AR131" s="229"/>
    </row>
    <row r="132" spans="1:44" s="191" customFormat="1" ht="152.25" customHeight="1" thickTop="1" thickBot="1" x14ac:dyDescent="0.3">
      <c r="A132" s="328"/>
      <c r="B132" s="334"/>
      <c r="C132" s="335"/>
      <c r="D132" s="333"/>
      <c r="E132" s="333"/>
      <c r="F132" s="336"/>
      <c r="G132" s="336"/>
      <c r="H132" s="337"/>
      <c r="I132" s="338"/>
      <c r="J132" s="338"/>
      <c r="K132" s="338"/>
      <c r="L132" s="338"/>
      <c r="M132" s="333"/>
      <c r="N132" s="333"/>
      <c r="O132" s="339"/>
      <c r="P132" s="340"/>
      <c r="Q132" s="341"/>
      <c r="R132" s="341"/>
      <c r="S132" s="341">
        <f ca="1">IF(NOT(ISERROR(MATCH(R132,_xlfn.ANCHORARRAY(H144),0))),#REF!&amp;"Por favor no seleccionar los criterios de impacto",R132)</f>
        <v>0</v>
      </c>
      <c r="T132" s="340"/>
      <c r="U132" s="341"/>
      <c r="V132" s="327"/>
      <c r="W132" s="233">
        <v>2</v>
      </c>
      <c r="X132" s="207" t="s">
        <v>1094</v>
      </c>
      <c r="Y132" s="230" t="str">
        <f t="shared" si="346"/>
        <v>Probabilidad</v>
      </c>
      <c r="Z132" s="185" t="s">
        <v>208</v>
      </c>
      <c r="AA132" s="185" t="s">
        <v>216</v>
      </c>
      <c r="AB132" s="186" t="str">
        <f t="shared" ref="AB132" si="368">IF(AND(Z132="Preventivo",AA132="Automático"),"50%",IF(AND(Z132="Preventivo",AA132="Manual"),"40%",IF(AND(Z132="Detectivo",AA132="Automático"),"40%",IF(AND(Z132="Detectivo",AA132="Manual"),"30%",IF(AND(Z132="Correctivo",AA132="Automático"),"35%",IF(AND(Z132="Correctivo",AA132="Manual"),"25%",""))))))</f>
        <v>40%</v>
      </c>
      <c r="AC132" s="185" t="s">
        <v>219</v>
      </c>
      <c r="AD132" s="185" t="s">
        <v>224</v>
      </c>
      <c r="AE132" s="185" t="s">
        <v>228</v>
      </c>
      <c r="AF132" s="187">
        <f t="shared" ref="AF132:AF136" si="369">IFERROR(IF(AND(Y131="Probabilidad",Y132="Probabilidad"),(AH131-(+AH131*AB132)),IF(Y132="Probabilidad",(Q131-(+Q131*AB132)),IF(Y132="Impacto",AH131,""))),"")</f>
        <v>0.216</v>
      </c>
      <c r="AG132" s="188" t="str">
        <f t="shared" si="363"/>
        <v>Baja</v>
      </c>
      <c r="AH132" s="186">
        <f t="shared" si="364"/>
        <v>0.216</v>
      </c>
      <c r="AI132" s="188" t="str">
        <f t="shared" ca="1" si="365"/>
        <v>Menor</v>
      </c>
      <c r="AJ132" s="186">
        <f t="shared" ref="AJ132" ca="1" si="370">IFERROR(IF(AND(Y131="Impacto",Y132="Impacto"),(AJ131-(+AJ131*AB132)),IF(Y132="Impacto",(U131-(+U131*AB132)),IF(Y132="Probabilidad",AJ131,""))),"")</f>
        <v>0.4</v>
      </c>
      <c r="AK132" s="189" t="str">
        <f t="shared" ca="1" si="367"/>
        <v>Moderado</v>
      </c>
      <c r="AL132" s="185" t="s">
        <v>255</v>
      </c>
      <c r="AM132" s="227"/>
      <c r="AN132" s="230"/>
      <c r="AO132" s="228"/>
      <c r="AP132" s="228"/>
      <c r="AQ132" s="227"/>
      <c r="AR132" s="229"/>
    </row>
    <row r="133" spans="1:44" s="191" customFormat="1" ht="60.75" hidden="1" customHeight="1" thickTop="1" thickBot="1" x14ac:dyDescent="0.3">
      <c r="A133" s="328"/>
      <c r="B133" s="334"/>
      <c r="C133" s="335"/>
      <c r="D133" s="333"/>
      <c r="E133" s="333"/>
      <c r="F133" s="336"/>
      <c r="G133" s="336"/>
      <c r="H133" s="337"/>
      <c r="I133" s="338"/>
      <c r="J133" s="338"/>
      <c r="K133" s="338"/>
      <c r="L133" s="338"/>
      <c r="M133" s="333"/>
      <c r="N133" s="333"/>
      <c r="O133" s="339"/>
      <c r="P133" s="340"/>
      <c r="Q133" s="341"/>
      <c r="R133" s="341"/>
      <c r="S133" s="341">
        <f ca="1">IF(NOT(ISERROR(MATCH(R133,_xlfn.ANCHORARRAY(#REF!),0))),#REF!&amp;"Por favor no seleccionar los criterios de impacto",R133)</f>
        <v>0</v>
      </c>
      <c r="T133" s="340"/>
      <c r="U133" s="341"/>
      <c r="V133" s="327"/>
      <c r="W133" s="233">
        <v>3</v>
      </c>
      <c r="X133" s="207"/>
      <c r="Y133" s="230" t="str">
        <f t="shared" si="346"/>
        <v/>
      </c>
      <c r="Z133" s="185"/>
      <c r="AA133" s="185"/>
      <c r="AB133" s="186" t="str">
        <f t="shared" si="307"/>
        <v/>
      </c>
      <c r="AC133" s="185"/>
      <c r="AD133" s="185"/>
      <c r="AE133" s="185"/>
      <c r="AF133" s="187" t="str">
        <f t="shared" si="369"/>
        <v/>
      </c>
      <c r="AG133" s="188" t="str">
        <f t="shared" si="363"/>
        <v/>
      </c>
      <c r="AH133" s="186" t="str">
        <f t="shared" si="364"/>
        <v/>
      </c>
      <c r="AI133" s="188" t="str">
        <f t="shared" si="365"/>
        <v/>
      </c>
      <c r="AJ133" s="186" t="str">
        <f t="shared" ref="AJ133:AJ136" si="371">IFERROR(IF(AND(Y132="Impacto",Y133="Impacto"),(AJ132-(+AJ132*AB133)),IF(AND(Y132="Probabilidad",Y133="Impacto"),(AJ131-(+AJ131*AB133)),IF(Y133="Probabilidad",AJ132,""))),"")</f>
        <v/>
      </c>
      <c r="AK133" s="189" t="str">
        <f t="shared" si="367"/>
        <v/>
      </c>
      <c r="AL133" s="185"/>
      <c r="AM133" s="227"/>
      <c r="AN133" s="230"/>
      <c r="AO133" s="228"/>
      <c r="AP133" s="228"/>
      <c r="AQ133" s="227"/>
      <c r="AR133" s="229"/>
    </row>
    <row r="134" spans="1:44" s="191" customFormat="1" ht="60.75" hidden="1" customHeight="1" thickTop="1" thickBot="1" x14ac:dyDescent="0.3">
      <c r="A134" s="328"/>
      <c r="B134" s="334"/>
      <c r="C134" s="335"/>
      <c r="D134" s="333"/>
      <c r="E134" s="333"/>
      <c r="F134" s="336"/>
      <c r="G134" s="336"/>
      <c r="H134" s="337"/>
      <c r="I134" s="338"/>
      <c r="J134" s="338"/>
      <c r="K134" s="338"/>
      <c r="L134" s="338"/>
      <c r="M134" s="333"/>
      <c r="N134" s="333"/>
      <c r="O134" s="339"/>
      <c r="P134" s="340"/>
      <c r="Q134" s="341"/>
      <c r="R134" s="341"/>
      <c r="S134" s="341">
        <f ca="1">IF(NOT(ISERROR(MATCH(R134,_xlfn.ANCHORARRAY(#REF!),0))),#REF!&amp;"Por favor no seleccionar los criterios de impacto",R134)</f>
        <v>0</v>
      </c>
      <c r="T134" s="340"/>
      <c r="U134" s="341"/>
      <c r="V134" s="327"/>
      <c r="W134" s="233">
        <v>4</v>
      </c>
      <c r="X134" s="207"/>
      <c r="Y134" s="230" t="str">
        <f t="shared" si="346"/>
        <v/>
      </c>
      <c r="Z134" s="185"/>
      <c r="AA134" s="185"/>
      <c r="AB134" s="186" t="str">
        <f t="shared" si="307"/>
        <v/>
      </c>
      <c r="AC134" s="185"/>
      <c r="AD134" s="185"/>
      <c r="AE134" s="185"/>
      <c r="AF134" s="187" t="str">
        <f t="shared" si="369"/>
        <v/>
      </c>
      <c r="AG134" s="188" t="str">
        <f t="shared" si="363"/>
        <v/>
      </c>
      <c r="AH134" s="186" t="str">
        <f t="shared" si="364"/>
        <v/>
      </c>
      <c r="AI134" s="188" t="str">
        <f t="shared" si="365"/>
        <v/>
      </c>
      <c r="AJ134" s="186" t="str">
        <f t="shared" si="371"/>
        <v/>
      </c>
      <c r="AK134" s="189" t="str">
        <f t="shared" si="367"/>
        <v/>
      </c>
      <c r="AL134" s="185"/>
      <c r="AM134" s="227"/>
      <c r="AN134" s="230"/>
      <c r="AO134" s="228"/>
      <c r="AP134" s="228"/>
      <c r="AQ134" s="227"/>
      <c r="AR134" s="229"/>
    </row>
    <row r="135" spans="1:44" s="191" customFormat="1" ht="60.75" hidden="1" customHeight="1" thickTop="1" thickBot="1" x14ac:dyDescent="0.3">
      <c r="A135" s="328"/>
      <c r="B135" s="334"/>
      <c r="C135" s="335"/>
      <c r="D135" s="333"/>
      <c r="E135" s="333"/>
      <c r="F135" s="336"/>
      <c r="G135" s="336"/>
      <c r="H135" s="337"/>
      <c r="I135" s="338"/>
      <c r="J135" s="338"/>
      <c r="K135" s="338"/>
      <c r="L135" s="338"/>
      <c r="M135" s="333"/>
      <c r="N135" s="333"/>
      <c r="O135" s="339"/>
      <c r="P135" s="340"/>
      <c r="Q135" s="341"/>
      <c r="R135" s="341"/>
      <c r="S135" s="341">
        <f ca="1">IF(NOT(ISERROR(MATCH(R135,_xlfn.ANCHORARRAY(#REF!),0))),#REF!&amp;"Por favor no seleccionar los criterios de impacto",R135)</f>
        <v>0</v>
      </c>
      <c r="T135" s="340"/>
      <c r="U135" s="341"/>
      <c r="V135" s="327"/>
      <c r="W135" s="233">
        <v>5</v>
      </c>
      <c r="X135" s="207"/>
      <c r="Y135" s="230" t="str">
        <f t="shared" si="346"/>
        <v/>
      </c>
      <c r="Z135" s="185"/>
      <c r="AA135" s="185"/>
      <c r="AB135" s="186" t="str">
        <f t="shared" si="307"/>
        <v/>
      </c>
      <c r="AC135" s="185"/>
      <c r="AD135" s="185"/>
      <c r="AE135" s="185"/>
      <c r="AF135" s="187" t="str">
        <f t="shared" si="369"/>
        <v/>
      </c>
      <c r="AG135" s="188" t="str">
        <f t="shared" si="363"/>
        <v/>
      </c>
      <c r="AH135" s="186" t="str">
        <f t="shared" si="364"/>
        <v/>
      </c>
      <c r="AI135" s="188" t="str">
        <f t="shared" si="365"/>
        <v/>
      </c>
      <c r="AJ135" s="186" t="str">
        <f t="shared" si="371"/>
        <v/>
      </c>
      <c r="AK135" s="189" t="str">
        <f t="shared" si="367"/>
        <v/>
      </c>
      <c r="AL135" s="185"/>
      <c r="AM135" s="227"/>
      <c r="AN135" s="230"/>
      <c r="AO135" s="228"/>
      <c r="AP135" s="228"/>
      <c r="AQ135" s="227"/>
      <c r="AR135" s="229"/>
    </row>
    <row r="136" spans="1:44" s="191" customFormat="1" ht="60.75" hidden="1" customHeight="1" thickTop="1" thickBot="1" x14ac:dyDescent="0.3">
      <c r="A136" s="328"/>
      <c r="B136" s="334"/>
      <c r="C136" s="335"/>
      <c r="D136" s="333"/>
      <c r="E136" s="333"/>
      <c r="F136" s="336"/>
      <c r="G136" s="336"/>
      <c r="H136" s="337"/>
      <c r="I136" s="338"/>
      <c r="J136" s="338"/>
      <c r="K136" s="338"/>
      <c r="L136" s="338"/>
      <c r="M136" s="333"/>
      <c r="N136" s="333"/>
      <c r="O136" s="339"/>
      <c r="P136" s="340"/>
      <c r="Q136" s="341"/>
      <c r="R136" s="341"/>
      <c r="S136" s="341">
        <f ca="1">IF(NOT(ISERROR(MATCH(R136,_xlfn.ANCHORARRAY(#REF!),0))),Q145&amp;"Por favor no seleccionar los criterios de impacto",R136)</f>
        <v>0</v>
      </c>
      <c r="T136" s="340"/>
      <c r="U136" s="341"/>
      <c r="V136" s="327"/>
      <c r="W136" s="233">
        <v>6</v>
      </c>
      <c r="X136" s="207"/>
      <c r="Y136" s="230" t="str">
        <f t="shared" si="346"/>
        <v/>
      </c>
      <c r="Z136" s="185"/>
      <c r="AA136" s="185"/>
      <c r="AB136" s="186" t="str">
        <f t="shared" si="307"/>
        <v/>
      </c>
      <c r="AC136" s="185"/>
      <c r="AD136" s="185"/>
      <c r="AE136" s="185"/>
      <c r="AF136" s="187" t="str">
        <f t="shared" si="369"/>
        <v/>
      </c>
      <c r="AG136" s="188" t="str">
        <f t="shared" si="363"/>
        <v/>
      </c>
      <c r="AH136" s="186" t="str">
        <f t="shared" si="364"/>
        <v/>
      </c>
      <c r="AI136" s="188" t="str">
        <f t="shared" si="365"/>
        <v/>
      </c>
      <c r="AJ136" s="186" t="str">
        <f t="shared" si="371"/>
        <v/>
      </c>
      <c r="AK136" s="189" t="str">
        <f t="shared" si="367"/>
        <v/>
      </c>
      <c r="AL136" s="185"/>
      <c r="AM136" s="227"/>
      <c r="AN136" s="230"/>
      <c r="AO136" s="228"/>
      <c r="AP136" s="228"/>
      <c r="AQ136" s="227"/>
      <c r="AR136" s="229"/>
    </row>
    <row r="137" spans="1:44" s="191" customFormat="1" ht="177" customHeight="1" thickTop="1" thickBot="1" x14ac:dyDescent="0.3">
      <c r="A137" s="328">
        <v>54</v>
      </c>
      <c r="B137" s="345" t="s">
        <v>711</v>
      </c>
      <c r="C137" s="333" t="s">
        <v>275</v>
      </c>
      <c r="D137" s="333" t="s">
        <v>712</v>
      </c>
      <c r="E137" s="333" t="s">
        <v>240</v>
      </c>
      <c r="F137" s="351" t="s">
        <v>713</v>
      </c>
      <c r="G137" s="351" t="s">
        <v>714</v>
      </c>
      <c r="H137" s="350" t="s">
        <v>1093</v>
      </c>
      <c r="I137" s="338" t="s">
        <v>474</v>
      </c>
      <c r="J137" s="338" t="s">
        <v>474</v>
      </c>
      <c r="K137" s="338" t="s">
        <v>474</v>
      </c>
      <c r="L137" s="338" t="s">
        <v>474</v>
      </c>
      <c r="M137" s="333" t="s">
        <v>239</v>
      </c>
      <c r="N137" s="333"/>
      <c r="O137" s="339">
        <v>53</v>
      </c>
      <c r="P137" s="340" t="str">
        <f>IF(O137&lt;=0,"",IF(O137&lt;=2,"Muy Baja",IF(O137&lt;=24,"Baja",IF(O137&lt;=500,"Media",IF(O137&lt;=5000,"Alta","Muy Alta")))))</f>
        <v>Media</v>
      </c>
      <c r="Q137" s="341">
        <f>IF(P137="","",IF(P137="Muy Baja",0.2,IF(P137="Baja",0.4,IF(P137="Media",0.6,IF(P137="Alta",0.8,IF(P137="Muy Alta",1,))))))</f>
        <v>0.6</v>
      </c>
      <c r="R137" s="341" t="s">
        <v>183</v>
      </c>
      <c r="S137" s="341" t="str">
        <f ca="1">IF(NOT(ISERROR(MATCH(R137,'Tabla Impacto'!$B$221:$B$223,0))),'Tabla Impacto'!$F$223&amp;"Por favor no seleccionar los criterios de impacto(Afectación Económica o presupuestal y Pérdida Reputacional)",R137)</f>
        <v xml:space="preserve">Afectación menor a 10 SMLMV </v>
      </c>
      <c r="T137" s="340" t="str">
        <f ca="1">+IF(OR(S137='[1]Tabla Impacto'!$C$11,S137='[1]Tabla Impacto'!$D$11),"Leve",IF(OR(S137='[1]Tabla Impacto'!$C$12,S137='[1]Tabla Impacto'!$D$12),"Menor",IF(OR(S137='[1]Tabla Impacto'!$C$13,S137='[1]Tabla Impacto'!$D$13),"Moderado",IF(OR(S137='[1]Tabla Impacto'!$C$14,S137='[1]Tabla Impacto'!$D$14),"Mayor",IF(OR(S137='[1]Tabla Impacto'!$C$15,S137='[1]Tabla Impacto'!$D$15),"Catastrófico","")))))</f>
        <v>Leve</v>
      </c>
      <c r="U137" s="341">
        <f t="shared" ref="U137" ca="1" si="372">IF(T137="","",IF(T137="Leve",0.2,IF(T137="Menor",0.4,IF(T137="Moderado",0.6,IF(T137="Mayor",0.8,IF(T137="Catastrófico",1,))))))</f>
        <v>0.2</v>
      </c>
      <c r="V137" s="327" t="str">
        <f t="shared" ref="V137" ca="1" si="373">IF(OR(AND(P137="Muy Baja",T137="Leve"),AND(P137="Muy Baja",T137="Menor"),AND(P137="Baja",T137="Leve")),"Bajo",IF(OR(AND(P137="Muy baja",T137="Moderado"),AND(P137="Baja",T137="Menor"),AND(P137="Baja",T137="Moderado"),AND(P137="Media",T137="Leve"),AND(P137="Media",T137="Menor"),AND(P137="Media",T137="Moderado"),AND(P137="Alta",T137="Leve"),AND(P137="Alta",T137="Menor")),"Moderado",IF(OR(AND(P137="Muy Baja",T137="Mayor"),AND(P137="Baja",T137="Mayor"),AND(P137="Media",T137="Mayor"),AND(P137="Alta",T137="Moderado"),AND(P137="Alta",T137="Mayor"),AND(P137="Muy Alta",T137="Leve"),AND(P137="Muy Alta",T137="Menor"),AND(P137="Muy Alta",T137="Moderado"),AND(P137="Muy Alta",T137="Mayor")),"Alto",IF(OR(AND(P137="Muy Baja",T137="Catastrófico"),AND(P137="Baja",T137="Catastrófico"),AND(P137="Media",T137="Catastrófico"),AND(P137="Alta",T137="Catastrófico"),AND(P137="Muy Alta",T137="Catastrófico")),"Extremo",""))))</f>
        <v>Moderado</v>
      </c>
      <c r="W137" s="233">
        <v>1</v>
      </c>
      <c r="X137" s="207" t="s">
        <v>715</v>
      </c>
      <c r="Y137" s="230" t="str">
        <f t="shared" si="323"/>
        <v>Probabilidad</v>
      </c>
      <c r="Z137" s="185" t="s">
        <v>208</v>
      </c>
      <c r="AA137" s="185" t="s">
        <v>216</v>
      </c>
      <c r="AB137" s="186" t="str">
        <f t="shared" si="307"/>
        <v>40%</v>
      </c>
      <c r="AC137" s="185" t="s">
        <v>219</v>
      </c>
      <c r="AD137" s="185" t="s">
        <v>224</v>
      </c>
      <c r="AE137" s="185" t="s">
        <v>228</v>
      </c>
      <c r="AF137" s="187">
        <f t="shared" ref="AF137" si="374">IFERROR(IF(Y137="Probabilidad",(Q137-(+Q137*AB137)),IF(Y137="Impacto",Q137,"")),"")</f>
        <v>0.36</v>
      </c>
      <c r="AG137" s="188" t="str">
        <f t="shared" si="324"/>
        <v>Baja</v>
      </c>
      <c r="AH137" s="186">
        <f t="shared" si="325"/>
        <v>0.36</v>
      </c>
      <c r="AI137" s="188" t="str">
        <f t="shared" ca="1" si="326"/>
        <v>Leve</v>
      </c>
      <c r="AJ137" s="186">
        <f t="shared" ref="AJ137" ca="1" si="375">IFERROR(IF(Y137="Impacto",(U137-(+U137*AB137)),IF(Y137="Probabilidad",U137,"")),"")</f>
        <v>0.2</v>
      </c>
      <c r="AK137" s="189" t="str">
        <f t="shared" ca="1" si="327"/>
        <v>Bajo</v>
      </c>
      <c r="AL137" s="185" t="s">
        <v>255</v>
      </c>
      <c r="AM137" s="227"/>
      <c r="AN137" s="230"/>
      <c r="AO137" s="228"/>
      <c r="AP137" s="228"/>
      <c r="AQ137" s="227"/>
      <c r="AR137" s="229"/>
    </row>
    <row r="138" spans="1:44" s="191" customFormat="1" ht="153.75" customHeight="1" thickTop="1" thickBot="1" x14ac:dyDescent="0.3">
      <c r="A138" s="328"/>
      <c r="B138" s="345"/>
      <c r="C138" s="333"/>
      <c r="D138" s="333"/>
      <c r="E138" s="333"/>
      <c r="F138" s="351"/>
      <c r="G138" s="351"/>
      <c r="H138" s="350"/>
      <c r="I138" s="338"/>
      <c r="J138" s="338"/>
      <c r="K138" s="338"/>
      <c r="L138" s="338"/>
      <c r="M138" s="333"/>
      <c r="N138" s="333"/>
      <c r="O138" s="339"/>
      <c r="P138" s="340"/>
      <c r="Q138" s="341"/>
      <c r="R138" s="341"/>
      <c r="S138" s="341">
        <f ca="1">IF(NOT(ISERROR(MATCH(R138,_xlfn.ANCHORARRAY(H140),0))),#REF!&amp;"Por favor no seleccionar los criterios de impacto",R138)</f>
        <v>0</v>
      </c>
      <c r="T138" s="340"/>
      <c r="U138" s="341"/>
      <c r="V138" s="327"/>
      <c r="W138" s="233">
        <v>2</v>
      </c>
      <c r="X138" s="207" t="s">
        <v>716</v>
      </c>
      <c r="Y138" s="230" t="str">
        <f t="shared" si="323"/>
        <v>Probabilidad</v>
      </c>
      <c r="Z138" s="185" t="s">
        <v>208</v>
      </c>
      <c r="AA138" s="185" t="s">
        <v>216</v>
      </c>
      <c r="AB138" s="186" t="str">
        <f t="shared" si="307"/>
        <v>40%</v>
      </c>
      <c r="AC138" s="185" t="s">
        <v>219</v>
      </c>
      <c r="AD138" s="185" t="s">
        <v>224</v>
      </c>
      <c r="AE138" s="185" t="s">
        <v>228</v>
      </c>
      <c r="AF138" s="187">
        <f t="shared" ref="AF138" si="376">IFERROR(IF(AND(Y137="Probabilidad",Y138="Probabilidad"),(AH137-(+AH137*AB138)),IF(Y138="Probabilidad",(Q137-(+Q137*AB138)),IF(Y138="Impacto",AH137,""))),"")</f>
        <v>0.216</v>
      </c>
      <c r="AG138" s="188" t="str">
        <f t="shared" si="324"/>
        <v>Baja</v>
      </c>
      <c r="AH138" s="186">
        <f t="shared" si="325"/>
        <v>0.216</v>
      </c>
      <c r="AI138" s="188" t="str">
        <f t="shared" ca="1" si="326"/>
        <v>Leve</v>
      </c>
      <c r="AJ138" s="186">
        <f t="shared" ref="AJ138" ca="1" si="377">IFERROR(IF(AND(Y137="Impacto",Y138="Impacto"),(AJ137-(+AJ137*AB138)),IF(Y138="Impacto",(U137-(+U137*AB138)),IF(Y138="Probabilidad",AJ137,""))),"")</f>
        <v>0.2</v>
      </c>
      <c r="AK138" s="189" t="str">
        <f t="shared" ca="1" si="327"/>
        <v>Bajo</v>
      </c>
      <c r="AL138" s="185" t="s">
        <v>255</v>
      </c>
      <c r="AM138" s="227"/>
      <c r="AN138" s="230"/>
      <c r="AO138" s="228"/>
      <c r="AP138" s="228"/>
      <c r="AQ138" s="227"/>
      <c r="AR138" s="229"/>
    </row>
    <row r="139" spans="1:44" s="191" customFormat="1" ht="270" customHeight="1" thickTop="1" thickBot="1" x14ac:dyDescent="0.3">
      <c r="A139" s="226">
        <v>55</v>
      </c>
      <c r="B139" s="242" t="s">
        <v>717</v>
      </c>
      <c r="C139" s="227" t="s">
        <v>275</v>
      </c>
      <c r="D139" s="244" t="s">
        <v>712</v>
      </c>
      <c r="E139" s="227" t="s">
        <v>240</v>
      </c>
      <c r="F139" s="234" t="s">
        <v>713</v>
      </c>
      <c r="G139" s="234" t="s">
        <v>718</v>
      </c>
      <c r="H139" s="251" t="s">
        <v>987</v>
      </c>
      <c r="I139" s="231" t="s">
        <v>474</v>
      </c>
      <c r="J139" s="231" t="s">
        <v>474</v>
      </c>
      <c r="K139" s="231" t="s">
        <v>474</v>
      </c>
      <c r="L139" s="231" t="s">
        <v>474</v>
      </c>
      <c r="M139" s="227" t="s">
        <v>239</v>
      </c>
      <c r="N139" s="227"/>
      <c r="O139" s="230">
        <v>365</v>
      </c>
      <c r="P139" s="232" t="str">
        <f>IF(O139&lt;=0,"",IF(O139&lt;=2,"Muy Baja",IF(O139&lt;=24,"Baja",IF(O139&lt;=500,"Media",IF(O139&lt;=5000,"Alta","Muy Alta")))))</f>
        <v>Media</v>
      </c>
      <c r="Q139" s="225">
        <f>IF(P139="","",IF(P139="Muy Baja",0.2,IF(P139="Baja",0.4,IF(P139="Media",0.6,IF(P139="Alta",0.8,IF(P139="Muy Alta",1,))))))</f>
        <v>0.6</v>
      </c>
      <c r="R139" s="225" t="s">
        <v>186</v>
      </c>
      <c r="S139" s="225" t="str">
        <f ca="1">IF(NOT(ISERROR(MATCH(R139,'Tabla Impacto'!$B$221:$B$223,0))),'Tabla Impacto'!$F$223&amp;"Por favor no seleccionar los criterios de impacto(Afectación Económica o presupuestal y Pérdida Reputacional)",R139)</f>
        <v xml:space="preserve">Entre 10 y 50 SMLMV </v>
      </c>
      <c r="T139" s="232" t="str">
        <f ca="1">+IF(OR(S139='[1]Tabla Impacto'!$C$11,S139='[1]Tabla Impacto'!$D$11),"Leve",IF(OR(S139='[1]Tabla Impacto'!$C$12,S139='[1]Tabla Impacto'!$D$12),"Menor",IF(OR(S139='[1]Tabla Impacto'!$C$13,S139='[1]Tabla Impacto'!$D$13),"Moderado",IF(OR(S139='[1]Tabla Impacto'!$C$14,S139='[1]Tabla Impacto'!$D$14),"Mayor",IF(OR(S139='[1]Tabla Impacto'!$C$15,S139='[1]Tabla Impacto'!$D$15),"Catastrófico","")))))</f>
        <v>Menor</v>
      </c>
      <c r="U139" s="225">
        <f t="shared" ref="U139" ca="1" si="378">IF(T139="","",IF(T139="Leve",0.2,IF(T139="Menor",0.4,IF(T139="Moderado",0.6,IF(T139="Mayor",0.8,IF(T139="Catastrófico",1,))))))</f>
        <v>0.4</v>
      </c>
      <c r="V139" s="233" t="str">
        <f t="shared" ref="V139" ca="1" si="379">IF(OR(AND(P139="Muy Baja",T139="Leve"),AND(P139="Muy Baja",T139="Menor"),AND(P139="Baja",T139="Leve")),"Bajo",IF(OR(AND(P139="Muy baja",T139="Moderado"),AND(P139="Baja",T139="Menor"),AND(P139="Baja",T139="Moderado"),AND(P139="Media",T139="Leve"),AND(P139="Media",T139="Menor"),AND(P139="Media",T139="Moderado"),AND(P139="Alta",T139="Leve"),AND(P139="Alta",T139="Menor")),"Moderado",IF(OR(AND(P139="Muy Baja",T139="Mayor"),AND(P139="Baja",T139="Mayor"),AND(P139="Media",T139="Mayor"),AND(P139="Alta",T139="Moderado"),AND(P139="Alta",T139="Mayor"),AND(P139="Muy Alta",T139="Leve"),AND(P139="Muy Alta",T139="Menor"),AND(P139="Muy Alta",T139="Moderado"),AND(P139="Muy Alta",T139="Mayor")),"Alto",IF(OR(AND(P139="Muy Baja",T139="Catastrófico"),AND(P139="Baja",T139="Catastrófico"),AND(P139="Media",T139="Catastrófico"),AND(P139="Alta",T139="Catastrófico"),AND(P139="Muy Alta",T139="Catastrófico")),"Extremo",""))))</f>
        <v>Moderado</v>
      </c>
      <c r="W139" s="233">
        <v>1</v>
      </c>
      <c r="X139" s="207" t="s">
        <v>719</v>
      </c>
      <c r="Y139" s="230" t="str">
        <f t="shared" si="323"/>
        <v>Probabilidad</v>
      </c>
      <c r="Z139" s="185" t="s">
        <v>208</v>
      </c>
      <c r="AA139" s="185" t="s">
        <v>216</v>
      </c>
      <c r="AB139" s="186" t="str">
        <f t="shared" si="307"/>
        <v>40%</v>
      </c>
      <c r="AC139" s="185" t="s">
        <v>219</v>
      </c>
      <c r="AD139" s="185" t="s">
        <v>224</v>
      </c>
      <c r="AE139" s="185" t="s">
        <v>228</v>
      </c>
      <c r="AF139" s="187">
        <f t="shared" ref="AF139" si="380">IFERROR(IF(Y139="Probabilidad",(Q139-(+Q139*AB139)),IF(Y139="Impacto",Q139,"")),"")</f>
        <v>0.36</v>
      </c>
      <c r="AG139" s="188" t="str">
        <f t="shared" si="324"/>
        <v>Baja</v>
      </c>
      <c r="AH139" s="186">
        <f t="shared" si="325"/>
        <v>0.36</v>
      </c>
      <c r="AI139" s="188" t="str">
        <f t="shared" ca="1" si="326"/>
        <v>Menor</v>
      </c>
      <c r="AJ139" s="186">
        <f t="shared" ref="AJ139" ca="1" si="381">IFERROR(IF(Y139="Impacto",(U139-(+U139*AB139)),IF(Y139="Probabilidad",U139,"")),"")</f>
        <v>0.4</v>
      </c>
      <c r="AK139" s="189" t="str">
        <f t="shared" ca="1" si="327"/>
        <v>Moderado</v>
      </c>
      <c r="AL139" s="185" t="s">
        <v>255</v>
      </c>
      <c r="AM139" s="227"/>
      <c r="AN139" s="230"/>
      <c r="AO139" s="228"/>
      <c r="AP139" s="228"/>
      <c r="AQ139" s="227"/>
      <c r="AR139" s="229"/>
    </row>
    <row r="140" spans="1:44" s="191" customFormat="1" ht="116.25" customHeight="1" thickTop="1" thickBot="1" x14ac:dyDescent="0.3">
      <c r="A140" s="328">
        <v>56</v>
      </c>
      <c r="B140" s="329" t="s">
        <v>720</v>
      </c>
      <c r="C140" s="333" t="s">
        <v>276</v>
      </c>
      <c r="D140" s="333" t="s">
        <v>966</v>
      </c>
      <c r="E140" s="333" t="s">
        <v>240</v>
      </c>
      <c r="F140" s="351" t="s">
        <v>721</v>
      </c>
      <c r="G140" s="351" t="s">
        <v>722</v>
      </c>
      <c r="H140" s="350" t="s">
        <v>1152</v>
      </c>
      <c r="I140" s="338" t="s">
        <v>474</v>
      </c>
      <c r="J140" s="338" t="s">
        <v>474</v>
      </c>
      <c r="K140" s="338" t="s">
        <v>474</v>
      </c>
      <c r="L140" s="338" t="s">
        <v>474</v>
      </c>
      <c r="M140" s="333" t="s">
        <v>242</v>
      </c>
      <c r="N140" s="333"/>
      <c r="O140" s="339">
        <v>1095</v>
      </c>
      <c r="P140" s="340" t="str">
        <f>IF(O140&lt;=0,"",IF(O140&lt;=2,"Muy Baja",IF(O140&lt;=24,"Baja",IF(O140&lt;=500,"Media",IF(O140&lt;=5000,"Alta","Muy Alta")))))</f>
        <v>Alta</v>
      </c>
      <c r="Q140" s="341">
        <f>IF(P140="","",IF(P140="Muy Baja",0.2,IF(P140="Baja",0.4,IF(P140="Media",0.6,IF(P140="Alta",0.8,IF(P140="Muy Alta",1,))))))</f>
        <v>0.8</v>
      </c>
      <c r="R140" s="341" t="s">
        <v>186</v>
      </c>
      <c r="S140" s="341" t="str">
        <f ca="1">IF(NOT(ISERROR(MATCH(R140,'Tabla Impacto'!$B$221:$B$223,0))),'Tabla Impacto'!$F$223&amp;"Por favor no seleccionar los criterios de impacto(Afectación Económica o presupuestal y Pérdida Reputacional)",R140)</f>
        <v xml:space="preserve">Entre 10 y 50 SMLMV </v>
      </c>
      <c r="T140" s="340" t="str">
        <f ca="1">+IF(OR(S140='[1]Tabla Impacto'!$C$11,S140='[1]Tabla Impacto'!$D$11),"Leve",IF(OR(S140='[1]Tabla Impacto'!$C$12,S140='[1]Tabla Impacto'!$D$12),"Menor",IF(OR(S140='[1]Tabla Impacto'!$C$13,S140='[1]Tabla Impacto'!$D$13),"Moderado",IF(OR(S140='[1]Tabla Impacto'!$C$14,S140='[1]Tabla Impacto'!$D$14),"Mayor",IF(OR(S140='[1]Tabla Impacto'!$C$15,S140='[1]Tabla Impacto'!$D$15),"Catastrófico","")))))</f>
        <v>Menor</v>
      </c>
      <c r="U140" s="341">
        <f t="shared" ref="U140" ca="1" si="382">IF(T140="","",IF(T140="Leve",0.2,IF(T140="Menor",0.4,IF(T140="Moderado",0.6,IF(T140="Mayor",0.8,IF(T140="Catastrófico",1,))))))</f>
        <v>0.4</v>
      </c>
      <c r="V140" s="327" t="str">
        <f t="shared" ref="V140" ca="1" si="383">IF(OR(AND(P140="Muy Baja",T140="Leve"),AND(P140="Muy Baja",T140="Menor"),AND(P140="Baja",T140="Leve")),"Bajo",IF(OR(AND(P140="Muy baja",T140="Moderado"),AND(P140="Baja",T140="Menor"),AND(P140="Baja",T140="Moderado"),AND(P140="Media",T140="Leve"),AND(P140="Media",T140="Menor"),AND(P140="Media",T140="Moderado"),AND(P140="Alta",T140="Leve"),AND(P140="Alta",T140="Menor")),"Moderado",IF(OR(AND(P140="Muy Baja",T140="Mayor"),AND(P140="Baja",T140="Mayor"),AND(P140="Media",T140="Mayor"),AND(P140="Alta",T140="Moderado"),AND(P140="Alta",T140="Mayor"),AND(P140="Muy Alta",T140="Leve"),AND(P140="Muy Alta",T140="Menor"),AND(P140="Muy Alta",T140="Moderado"),AND(P140="Muy Alta",T140="Mayor")),"Alto",IF(OR(AND(P140="Muy Baja",T140="Catastrófico"),AND(P140="Baja",T140="Catastrófico"),AND(P140="Media",T140="Catastrófico"),AND(P140="Alta",T140="Catastrófico"),AND(P140="Muy Alta",T140="Catastrófico")),"Extremo",""))))</f>
        <v>Moderado</v>
      </c>
      <c r="W140" s="233">
        <v>1</v>
      </c>
      <c r="X140" s="207" t="s">
        <v>723</v>
      </c>
      <c r="Y140" s="230" t="str">
        <f t="shared" si="323"/>
        <v>Probabilidad</v>
      </c>
      <c r="Z140" s="185" t="s">
        <v>208</v>
      </c>
      <c r="AA140" s="185" t="s">
        <v>216</v>
      </c>
      <c r="AB140" s="186" t="str">
        <f t="shared" ref="AB140:AB161" si="384">IF(AND(Z140="Preventivo",AA140="Automático"),"50%",IF(AND(Z140="Preventivo",AA140="Manual"),"40%",IF(AND(Z140="Detectivo",AA140="Automático"),"40%",IF(AND(Z140="Detectivo",AA140="Manual"),"30%",IF(AND(Z140="Correctivo",AA140="Automático"),"35%",IF(AND(Z140="Correctivo",AA140="Manual"),"25%",""))))))</f>
        <v>40%</v>
      </c>
      <c r="AC140" s="185" t="s">
        <v>219</v>
      </c>
      <c r="AD140" s="185" t="s">
        <v>224</v>
      </c>
      <c r="AE140" s="185" t="s">
        <v>228</v>
      </c>
      <c r="AF140" s="187">
        <f t="shared" ref="AF140" si="385">IFERROR(IF(Y140="Probabilidad",(Q140-(+Q140*AB140)),IF(Y140="Impacto",Q140,"")),"")</f>
        <v>0.48</v>
      </c>
      <c r="AG140" s="188" t="str">
        <f t="shared" si="324"/>
        <v>Media</v>
      </c>
      <c r="AH140" s="186">
        <f t="shared" si="325"/>
        <v>0.48</v>
      </c>
      <c r="AI140" s="188" t="str">
        <f t="shared" ca="1" si="326"/>
        <v>Menor</v>
      </c>
      <c r="AJ140" s="186">
        <f t="shared" ref="AJ140" ca="1" si="386">IFERROR(IF(Y140="Impacto",(U140-(+U140*AB140)),IF(Y140="Probabilidad",U140,"")),"")</f>
        <v>0.4</v>
      </c>
      <c r="AK140" s="189" t="str">
        <f t="shared" ca="1" si="327"/>
        <v>Moderado</v>
      </c>
      <c r="AL140" s="185" t="s">
        <v>255</v>
      </c>
      <c r="AM140" s="227"/>
      <c r="AN140" s="230"/>
      <c r="AO140" s="228"/>
      <c r="AP140" s="228"/>
      <c r="AQ140" s="227"/>
      <c r="AR140" s="229"/>
    </row>
    <row r="141" spans="1:44" s="191" customFormat="1" ht="110.25" thickTop="1" thickBot="1" x14ac:dyDescent="0.3">
      <c r="A141" s="328"/>
      <c r="B141" s="329"/>
      <c r="C141" s="333"/>
      <c r="D141" s="333"/>
      <c r="E141" s="333"/>
      <c r="F141" s="351"/>
      <c r="G141" s="351"/>
      <c r="H141" s="350"/>
      <c r="I141" s="338"/>
      <c r="J141" s="338"/>
      <c r="K141" s="338"/>
      <c r="L141" s="338"/>
      <c r="M141" s="333"/>
      <c r="N141" s="333"/>
      <c r="O141" s="339"/>
      <c r="P141" s="340"/>
      <c r="Q141" s="341"/>
      <c r="R141" s="341"/>
      <c r="S141" s="341">
        <f ca="1">IF(NOT(ISERROR(MATCH(R141,_xlfn.ANCHORARRAY(H144),0))),#REF!&amp;"Por favor no seleccionar los criterios de impacto",R141)</f>
        <v>0</v>
      </c>
      <c r="T141" s="340"/>
      <c r="U141" s="341"/>
      <c r="V141" s="327"/>
      <c r="W141" s="233">
        <v>2</v>
      </c>
      <c r="X141" s="207" t="s">
        <v>724</v>
      </c>
      <c r="Y141" s="230" t="str">
        <f t="shared" si="323"/>
        <v>Probabilidad</v>
      </c>
      <c r="Z141" s="185" t="s">
        <v>208</v>
      </c>
      <c r="AA141" s="185" t="s">
        <v>216</v>
      </c>
      <c r="AB141" s="186" t="str">
        <f t="shared" si="384"/>
        <v>40%</v>
      </c>
      <c r="AC141" s="185" t="s">
        <v>219</v>
      </c>
      <c r="AD141" s="185" t="s">
        <v>224</v>
      </c>
      <c r="AE141" s="185" t="s">
        <v>228</v>
      </c>
      <c r="AF141" s="187">
        <f t="shared" ref="AF141" si="387">IFERROR(IF(AND(Y140="Probabilidad",Y141="Probabilidad"),(AH140-(+AH140*AB141)),IF(Y141="Probabilidad",(Q140-(+Q140*AB141)),IF(Y141="Impacto",AH140,""))),"")</f>
        <v>0.28799999999999998</v>
      </c>
      <c r="AG141" s="188" t="str">
        <f t="shared" si="324"/>
        <v>Baja</v>
      </c>
      <c r="AH141" s="186">
        <f t="shared" si="325"/>
        <v>0.28799999999999998</v>
      </c>
      <c r="AI141" s="188" t="str">
        <f t="shared" ca="1" si="326"/>
        <v>Menor</v>
      </c>
      <c r="AJ141" s="186">
        <f t="shared" ref="AJ141" ca="1" si="388">IFERROR(IF(AND(Y140="Impacto",Y141="Impacto"),(AJ140-(+AJ140*AB141)),IF(Y141="Impacto",(U140-(+U140*AB141)),IF(Y141="Probabilidad",AJ140,""))),"")</f>
        <v>0.4</v>
      </c>
      <c r="AK141" s="189" t="str">
        <f t="shared" ca="1" si="327"/>
        <v>Moderado</v>
      </c>
      <c r="AL141" s="185" t="s">
        <v>255</v>
      </c>
      <c r="AM141" s="227"/>
      <c r="AN141" s="230"/>
      <c r="AO141" s="228"/>
      <c r="AP141" s="228"/>
      <c r="AQ141" s="227"/>
      <c r="AR141" s="229"/>
    </row>
    <row r="142" spans="1:44" s="191" customFormat="1" ht="129" customHeight="1" thickTop="1" thickBot="1" x14ac:dyDescent="0.3">
      <c r="A142" s="328">
        <v>57</v>
      </c>
      <c r="B142" s="335" t="s">
        <v>725</v>
      </c>
      <c r="C142" s="333" t="s">
        <v>276</v>
      </c>
      <c r="D142" s="333" t="s">
        <v>967</v>
      </c>
      <c r="E142" s="333" t="s">
        <v>240</v>
      </c>
      <c r="F142" s="351" t="s">
        <v>726</v>
      </c>
      <c r="G142" s="351" t="s">
        <v>727</v>
      </c>
      <c r="H142" s="350" t="s">
        <v>1153</v>
      </c>
      <c r="I142" s="338" t="s">
        <v>474</v>
      </c>
      <c r="J142" s="338" t="s">
        <v>474</v>
      </c>
      <c r="K142" s="338" t="s">
        <v>474</v>
      </c>
      <c r="L142" s="338" t="s">
        <v>474</v>
      </c>
      <c r="M142" s="333" t="s">
        <v>239</v>
      </c>
      <c r="N142" s="333"/>
      <c r="O142" s="339">
        <v>365</v>
      </c>
      <c r="P142" s="340" t="str">
        <f>IF(O142&lt;=0,"",IF(O142&lt;=2,"Muy Baja",IF(O142&lt;=24,"Baja",IF(O142&lt;=500,"Media",IF(O142&lt;=5000,"Alta","Muy Alta")))))</f>
        <v>Media</v>
      </c>
      <c r="Q142" s="341">
        <f>IF(P142="","",IF(P142="Muy Baja",0.2,IF(P142="Baja",0.4,IF(P142="Media",0.6,IF(P142="Alta",0.8,IF(P142="Muy Alta",1,))))))</f>
        <v>0.6</v>
      </c>
      <c r="R142" s="341" t="s">
        <v>186</v>
      </c>
      <c r="S142" s="341" t="str">
        <f ca="1">IF(NOT(ISERROR(MATCH(R142,'Tabla Impacto'!$B$221:$B$223,0))),'Tabla Impacto'!$F$223&amp;"Por favor no seleccionar los criterios de impacto(Afectación Económica o presupuestal y Pérdida Reputacional)",R142)</f>
        <v xml:space="preserve">Entre 10 y 50 SMLMV </v>
      </c>
      <c r="T142" s="340" t="str">
        <f ca="1">+IF(OR(S142='[1]Tabla Impacto'!$C$11,S142='[1]Tabla Impacto'!$D$11),"Leve",IF(OR(S142='[1]Tabla Impacto'!$C$12,S142='[1]Tabla Impacto'!$D$12),"Menor",IF(OR(S142='[1]Tabla Impacto'!$C$13,S142='[1]Tabla Impacto'!$D$13),"Moderado",IF(OR(S142='[1]Tabla Impacto'!$C$14,S142='[1]Tabla Impacto'!$D$14),"Mayor",IF(OR(S142='[1]Tabla Impacto'!$C$15,S142='[1]Tabla Impacto'!$D$15),"Catastrófico","")))))</f>
        <v>Menor</v>
      </c>
      <c r="U142" s="341">
        <f t="shared" ref="U142" ca="1" si="389">IF(T142="","",IF(T142="Leve",0.2,IF(T142="Menor",0.4,IF(T142="Moderado",0.6,IF(T142="Mayor",0.8,IF(T142="Catastrófico",1,))))))</f>
        <v>0.4</v>
      </c>
      <c r="V142" s="327" t="str">
        <f t="shared" ref="V142" ca="1" si="390">IF(OR(AND(P142="Muy Baja",T142="Leve"),AND(P142="Muy Baja",T142="Menor"),AND(P142="Baja",T142="Leve")),"Bajo",IF(OR(AND(P142="Muy baja",T142="Moderado"),AND(P142="Baja",T142="Menor"),AND(P142="Baja",T142="Moderado"),AND(P142="Media",T142="Leve"),AND(P142="Media",T142="Menor"),AND(P142="Media",T142="Moderado"),AND(P142="Alta",T142="Leve"),AND(P142="Alta",T142="Menor")),"Moderado",IF(OR(AND(P142="Muy Baja",T142="Mayor"),AND(P142="Baja",T142="Mayor"),AND(P142="Media",T142="Mayor"),AND(P142="Alta",T142="Moderado"),AND(P142="Alta",T142="Mayor"),AND(P142="Muy Alta",T142="Leve"),AND(P142="Muy Alta",T142="Menor"),AND(P142="Muy Alta",T142="Moderado"),AND(P142="Muy Alta",T142="Mayor")),"Alto",IF(OR(AND(P142="Muy Baja",T142="Catastrófico"),AND(P142="Baja",T142="Catastrófico"),AND(P142="Media",T142="Catastrófico"),AND(P142="Alta",T142="Catastrófico"),AND(P142="Muy Alta",T142="Catastrófico")),"Extremo",""))))</f>
        <v>Moderado</v>
      </c>
      <c r="W142" s="233">
        <v>1</v>
      </c>
      <c r="X142" s="207" t="s">
        <v>728</v>
      </c>
      <c r="Y142" s="230" t="str">
        <f t="shared" si="323"/>
        <v>Probabilidad</v>
      </c>
      <c r="Z142" s="185" t="s">
        <v>208</v>
      </c>
      <c r="AA142" s="185" t="s">
        <v>216</v>
      </c>
      <c r="AB142" s="186" t="str">
        <f t="shared" si="384"/>
        <v>40%</v>
      </c>
      <c r="AC142" s="185" t="s">
        <v>219</v>
      </c>
      <c r="AD142" s="185" t="s">
        <v>224</v>
      </c>
      <c r="AE142" s="185" t="s">
        <v>228</v>
      </c>
      <c r="AF142" s="187">
        <f t="shared" ref="AF142" si="391">IFERROR(IF(Y142="Probabilidad",(Q142-(+Q142*AB142)),IF(Y142="Impacto",Q142,"")),"")</f>
        <v>0.36</v>
      </c>
      <c r="AG142" s="188" t="str">
        <f t="shared" si="324"/>
        <v>Baja</v>
      </c>
      <c r="AH142" s="186">
        <f t="shared" si="325"/>
        <v>0.36</v>
      </c>
      <c r="AI142" s="188" t="str">
        <f t="shared" ca="1" si="326"/>
        <v>Menor</v>
      </c>
      <c r="AJ142" s="186">
        <f t="shared" ref="AJ142" ca="1" si="392">IFERROR(IF(Y142="Impacto",(U142-(+U142*AB142)),IF(Y142="Probabilidad",U142,"")),"")</f>
        <v>0.4</v>
      </c>
      <c r="AK142" s="189" t="str">
        <f t="shared" ca="1" si="327"/>
        <v>Moderado</v>
      </c>
      <c r="AL142" s="185" t="s">
        <v>255</v>
      </c>
      <c r="AM142" s="227"/>
      <c r="AN142" s="230"/>
      <c r="AO142" s="228"/>
      <c r="AP142" s="228"/>
      <c r="AQ142" s="227"/>
      <c r="AR142" s="229"/>
    </row>
    <row r="143" spans="1:44" s="191" customFormat="1" ht="129" customHeight="1" thickTop="1" thickBot="1" x14ac:dyDescent="0.3">
      <c r="A143" s="328"/>
      <c r="B143" s="335"/>
      <c r="C143" s="333"/>
      <c r="D143" s="333"/>
      <c r="E143" s="333"/>
      <c r="F143" s="351"/>
      <c r="G143" s="351"/>
      <c r="H143" s="350"/>
      <c r="I143" s="338"/>
      <c r="J143" s="338"/>
      <c r="K143" s="338"/>
      <c r="L143" s="338"/>
      <c r="M143" s="333"/>
      <c r="N143" s="333"/>
      <c r="O143" s="339"/>
      <c r="P143" s="340"/>
      <c r="Q143" s="341"/>
      <c r="R143" s="341"/>
      <c r="S143" s="341">
        <f ca="1">IF(NOT(ISERROR(MATCH(R143,_xlfn.ANCHORARRAY(H145),0))),#REF!&amp;"Por favor no seleccionar los criterios de impacto",R143)</f>
        <v>0</v>
      </c>
      <c r="T143" s="340"/>
      <c r="U143" s="341"/>
      <c r="V143" s="327"/>
      <c r="W143" s="233">
        <v>2</v>
      </c>
      <c r="X143" s="207" t="s">
        <v>729</v>
      </c>
      <c r="Y143" s="230" t="str">
        <f t="shared" si="323"/>
        <v>Probabilidad</v>
      </c>
      <c r="Z143" s="185" t="s">
        <v>210</v>
      </c>
      <c r="AA143" s="185" t="s">
        <v>216</v>
      </c>
      <c r="AB143" s="186" t="str">
        <f t="shared" si="384"/>
        <v>30%</v>
      </c>
      <c r="AC143" s="185" t="s">
        <v>219</v>
      </c>
      <c r="AD143" s="185" t="s">
        <v>224</v>
      </c>
      <c r="AE143" s="185" t="s">
        <v>228</v>
      </c>
      <c r="AF143" s="187">
        <f t="shared" ref="AF143" si="393">IFERROR(IF(AND(Y142="Probabilidad",Y143="Probabilidad"),(AH142-(+AH142*AB143)),IF(Y143="Probabilidad",(Q142-(+Q142*AB143)),IF(Y143="Impacto",AH142,""))),"")</f>
        <v>0.252</v>
      </c>
      <c r="AG143" s="188" t="str">
        <f t="shared" si="324"/>
        <v>Baja</v>
      </c>
      <c r="AH143" s="186">
        <f t="shared" si="325"/>
        <v>0.252</v>
      </c>
      <c r="AI143" s="188" t="str">
        <f t="shared" ca="1" si="326"/>
        <v>Menor</v>
      </c>
      <c r="AJ143" s="186">
        <f t="shared" ref="AJ143" ca="1" si="394">IFERROR(IF(AND(Y142="Impacto",Y143="Impacto"),(AJ142-(+AJ142*AB143)),IF(Y143="Impacto",(U142-(+U142*AB143)),IF(Y143="Probabilidad",AJ142,""))),"")</f>
        <v>0.4</v>
      </c>
      <c r="AK143" s="189" t="str">
        <f t="shared" ca="1" si="327"/>
        <v>Moderado</v>
      </c>
      <c r="AL143" s="185" t="s">
        <v>255</v>
      </c>
      <c r="AM143" s="227"/>
      <c r="AN143" s="230"/>
      <c r="AO143" s="228"/>
      <c r="AP143" s="228"/>
      <c r="AQ143" s="227"/>
      <c r="AR143" s="229"/>
    </row>
    <row r="144" spans="1:44" s="191" customFormat="1" ht="242.25" customHeight="1" thickTop="1" thickBot="1" x14ac:dyDescent="0.3">
      <c r="A144" s="226">
        <v>58</v>
      </c>
      <c r="B144" s="249" t="s">
        <v>730</v>
      </c>
      <c r="C144" s="227" t="s">
        <v>276</v>
      </c>
      <c r="D144" s="244" t="s">
        <v>967</v>
      </c>
      <c r="E144" s="227" t="s">
        <v>240</v>
      </c>
      <c r="F144" s="234" t="s">
        <v>726</v>
      </c>
      <c r="G144" s="234" t="s">
        <v>731</v>
      </c>
      <c r="H144" s="251" t="s">
        <v>1154</v>
      </c>
      <c r="I144" s="231" t="s">
        <v>474</v>
      </c>
      <c r="J144" s="231" t="s">
        <v>474</v>
      </c>
      <c r="K144" s="231" t="s">
        <v>474</v>
      </c>
      <c r="L144" s="231" t="s">
        <v>474</v>
      </c>
      <c r="M144" s="227" t="s">
        <v>239</v>
      </c>
      <c r="N144" s="227"/>
      <c r="O144" s="230">
        <v>365</v>
      </c>
      <c r="P144" s="232" t="str">
        <f>IF(O144&lt;=0,"",IF(O144&lt;=2,"Muy Baja",IF(O144&lt;=24,"Baja",IF(O144&lt;=500,"Media",IF(O144&lt;=5000,"Alta","Muy Alta")))))</f>
        <v>Media</v>
      </c>
      <c r="Q144" s="225">
        <f>IF(P144="","",IF(P144="Muy Baja",0.2,IF(P144="Baja",0.4,IF(P144="Media",0.6,IF(P144="Alta",0.8,IF(P144="Muy Alta",1,))))))</f>
        <v>0.6</v>
      </c>
      <c r="R144" s="225" t="s">
        <v>193</v>
      </c>
      <c r="S144" s="225" t="str">
        <f ca="1">IF(NOT(ISERROR(MATCH(R144,'Tabla Impacto'!$B$221:$B$223,0))),'Tabla Impacto'!$F$223&amp;"Por favor no seleccionar los criterios de impacto(Afectación Económica o presupuestal y Pérdida Reputacional)",R144)</f>
        <v>El riesgo afecta la imagen de de la entidad con efecto publicitario sostenido a nivel de sector administrativo, nivel departamental o municipal</v>
      </c>
      <c r="T144" s="232" t="str">
        <f ca="1">+IF(OR(S144='[1]Tabla Impacto'!$C$11,S144='[1]Tabla Impacto'!$D$11),"Leve",IF(OR(S144='[1]Tabla Impacto'!$C$12,S144='[1]Tabla Impacto'!$D$12),"Menor",IF(OR(S144='[1]Tabla Impacto'!$C$13,S144='[1]Tabla Impacto'!$D$13),"Moderado",IF(OR(S144='[1]Tabla Impacto'!$C$14,S144='[1]Tabla Impacto'!$D$14),"Mayor",IF(OR(S144='[1]Tabla Impacto'!$C$15,S144='[1]Tabla Impacto'!$D$15),"Catastrófico","")))))</f>
        <v>Mayor</v>
      </c>
      <c r="U144" s="225">
        <f t="shared" ref="U144" ca="1" si="395">IF(T144="","",IF(T144="Leve",0.2,IF(T144="Menor",0.4,IF(T144="Moderado",0.6,IF(T144="Mayor",0.8,IF(T144="Catastrófico",1,))))))</f>
        <v>0.8</v>
      </c>
      <c r="V144" s="233" t="str">
        <f t="shared" ref="V144" ca="1" si="396">IF(OR(AND(P144="Muy Baja",T144="Leve"),AND(P144="Muy Baja",T144="Menor"),AND(P144="Baja",T144="Leve")),"Bajo",IF(OR(AND(P144="Muy baja",T144="Moderado"),AND(P144="Baja",T144="Menor"),AND(P144="Baja",T144="Moderado"),AND(P144="Media",T144="Leve"),AND(P144="Media",T144="Menor"),AND(P144="Media",T144="Moderado"),AND(P144="Alta",T144="Leve"),AND(P144="Alta",T144="Menor")),"Moderado",IF(OR(AND(P144="Muy Baja",T144="Mayor"),AND(P144="Baja",T144="Mayor"),AND(P144="Media",T144="Mayor"),AND(P144="Alta",T144="Moderado"),AND(P144="Alta",T144="Mayor"),AND(P144="Muy Alta",T144="Leve"),AND(P144="Muy Alta",T144="Menor"),AND(P144="Muy Alta",T144="Moderado"),AND(P144="Muy Alta",T144="Mayor")),"Alto",IF(OR(AND(P144="Muy Baja",T144="Catastrófico"),AND(P144="Baja",T144="Catastrófico"),AND(P144="Media",T144="Catastrófico"),AND(P144="Alta",T144="Catastrófico"),AND(P144="Muy Alta",T144="Catastrófico")),"Extremo",""))))</f>
        <v>Alto</v>
      </c>
      <c r="W144" s="233">
        <v>1</v>
      </c>
      <c r="X144" s="207" t="s">
        <v>732</v>
      </c>
      <c r="Y144" s="230" t="str">
        <f t="shared" si="323"/>
        <v>Probabilidad</v>
      </c>
      <c r="Z144" s="185" t="s">
        <v>208</v>
      </c>
      <c r="AA144" s="185" t="s">
        <v>216</v>
      </c>
      <c r="AB144" s="186" t="str">
        <f t="shared" si="384"/>
        <v>40%</v>
      </c>
      <c r="AC144" s="185" t="s">
        <v>219</v>
      </c>
      <c r="AD144" s="185" t="s">
        <v>224</v>
      </c>
      <c r="AE144" s="185" t="s">
        <v>228</v>
      </c>
      <c r="AF144" s="187">
        <f t="shared" ref="AF144" si="397">IFERROR(IF(Y144="Probabilidad",(Q144-(+Q144*AB144)),IF(Y144="Impacto",Q144,"")),"")</f>
        <v>0.36</v>
      </c>
      <c r="AG144" s="188" t="str">
        <f t="shared" si="324"/>
        <v>Baja</v>
      </c>
      <c r="AH144" s="186">
        <f t="shared" si="325"/>
        <v>0.36</v>
      </c>
      <c r="AI144" s="188" t="str">
        <f t="shared" ca="1" si="326"/>
        <v>Mayor</v>
      </c>
      <c r="AJ144" s="186">
        <f t="shared" ref="AJ144" ca="1" si="398">IFERROR(IF(Y144="Impacto",(U144-(+U144*AB144)),IF(Y144="Probabilidad",U144,"")),"")</f>
        <v>0.8</v>
      </c>
      <c r="AK144" s="189" t="str">
        <f t="shared" ca="1" si="327"/>
        <v>Alto</v>
      </c>
      <c r="AL144" s="185" t="s">
        <v>262</v>
      </c>
      <c r="AM144" s="227" t="s">
        <v>733</v>
      </c>
      <c r="AN144" s="227" t="s">
        <v>734</v>
      </c>
      <c r="AO144" s="240">
        <v>45658</v>
      </c>
      <c r="AP144" s="228" t="s">
        <v>527</v>
      </c>
      <c r="AQ144" s="227" t="s">
        <v>735</v>
      </c>
      <c r="AR144" s="229" t="s">
        <v>259</v>
      </c>
    </row>
    <row r="145" spans="1:44" s="191" customFormat="1" ht="120" customHeight="1" thickTop="1" thickBot="1" x14ac:dyDescent="0.3">
      <c r="A145" s="328">
        <v>59</v>
      </c>
      <c r="B145" s="329" t="s">
        <v>736</v>
      </c>
      <c r="C145" s="335" t="s">
        <v>276</v>
      </c>
      <c r="D145" s="335" t="s">
        <v>967</v>
      </c>
      <c r="E145" s="335" t="s">
        <v>240</v>
      </c>
      <c r="F145" s="336" t="s">
        <v>737</v>
      </c>
      <c r="G145" s="336" t="s">
        <v>738</v>
      </c>
      <c r="H145" s="337" t="s">
        <v>1155</v>
      </c>
      <c r="I145" s="338" t="s">
        <v>474</v>
      </c>
      <c r="J145" s="338" t="s">
        <v>474</v>
      </c>
      <c r="K145" s="338" t="s">
        <v>474</v>
      </c>
      <c r="L145" s="338" t="s">
        <v>474</v>
      </c>
      <c r="M145" s="333" t="s">
        <v>239</v>
      </c>
      <c r="N145" s="333"/>
      <c r="O145" s="339">
        <v>365</v>
      </c>
      <c r="P145" s="340" t="str">
        <f>IF(O145&lt;=0,"",IF(O145&lt;=2,"Muy Baja",IF(O145&lt;=24,"Baja",IF(O145&lt;=500,"Media",IF(O145&lt;=5000,"Alta","Muy Alta")))))</f>
        <v>Media</v>
      </c>
      <c r="Q145" s="341">
        <f>IF(P145="","",IF(P145="Muy Baja",0.2,IF(P145="Baja",0.4,IF(P145="Media",0.6,IF(P145="Alta",0.8,IF(P145="Muy Alta",1,))))))</f>
        <v>0.6</v>
      </c>
      <c r="R145" s="341" t="s">
        <v>195</v>
      </c>
      <c r="S145" s="341" t="str">
        <f ca="1">IF(NOT(ISERROR(MATCH(R145,'Tabla Impacto'!$B$221:$B$223,0))),'Tabla Impacto'!$F$223&amp;"Por favor no seleccionar los criterios de impacto(Afectación Económica o presupuestal y Pérdida Reputacional)",R145)</f>
        <v xml:space="preserve">Mayor a 500 SMLMV </v>
      </c>
      <c r="T145" s="340" t="str">
        <f ca="1">+IF(OR(S145='[1]Tabla Impacto'!$C$11,S145='[1]Tabla Impacto'!$D$11),"Leve",IF(OR(S145='[1]Tabla Impacto'!$C$12,S145='[1]Tabla Impacto'!$D$12),"Menor",IF(OR(S145='[1]Tabla Impacto'!$C$13,S145='[1]Tabla Impacto'!$D$13),"Moderado",IF(OR(S145='[1]Tabla Impacto'!$C$14,S145='[1]Tabla Impacto'!$D$14),"Mayor",IF(OR(S145='[1]Tabla Impacto'!$C$15,S145='[1]Tabla Impacto'!$D$15),"Catastrófico","")))))</f>
        <v>Catastrófico</v>
      </c>
      <c r="U145" s="341">
        <f t="shared" ref="U145" ca="1" si="399">IF(T145="","",IF(T145="Leve",0.2,IF(T145="Menor",0.4,IF(T145="Moderado",0.6,IF(T145="Mayor",0.8,IF(T145="Catastrófico",1,))))))</f>
        <v>1</v>
      </c>
      <c r="V145" s="327" t="str">
        <f t="shared" ref="V145" ca="1" si="400">IF(OR(AND(P145="Muy Baja",T145="Leve"),AND(P145="Muy Baja",T145="Menor"),AND(P145="Baja",T145="Leve")),"Bajo",IF(OR(AND(P145="Muy baja",T145="Moderado"),AND(P145="Baja",T145="Menor"),AND(P145="Baja",T145="Moderado"),AND(P145="Media",T145="Leve"),AND(P145="Media",T145="Menor"),AND(P145="Media",T145="Moderado"),AND(P145="Alta",T145="Leve"),AND(P145="Alta",T145="Menor")),"Moderado",IF(OR(AND(P145="Muy Baja",T145="Mayor"),AND(P145="Baja",T145="Mayor"),AND(P145="Media",T145="Mayor"),AND(P145="Alta",T145="Moderado"),AND(P145="Alta",T145="Mayor"),AND(P145="Muy Alta",T145="Leve"),AND(P145="Muy Alta",T145="Menor"),AND(P145="Muy Alta",T145="Moderado"),AND(P145="Muy Alta",T145="Mayor")),"Alto",IF(OR(AND(P145="Muy Baja",T145="Catastrófico"),AND(P145="Baja",T145="Catastrófico"),AND(P145="Media",T145="Catastrófico"),AND(P145="Alta",T145="Catastrófico"),AND(P145="Muy Alta",T145="Catastrófico")),"Extremo",""))))</f>
        <v>Extremo</v>
      </c>
      <c r="W145" s="233">
        <v>1</v>
      </c>
      <c r="X145" s="207" t="s">
        <v>1213</v>
      </c>
      <c r="Y145" s="230" t="str">
        <f t="shared" si="323"/>
        <v>Probabilidad</v>
      </c>
      <c r="Z145" s="185" t="s">
        <v>208</v>
      </c>
      <c r="AA145" s="185" t="s">
        <v>216</v>
      </c>
      <c r="AB145" s="186" t="str">
        <f t="shared" si="384"/>
        <v>40%</v>
      </c>
      <c r="AC145" s="185" t="s">
        <v>219</v>
      </c>
      <c r="AD145" s="185" t="s">
        <v>224</v>
      </c>
      <c r="AE145" s="185" t="s">
        <v>228</v>
      </c>
      <c r="AF145" s="187">
        <f t="shared" ref="AF145" si="401">IFERROR(IF(Y145="Probabilidad",(Q145-(+Q145*AB145)),IF(Y145="Impacto",Q145,"")),"")</f>
        <v>0.36</v>
      </c>
      <c r="AG145" s="188" t="str">
        <f t="shared" si="324"/>
        <v>Baja</v>
      </c>
      <c r="AH145" s="186">
        <f t="shared" si="325"/>
        <v>0.36</v>
      </c>
      <c r="AI145" s="188" t="str">
        <f t="shared" ca="1" si="326"/>
        <v>Catastrófico</v>
      </c>
      <c r="AJ145" s="186">
        <f t="shared" ref="AJ145" ca="1" si="402">IFERROR(IF(Y145="Impacto",(U145-(+U145*AB145)),IF(Y145="Probabilidad",U145,"")),"")</f>
        <v>1</v>
      </c>
      <c r="AK145" s="189" t="str">
        <f t="shared" ca="1" si="327"/>
        <v>Extremo</v>
      </c>
      <c r="AL145" s="185" t="s">
        <v>262</v>
      </c>
      <c r="AM145" s="333" t="s">
        <v>739</v>
      </c>
      <c r="AN145" s="333" t="s">
        <v>734</v>
      </c>
      <c r="AO145" s="361" t="s">
        <v>1090</v>
      </c>
      <c r="AP145" s="362" t="s">
        <v>740</v>
      </c>
      <c r="AQ145" s="333" t="s">
        <v>741</v>
      </c>
      <c r="AR145" s="354" t="s">
        <v>259</v>
      </c>
    </row>
    <row r="146" spans="1:44" s="191" customFormat="1" ht="118.5" customHeight="1" thickTop="1" thickBot="1" x14ac:dyDescent="0.3">
      <c r="A146" s="328"/>
      <c r="B146" s="329"/>
      <c r="C146" s="335"/>
      <c r="D146" s="335"/>
      <c r="E146" s="335"/>
      <c r="F146" s="336"/>
      <c r="G146" s="336"/>
      <c r="H146" s="337"/>
      <c r="I146" s="338"/>
      <c r="J146" s="338"/>
      <c r="K146" s="338"/>
      <c r="L146" s="338"/>
      <c r="M146" s="333"/>
      <c r="N146" s="333"/>
      <c r="O146" s="339"/>
      <c r="P146" s="340"/>
      <c r="Q146" s="341"/>
      <c r="R146" s="341"/>
      <c r="S146" s="341">
        <f ca="1">IF(NOT(ISERROR(MATCH(R146,_xlfn.ANCHORARRAY(H149),0))),#REF!&amp;"Por favor no seleccionar los criterios de impacto",R146)</f>
        <v>0</v>
      </c>
      <c r="T146" s="340"/>
      <c r="U146" s="341"/>
      <c r="V146" s="327"/>
      <c r="W146" s="233">
        <v>2</v>
      </c>
      <c r="X146" s="207" t="s">
        <v>1214</v>
      </c>
      <c r="Y146" s="230" t="str">
        <f t="shared" si="323"/>
        <v>Probabilidad</v>
      </c>
      <c r="Z146" s="185" t="s">
        <v>208</v>
      </c>
      <c r="AA146" s="185" t="s">
        <v>216</v>
      </c>
      <c r="AB146" s="186" t="str">
        <f t="shared" si="384"/>
        <v>40%</v>
      </c>
      <c r="AC146" s="185" t="s">
        <v>219</v>
      </c>
      <c r="AD146" s="185" t="s">
        <v>224</v>
      </c>
      <c r="AE146" s="185" t="s">
        <v>228</v>
      </c>
      <c r="AF146" s="187">
        <f t="shared" ref="AF146" si="403">IFERROR(IF(AND(Y145="Probabilidad",Y146="Probabilidad"),(AH145-(+AH145*AB146)),IF(Y146="Probabilidad",(Q145-(+Q145*AB146)),IF(Y146="Impacto",AH145,""))),"")</f>
        <v>0.216</v>
      </c>
      <c r="AG146" s="188" t="str">
        <f t="shared" si="324"/>
        <v>Baja</v>
      </c>
      <c r="AH146" s="186">
        <f t="shared" si="325"/>
        <v>0.216</v>
      </c>
      <c r="AI146" s="188" t="str">
        <f t="shared" ca="1" si="326"/>
        <v>Catastrófico</v>
      </c>
      <c r="AJ146" s="186">
        <f t="shared" ref="AJ146" ca="1" si="404">IFERROR(IF(AND(Y145="Impacto",Y146="Impacto"),(AJ145-(+AJ145*AB146)),IF(Y146="Impacto",(U145-(+U145*AB146)),IF(Y146="Probabilidad",AJ145,""))),"")</f>
        <v>1</v>
      </c>
      <c r="AK146" s="189" t="str">
        <f t="shared" ca="1" si="327"/>
        <v>Extremo</v>
      </c>
      <c r="AL146" s="185" t="s">
        <v>262</v>
      </c>
      <c r="AM146" s="333"/>
      <c r="AN146" s="333"/>
      <c r="AO146" s="361"/>
      <c r="AP146" s="362"/>
      <c r="AQ146" s="333"/>
      <c r="AR146" s="354"/>
    </row>
    <row r="147" spans="1:44" s="191" customFormat="1" ht="127.5" customHeight="1" thickTop="1" thickBot="1" x14ac:dyDescent="0.3">
      <c r="A147" s="328">
        <v>60</v>
      </c>
      <c r="B147" s="329" t="s">
        <v>742</v>
      </c>
      <c r="C147" s="335" t="s">
        <v>276</v>
      </c>
      <c r="D147" s="335" t="s">
        <v>966</v>
      </c>
      <c r="E147" s="335" t="s">
        <v>240</v>
      </c>
      <c r="F147" s="336" t="s">
        <v>743</v>
      </c>
      <c r="G147" s="336" t="s">
        <v>744</v>
      </c>
      <c r="H147" s="337" t="s">
        <v>1156</v>
      </c>
      <c r="I147" s="338" t="s">
        <v>474</v>
      </c>
      <c r="J147" s="338" t="s">
        <v>474</v>
      </c>
      <c r="K147" s="338" t="s">
        <v>474</v>
      </c>
      <c r="L147" s="338" t="s">
        <v>474</v>
      </c>
      <c r="M147" s="333" t="s">
        <v>237</v>
      </c>
      <c r="N147" s="333"/>
      <c r="O147" s="339">
        <v>365</v>
      </c>
      <c r="P147" s="340" t="str">
        <f>IF(O147&lt;=0,"",IF(O147&lt;=2,"Muy Baja",IF(O147&lt;=24,"Baja",IF(O147&lt;=500,"Media",IF(O147&lt;=5000,"Alta","Muy Alta")))))</f>
        <v>Media</v>
      </c>
      <c r="Q147" s="341">
        <f>IF(P147="","",IF(P147="Muy Baja",0.2,IF(P147="Baja",0.4,IF(P147="Media",0.6,IF(P147="Alta",0.8,IF(P147="Muy Alta",1,))))))</f>
        <v>0.6</v>
      </c>
      <c r="R147" s="341" t="s">
        <v>190</v>
      </c>
      <c r="S147" s="341" t="str">
        <f ca="1">IF(NOT(ISERROR(MATCH(R147,'Tabla Impacto'!$B$221:$B$223,0))),'Tabla Impacto'!$F$223&amp;"Por favor no seleccionar los criterios de impacto(Afectación Económica o presupuestal y Pérdida Reputacional)",R147)</f>
        <v>El riesgo afecta la imagen de la entidad con algunos usuarios de relevancia frente al logro de los objetivos</v>
      </c>
      <c r="T147" s="340" t="str">
        <f ca="1">+IF(OR(S147='[1]Tabla Impacto'!$C$11,S147='[1]Tabla Impacto'!$D$11),"Leve",IF(OR(S147='[1]Tabla Impacto'!$C$12,S147='[1]Tabla Impacto'!$D$12),"Menor",IF(OR(S147='[1]Tabla Impacto'!$C$13,S147='[1]Tabla Impacto'!$D$13),"Moderado",IF(OR(S147='[1]Tabla Impacto'!$C$14,S147='[1]Tabla Impacto'!$D$14),"Mayor",IF(OR(S147='[1]Tabla Impacto'!$C$15,S147='[1]Tabla Impacto'!$D$15),"Catastrófico","")))))</f>
        <v>Moderado</v>
      </c>
      <c r="U147" s="341">
        <f t="shared" ref="U147" ca="1" si="405">IF(T147="","",IF(T147="Leve",0.2,IF(T147="Menor",0.4,IF(T147="Moderado",0.6,IF(T147="Mayor",0.8,IF(T147="Catastrófico",1,))))))</f>
        <v>0.6</v>
      </c>
      <c r="V147" s="327" t="str">
        <f t="shared" ref="V147" ca="1" si="406">IF(OR(AND(P147="Muy Baja",T147="Leve"),AND(P147="Muy Baja",T147="Menor"),AND(P147="Baja",T147="Leve")),"Bajo",IF(OR(AND(P147="Muy baja",T147="Moderado"),AND(P147="Baja",T147="Menor"),AND(P147="Baja",T147="Moderado"),AND(P147="Media",T147="Leve"),AND(P147="Media",T147="Menor"),AND(P147="Media",T147="Moderado"),AND(P147="Alta",T147="Leve"),AND(P147="Alta",T147="Menor")),"Moderado",IF(OR(AND(P147="Muy Baja",T147="Mayor"),AND(P147="Baja",T147="Mayor"),AND(P147="Media",T147="Mayor"),AND(P147="Alta",T147="Moderado"),AND(P147="Alta",T147="Mayor"),AND(P147="Muy Alta",T147="Leve"),AND(P147="Muy Alta",T147="Menor"),AND(P147="Muy Alta",T147="Moderado"),AND(P147="Muy Alta",T147="Mayor")),"Alto",IF(OR(AND(P147="Muy Baja",T147="Catastrófico"),AND(P147="Baja",T147="Catastrófico"),AND(P147="Media",T147="Catastrófico"),AND(P147="Alta",T147="Catastrófico"),AND(P147="Muy Alta",T147="Catastrófico")),"Extremo",""))))</f>
        <v>Moderado</v>
      </c>
      <c r="W147" s="233">
        <v>1</v>
      </c>
      <c r="X147" s="207" t="s">
        <v>745</v>
      </c>
      <c r="Y147" s="230" t="str">
        <f t="shared" si="323"/>
        <v>Probabilidad</v>
      </c>
      <c r="Z147" s="185" t="s">
        <v>208</v>
      </c>
      <c r="AA147" s="185" t="s">
        <v>216</v>
      </c>
      <c r="AB147" s="186" t="str">
        <f t="shared" si="384"/>
        <v>40%</v>
      </c>
      <c r="AC147" s="185" t="s">
        <v>219</v>
      </c>
      <c r="AD147" s="185" t="s">
        <v>224</v>
      </c>
      <c r="AE147" s="185" t="s">
        <v>228</v>
      </c>
      <c r="AF147" s="187">
        <f t="shared" ref="AF147" si="407">IFERROR(IF(Y147="Probabilidad",(Q147-(+Q147*AB147)),IF(Y147="Impacto",Q147,"")),"")</f>
        <v>0.36</v>
      </c>
      <c r="AG147" s="188" t="str">
        <f t="shared" si="324"/>
        <v>Baja</v>
      </c>
      <c r="AH147" s="186">
        <f t="shared" si="325"/>
        <v>0.36</v>
      </c>
      <c r="AI147" s="188" t="str">
        <f t="shared" ca="1" si="326"/>
        <v>Moderado</v>
      </c>
      <c r="AJ147" s="186">
        <f t="shared" ref="AJ147" ca="1" si="408">IFERROR(IF(Y147="Impacto",(U147-(+U147*AB147)),IF(Y147="Probabilidad",U147,"")),"")</f>
        <v>0.6</v>
      </c>
      <c r="AK147" s="189" t="str">
        <f t="shared" ca="1" si="327"/>
        <v>Moderado</v>
      </c>
      <c r="AL147" s="185" t="s">
        <v>255</v>
      </c>
      <c r="AM147" s="227"/>
      <c r="AN147" s="230"/>
      <c r="AO147" s="228"/>
      <c r="AP147" s="228"/>
      <c r="AQ147" s="227"/>
      <c r="AR147" s="229"/>
    </row>
    <row r="148" spans="1:44" s="191" customFormat="1" ht="131.25" customHeight="1" thickTop="1" thickBot="1" x14ac:dyDescent="0.3">
      <c r="A148" s="328"/>
      <c r="B148" s="329"/>
      <c r="C148" s="335"/>
      <c r="D148" s="335"/>
      <c r="E148" s="335"/>
      <c r="F148" s="336"/>
      <c r="G148" s="336"/>
      <c r="H148" s="337"/>
      <c r="I148" s="338"/>
      <c r="J148" s="338"/>
      <c r="K148" s="338"/>
      <c r="L148" s="338"/>
      <c r="M148" s="333"/>
      <c r="N148" s="333"/>
      <c r="O148" s="339"/>
      <c r="P148" s="340"/>
      <c r="Q148" s="341"/>
      <c r="R148" s="341"/>
      <c r="S148" s="341">
        <f ca="1">IF(NOT(ISERROR(MATCH(R148,_xlfn.ANCHORARRAY(H151),0))),#REF!&amp;"Por favor no seleccionar los criterios de impacto",R148)</f>
        <v>0</v>
      </c>
      <c r="T148" s="340"/>
      <c r="U148" s="341"/>
      <c r="V148" s="327"/>
      <c r="W148" s="233">
        <v>2</v>
      </c>
      <c r="X148" s="211" t="s">
        <v>746</v>
      </c>
      <c r="Y148" s="230" t="str">
        <f t="shared" si="323"/>
        <v>Probabilidad</v>
      </c>
      <c r="Z148" s="185" t="s">
        <v>210</v>
      </c>
      <c r="AA148" s="185" t="s">
        <v>216</v>
      </c>
      <c r="AB148" s="186" t="str">
        <f t="shared" si="384"/>
        <v>30%</v>
      </c>
      <c r="AC148" s="185" t="s">
        <v>219</v>
      </c>
      <c r="AD148" s="185" t="s">
        <v>224</v>
      </c>
      <c r="AE148" s="185" t="s">
        <v>228</v>
      </c>
      <c r="AF148" s="187">
        <f t="shared" ref="AF148" si="409">IFERROR(IF(AND(Y147="Probabilidad",Y148="Probabilidad"),(AH147-(+AH147*AB148)),IF(Y148="Probabilidad",(Q147-(+Q147*AB148)),IF(Y148="Impacto",AH147,""))),"")</f>
        <v>0.252</v>
      </c>
      <c r="AG148" s="188" t="str">
        <f t="shared" si="324"/>
        <v>Baja</v>
      </c>
      <c r="AH148" s="186">
        <f t="shared" si="325"/>
        <v>0.252</v>
      </c>
      <c r="AI148" s="188" t="str">
        <f t="shared" ca="1" si="326"/>
        <v>Moderado</v>
      </c>
      <c r="AJ148" s="186">
        <f t="shared" ref="AJ148" ca="1" si="410">IFERROR(IF(AND(Y147="Impacto",Y148="Impacto"),(AJ147-(+AJ147*AB148)),IF(Y148="Impacto",(U147-(+U147*AB148)),IF(Y148="Probabilidad",AJ147,""))),"")</f>
        <v>0.6</v>
      </c>
      <c r="AK148" s="189" t="str">
        <f t="shared" ca="1" si="327"/>
        <v>Moderado</v>
      </c>
      <c r="AL148" s="185" t="s">
        <v>255</v>
      </c>
      <c r="AM148" s="227"/>
      <c r="AN148" s="230"/>
      <c r="AO148" s="228"/>
      <c r="AP148" s="228"/>
      <c r="AQ148" s="227"/>
      <c r="AR148" s="229"/>
    </row>
    <row r="149" spans="1:44" s="191" customFormat="1" ht="141" customHeight="1" thickTop="1" thickBot="1" x14ac:dyDescent="0.3">
      <c r="A149" s="328">
        <v>61</v>
      </c>
      <c r="B149" s="329" t="s">
        <v>747</v>
      </c>
      <c r="C149" s="333" t="s">
        <v>276</v>
      </c>
      <c r="D149" s="335" t="s">
        <v>966</v>
      </c>
      <c r="E149" s="333" t="s">
        <v>240</v>
      </c>
      <c r="F149" s="351" t="s">
        <v>748</v>
      </c>
      <c r="G149" s="351" t="s">
        <v>749</v>
      </c>
      <c r="H149" s="350" t="s">
        <v>1157</v>
      </c>
      <c r="I149" s="338" t="s">
        <v>474</v>
      </c>
      <c r="J149" s="338" t="s">
        <v>474</v>
      </c>
      <c r="K149" s="338" t="s">
        <v>474</v>
      </c>
      <c r="L149" s="338" t="s">
        <v>474</v>
      </c>
      <c r="M149" s="333" t="s">
        <v>242</v>
      </c>
      <c r="N149" s="333"/>
      <c r="O149" s="339">
        <v>365</v>
      </c>
      <c r="P149" s="340" t="str">
        <f>IF(O149&lt;=0,"",IF(O149&lt;=2,"Muy Baja",IF(O149&lt;=24,"Baja",IF(O149&lt;=500,"Media",IF(O149&lt;=5000,"Alta","Muy Alta")))))</f>
        <v>Media</v>
      </c>
      <c r="Q149" s="341">
        <f>IF(P149="","",IF(P149="Muy Baja",0.2,IF(P149="Baja",0.4,IF(P149="Media",0.6,IF(P149="Alta",0.8,IF(P149="Muy Alta",1,))))))</f>
        <v>0.6</v>
      </c>
      <c r="R149" s="341" t="s">
        <v>190</v>
      </c>
      <c r="S149" s="341" t="str">
        <f ca="1">IF(NOT(ISERROR(MATCH(R149,'Tabla Impacto'!$B$221:$B$223,0))),'Tabla Impacto'!$F$223&amp;"Por favor no seleccionar los criterios de impacto(Afectación Económica o presupuestal y Pérdida Reputacional)",R149)</f>
        <v>El riesgo afecta la imagen de la entidad con algunos usuarios de relevancia frente al logro de los objetivos</v>
      </c>
      <c r="T149" s="340" t="str">
        <f ca="1">+IF(OR(S149='[1]Tabla Impacto'!$C$11,S149='[1]Tabla Impacto'!$D$11),"Leve",IF(OR(S149='[1]Tabla Impacto'!$C$12,S149='[1]Tabla Impacto'!$D$12),"Menor",IF(OR(S149='[1]Tabla Impacto'!$C$13,S149='[1]Tabla Impacto'!$D$13),"Moderado",IF(OR(S149='[1]Tabla Impacto'!$C$14,S149='[1]Tabla Impacto'!$D$14),"Mayor",IF(OR(S149='[1]Tabla Impacto'!$C$15,S149='[1]Tabla Impacto'!$D$15),"Catastrófico","")))))</f>
        <v>Moderado</v>
      </c>
      <c r="U149" s="341">
        <f t="shared" ref="U149" ca="1" si="411">IF(T149="","",IF(T149="Leve",0.2,IF(T149="Menor",0.4,IF(T149="Moderado",0.6,IF(T149="Mayor",0.8,IF(T149="Catastrófico",1,))))))</f>
        <v>0.6</v>
      </c>
      <c r="V149" s="327" t="str">
        <f t="shared" ref="V149" ca="1" si="412">IF(OR(AND(P149="Muy Baja",T149="Leve"),AND(P149="Muy Baja",T149="Menor"),AND(P149="Baja",T149="Leve")),"Bajo",IF(OR(AND(P149="Muy baja",T149="Moderado"),AND(P149="Baja",T149="Menor"),AND(P149="Baja",T149="Moderado"),AND(P149="Media",T149="Leve"),AND(P149="Media",T149="Menor"),AND(P149="Media",T149="Moderado"),AND(P149="Alta",T149="Leve"),AND(P149="Alta",T149="Menor")),"Moderado",IF(OR(AND(P149="Muy Baja",T149="Mayor"),AND(P149="Baja",T149="Mayor"),AND(P149="Media",T149="Mayor"),AND(P149="Alta",T149="Moderado"),AND(P149="Alta",T149="Mayor"),AND(P149="Muy Alta",T149="Leve"),AND(P149="Muy Alta",T149="Menor"),AND(P149="Muy Alta",T149="Moderado"),AND(P149="Muy Alta",T149="Mayor")),"Alto",IF(OR(AND(P149="Muy Baja",T149="Catastrófico"),AND(P149="Baja",T149="Catastrófico"),AND(P149="Media",T149="Catastrófico"),AND(P149="Alta",T149="Catastrófico"),AND(P149="Muy Alta",T149="Catastrófico")),"Extremo",""))))</f>
        <v>Moderado</v>
      </c>
      <c r="W149" s="233">
        <v>1</v>
      </c>
      <c r="X149" s="207" t="s">
        <v>1046</v>
      </c>
      <c r="Y149" s="230" t="str">
        <f t="shared" si="323"/>
        <v>Probabilidad</v>
      </c>
      <c r="Z149" s="185" t="s">
        <v>208</v>
      </c>
      <c r="AA149" s="185" t="s">
        <v>216</v>
      </c>
      <c r="AB149" s="186" t="str">
        <f t="shared" si="384"/>
        <v>40%</v>
      </c>
      <c r="AC149" s="185" t="s">
        <v>219</v>
      </c>
      <c r="AD149" s="185" t="s">
        <v>224</v>
      </c>
      <c r="AE149" s="185" t="s">
        <v>228</v>
      </c>
      <c r="AF149" s="187">
        <f t="shared" ref="AF149" si="413">IFERROR(IF(Y149="Probabilidad",(Q149-(+Q149*AB149)),IF(Y149="Impacto",Q149,"")),"")</f>
        <v>0.36</v>
      </c>
      <c r="AG149" s="188" t="str">
        <f t="shared" si="324"/>
        <v>Baja</v>
      </c>
      <c r="AH149" s="186">
        <f t="shared" si="325"/>
        <v>0.36</v>
      </c>
      <c r="AI149" s="188" t="str">
        <f t="shared" ca="1" si="326"/>
        <v>Moderado</v>
      </c>
      <c r="AJ149" s="186">
        <f t="shared" ref="AJ149" ca="1" si="414">IFERROR(IF(Y149="Impacto",(U149-(+U149*AB149)),IF(Y149="Probabilidad",U149,"")),"")</f>
        <v>0.6</v>
      </c>
      <c r="AK149" s="189" t="str">
        <f t="shared" ca="1" si="327"/>
        <v>Moderado</v>
      </c>
      <c r="AL149" s="185" t="s">
        <v>255</v>
      </c>
      <c r="AM149" s="227"/>
      <c r="AN149" s="230"/>
      <c r="AO149" s="228"/>
      <c r="AP149" s="228"/>
      <c r="AQ149" s="227"/>
      <c r="AR149" s="229"/>
    </row>
    <row r="150" spans="1:44" s="191" customFormat="1" ht="181.5" customHeight="1" thickTop="1" thickBot="1" x14ac:dyDescent="0.3">
      <c r="A150" s="328"/>
      <c r="B150" s="329"/>
      <c r="C150" s="333"/>
      <c r="D150" s="335"/>
      <c r="E150" s="333"/>
      <c r="F150" s="351"/>
      <c r="G150" s="351"/>
      <c r="H150" s="350"/>
      <c r="I150" s="338"/>
      <c r="J150" s="338"/>
      <c r="K150" s="338"/>
      <c r="L150" s="338"/>
      <c r="M150" s="333"/>
      <c r="N150" s="333"/>
      <c r="O150" s="339"/>
      <c r="P150" s="340"/>
      <c r="Q150" s="341"/>
      <c r="R150" s="341"/>
      <c r="S150" s="341">
        <f ca="1">IF(NOT(ISERROR(MATCH(R150,_xlfn.ANCHORARRAY(H153),0))),Q155&amp;"Por favor no seleccionar los criterios de impacto",R150)</f>
        <v>0</v>
      </c>
      <c r="T150" s="340"/>
      <c r="U150" s="341"/>
      <c r="V150" s="327"/>
      <c r="W150" s="233">
        <v>2</v>
      </c>
      <c r="X150" s="207" t="s">
        <v>1047</v>
      </c>
      <c r="Y150" s="230" t="str">
        <f t="shared" si="323"/>
        <v>Probabilidad</v>
      </c>
      <c r="Z150" s="185" t="s">
        <v>208</v>
      </c>
      <c r="AA150" s="185" t="s">
        <v>216</v>
      </c>
      <c r="AB150" s="186" t="str">
        <f t="shared" si="384"/>
        <v>40%</v>
      </c>
      <c r="AC150" s="185" t="s">
        <v>219</v>
      </c>
      <c r="AD150" s="185" t="s">
        <v>224</v>
      </c>
      <c r="AE150" s="185" t="s">
        <v>228</v>
      </c>
      <c r="AF150" s="187">
        <f t="shared" ref="AF150" si="415">IFERROR(IF(AND(Y149="Probabilidad",Y150="Probabilidad"),(AH149-(+AH149*AB150)),IF(Y150="Probabilidad",(Q149-(+Q149*AB150)),IF(Y150="Impacto",AH149,""))),"")</f>
        <v>0.216</v>
      </c>
      <c r="AG150" s="188" t="str">
        <f t="shared" si="324"/>
        <v>Baja</v>
      </c>
      <c r="AH150" s="186">
        <f t="shared" si="325"/>
        <v>0.216</v>
      </c>
      <c r="AI150" s="188" t="str">
        <f t="shared" ca="1" si="326"/>
        <v>Moderado</v>
      </c>
      <c r="AJ150" s="186">
        <f t="shared" ref="AJ150" ca="1" si="416">IFERROR(IF(AND(Y149="Impacto",Y150="Impacto"),(AJ149-(+AJ149*AB150)),IF(Y150="Impacto",(U149-(+U149*AB150)),IF(Y150="Probabilidad",AJ149,""))),"")</f>
        <v>0.6</v>
      </c>
      <c r="AK150" s="189" t="str">
        <f t="shared" ca="1" si="327"/>
        <v>Moderado</v>
      </c>
      <c r="AL150" s="185" t="s">
        <v>255</v>
      </c>
      <c r="AM150" s="227"/>
      <c r="AN150" s="230"/>
      <c r="AO150" s="228"/>
      <c r="AP150" s="228"/>
      <c r="AQ150" s="227"/>
      <c r="AR150" s="229"/>
    </row>
    <row r="151" spans="1:44" s="191" customFormat="1" ht="162" customHeight="1" thickTop="1" thickBot="1" x14ac:dyDescent="0.3">
      <c r="A151" s="328">
        <v>62</v>
      </c>
      <c r="B151" s="329" t="s">
        <v>750</v>
      </c>
      <c r="C151" s="335" t="s">
        <v>276</v>
      </c>
      <c r="D151" s="335" t="s">
        <v>966</v>
      </c>
      <c r="E151" s="335" t="s">
        <v>240</v>
      </c>
      <c r="F151" s="336" t="s">
        <v>751</v>
      </c>
      <c r="G151" s="336" t="s">
        <v>752</v>
      </c>
      <c r="H151" s="337" t="s">
        <v>1158</v>
      </c>
      <c r="I151" s="338" t="s">
        <v>474</v>
      </c>
      <c r="J151" s="338" t="s">
        <v>474</v>
      </c>
      <c r="K151" s="338" t="s">
        <v>474</v>
      </c>
      <c r="L151" s="338" t="s">
        <v>474</v>
      </c>
      <c r="M151" s="333" t="s">
        <v>242</v>
      </c>
      <c r="N151" s="333"/>
      <c r="O151" s="339">
        <v>365</v>
      </c>
      <c r="P151" s="340" t="str">
        <f>IF(O151&lt;=0,"",IF(O151&lt;=2,"Muy Baja",IF(O151&lt;=24,"Baja",IF(O151&lt;=500,"Media",IF(O151&lt;=5000,"Alta","Muy Alta")))))</f>
        <v>Media</v>
      </c>
      <c r="Q151" s="341">
        <f>IF(P151="","",IF(P151="Muy Baja",0.2,IF(P151="Baja",0.4,IF(P151="Media",0.6,IF(P151="Alta",0.8,IF(P151="Muy Alta",1,))))))</f>
        <v>0.6</v>
      </c>
      <c r="R151" s="341" t="s">
        <v>192</v>
      </c>
      <c r="S151" s="341" t="str">
        <f ca="1">IF(NOT(ISERROR(MATCH(R151,'Tabla Impacto'!$B$221:$B$223,0))),'Tabla Impacto'!$F$223&amp;"Por favor no seleccionar los criterios de impacto(Afectación Económica o presupuestal y Pérdida Reputacional)",R151)</f>
        <v xml:space="preserve">Entre 100 y 500 SMLMV </v>
      </c>
      <c r="T151" s="340" t="str">
        <f ca="1">+IF(OR(S151='[1]Tabla Impacto'!$C$11,S151='[1]Tabla Impacto'!$D$11),"Leve",IF(OR(S151='[1]Tabla Impacto'!$C$12,S151='[1]Tabla Impacto'!$D$12),"Menor",IF(OR(S151='[1]Tabla Impacto'!$C$13,S151='[1]Tabla Impacto'!$D$13),"Moderado",IF(OR(S151='[1]Tabla Impacto'!$C$14,S151='[1]Tabla Impacto'!$D$14),"Mayor",IF(OR(S151='[1]Tabla Impacto'!$C$15,S151='[1]Tabla Impacto'!$D$15),"Catastrófico","")))))</f>
        <v>Mayor</v>
      </c>
      <c r="U151" s="341">
        <f t="shared" ref="U151" ca="1" si="417">IF(T151="","",IF(T151="Leve",0.2,IF(T151="Menor",0.4,IF(T151="Moderado",0.6,IF(T151="Mayor",0.8,IF(T151="Catastrófico",1,))))))</f>
        <v>0.8</v>
      </c>
      <c r="V151" s="327" t="str">
        <f t="shared" ref="V151" ca="1" si="418">IF(OR(AND(P151="Muy Baja",T151="Leve"),AND(P151="Muy Baja",T151="Menor"),AND(P151="Baja",T151="Leve")),"Bajo",IF(OR(AND(P151="Muy baja",T151="Moderado"),AND(P151="Baja",T151="Menor"),AND(P151="Baja",T151="Moderado"),AND(P151="Media",T151="Leve"),AND(P151="Media",T151="Menor"),AND(P151="Media",T151="Moderado"),AND(P151="Alta",T151="Leve"),AND(P151="Alta",T151="Menor")),"Moderado",IF(OR(AND(P151="Muy Baja",T151="Mayor"),AND(P151="Baja",T151="Mayor"),AND(P151="Media",T151="Mayor"),AND(P151="Alta",T151="Moderado"),AND(P151="Alta",T151="Mayor"),AND(P151="Muy Alta",T151="Leve"),AND(P151="Muy Alta",T151="Menor"),AND(P151="Muy Alta",T151="Moderado"),AND(P151="Muy Alta",T151="Mayor")),"Alto",IF(OR(AND(P151="Muy Baja",T151="Catastrófico"),AND(P151="Baja",T151="Catastrófico"),AND(P151="Media",T151="Catastrófico"),AND(P151="Alta",T151="Catastrófico"),AND(P151="Muy Alta",T151="Catastrófico")),"Extremo",""))))</f>
        <v>Alto</v>
      </c>
      <c r="W151" s="233">
        <v>1</v>
      </c>
      <c r="X151" s="207" t="s">
        <v>1048</v>
      </c>
      <c r="Y151" s="230" t="str">
        <f t="shared" ref="Y151:Y173" si="419">IF(OR(Z151="Preventivo",Z151="Detectivo"),"Probabilidad",IF(Z151="Correctivo","Impacto",""))</f>
        <v>Probabilidad</v>
      </c>
      <c r="Z151" s="185" t="s">
        <v>208</v>
      </c>
      <c r="AA151" s="185" t="s">
        <v>216</v>
      </c>
      <c r="AB151" s="186" t="str">
        <f t="shared" si="384"/>
        <v>40%</v>
      </c>
      <c r="AC151" s="185" t="s">
        <v>219</v>
      </c>
      <c r="AD151" s="185" t="s">
        <v>224</v>
      </c>
      <c r="AE151" s="185" t="s">
        <v>228</v>
      </c>
      <c r="AF151" s="187">
        <f t="shared" ref="AF151" si="420">IFERROR(IF(Y151="Probabilidad",(Q151-(+Q151*AB151)),IF(Y151="Impacto",Q151,"")),"")</f>
        <v>0.36</v>
      </c>
      <c r="AG151" s="188" t="str">
        <f t="shared" ref="AG151:AG173" si="421">IFERROR(IF(AF151="","",IF(AF151&lt;=0.2,"Muy Baja",IF(AF151&lt;=0.4,"Baja",IF(AF151&lt;=0.6,"Media",IF(AF151&lt;=0.8,"Alta","Muy Alta"))))),"")</f>
        <v>Baja</v>
      </c>
      <c r="AH151" s="186">
        <f t="shared" ref="AH151:AH173" si="422">+AF151</f>
        <v>0.36</v>
      </c>
      <c r="AI151" s="188" t="str">
        <f t="shared" ref="AI151:AI173" ca="1" si="423">IFERROR(IF(AJ151="","",IF(AJ151&lt;=0.2,"Leve",IF(AJ151&lt;=0.4,"Menor",IF(AJ151&lt;=0.6,"Moderado",IF(AJ151&lt;=0.8,"Mayor","Catastrófico"))))),"")</f>
        <v>Mayor</v>
      </c>
      <c r="AJ151" s="186">
        <f t="shared" ref="AJ151" ca="1" si="424">IFERROR(IF(Y151="Impacto",(U151-(+U151*AB151)),IF(Y151="Probabilidad",U151,"")),"")</f>
        <v>0.8</v>
      </c>
      <c r="AK151" s="189" t="str">
        <f t="shared" ref="AK151:AK173" ca="1" si="425">IFERROR(IF(OR(AND(AG151="Muy Baja",AI151="Leve"),AND(AG151="Muy Baja",AI151="Menor"),AND(AG151="Baja",AI151="Leve")),"Bajo",IF(OR(AND(AG151="Muy baja",AI151="Moderado"),AND(AG151="Baja",AI151="Menor"),AND(AG151="Baja",AI151="Moderado"),AND(AG151="Media",AI151="Leve"),AND(AG151="Media",AI151="Menor"),AND(AG151="Media",AI151="Moderado"),AND(AG151="Alta",AI151="Leve"),AND(AG151="Alta",AI151="Menor")),"Moderado",IF(OR(AND(AG151="Muy Baja",AI151="Mayor"),AND(AG151="Baja",AI151="Mayor"),AND(AG151="Media",AI151="Mayor"),AND(AG151="Alta",AI151="Moderado"),AND(AG151="Alta",AI151="Mayor"),AND(AG151="Muy Alta",AI151="Leve"),AND(AG151="Muy Alta",AI151="Menor"),AND(AG151="Muy Alta",AI151="Moderado"),AND(AG151="Muy Alta",AI151="Mayor")),"Alto",IF(OR(AND(AG151="Muy Baja",AI151="Catastrófico"),AND(AG151="Baja",AI151="Catastrófico"),AND(AG151="Media",AI151="Catastrófico"),AND(AG151="Alta",AI151="Catastrófico"),AND(AG151="Muy Alta",AI151="Catastrófico")),"Extremo","")))),"")</f>
        <v>Alto</v>
      </c>
      <c r="AL151" s="185" t="s">
        <v>262</v>
      </c>
      <c r="AM151" s="227"/>
      <c r="AN151" s="230"/>
      <c r="AO151" s="228"/>
      <c r="AP151" s="228"/>
      <c r="AQ151" s="227"/>
      <c r="AR151" s="229"/>
    </row>
    <row r="152" spans="1:44" s="191" customFormat="1" ht="157.5" customHeight="1" thickTop="1" thickBot="1" x14ac:dyDescent="0.3">
      <c r="A152" s="328"/>
      <c r="B152" s="329"/>
      <c r="C152" s="335"/>
      <c r="D152" s="335"/>
      <c r="E152" s="335"/>
      <c r="F152" s="336"/>
      <c r="G152" s="336"/>
      <c r="H152" s="337"/>
      <c r="I152" s="338"/>
      <c r="J152" s="338"/>
      <c r="K152" s="338"/>
      <c r="L152" s="338"/>
      <c r="M152" s="333"/>
      <c r="N152" s="333"/>
      <c r="O152" s="339"/>
      <c r="P152" s="340"/>
      <c r="Q152" s="341"/>
      <c r="R152" s="341"/>
      <c r="S152" s="341">
        <f ca="1">IF(NOT(ISERROR(MATCH(R152,_xlfn.ANCHORARRAY(H156),0))),#REF!&amp;"Por favor no seleccionar los criterios de impacto",R152)</f>
        <v>0</v>
      </c>
      <c r="T152" s="340"/>
      <c r="U152" s="341"/>
      <c r="V152" s="327"/>
      <c r="W152" s="233">
        <v>2</v>
      </c>
      <c r="X152" s="207" t="s">
        <v>1049</v>
      </c>
      <c r="Y152" s="230" t="str">
        <f t="shared" si="419"/>
        <v>Impacto</v>
      </c>
      <c r="Z152" s="185" t="s">
        <v>212</v>
      </c>
      <c r="AA152" s="185" t="s">
        <v>216</v>
      </c>
      <c r="AB152" s="186" t="str">
        <f t="shared" si="384"/>
        <v>25%</v>
      </c>
      <c r="AC152" s="185" t="s">
        <v>219</v>
      </c>
      <c r="AD152" s="185" t="s">
        <v>224</v>
      </c>
      <c r="AE152" s="185" t="s">
        <v>228</v>
      </c>
      <c r="AF152" s="187">
        <f t="shared" ref="AF152" si="426">IFERROR(IF(AND(Y151="Probabilidad",Y152="Probabilidad"),(AH151-(+AH151*AB152)),IF(Y152="Probabilidad",(Q151-(+Q151*AB152)),IF(Y152="Impacto",AH151,""))),"")</f>
        <v>0.36</v>
      </c>
      <c r="AG152" s="188" t="str">
        <f t="shared" si="421"/>
        <v>Baja</v>
      </c>
      <c r="AH152" s="186">
        <f t="shared" si="422"/>
        <v>0.36</v>
      </c>
      <c r="AI152" s="188" t="str">
        <f t="shared" ca="1" si="423"/>
        <v>Moderado</v>
      </c>
      <c r="AJ152" s="186">
        <f t="shared" ref="AJ152" ca="1" si="427">IFERROR(IF(AND(Y151="Impacto",Y152="Impacto"),(AJ151-(+AJ151*AB152)),IF(Y152="Impacto",(U151-(+U151*AB152)),IF(Y152="Probabilidad",AJ151,""))),"")</f>
        <v>0.60000000000000009</v>
      </c>
      <c r="AK152" s="189" t="str">
        <f t="shared" ca="1" si="425"/>
        <v>Moderado</v>
      </c>
      <c r="AL152" s="185" t="s">
        <v>255</v>
      </c>
      <c r="AM152" s="227"/>
      <c r="AN152" s="230"/>
      <c r="AO152" s="228"/>
      <c r="AP152" s="228"/>
      <c r="AQ152" s="227"/>
      <c r="AR152" s="229"/>
    </row>
    <row r="153" spans="1:44" s="191" customFormat="1" ht="121.5" customHeight="1" thickTop="1" thickBot="1" x14ac:dyDescent="0.3">
      <c r="A153" s="328">
        <v>63</v>
      </c>
      <c r="B153" s="329" t="s">
        <v>753</v>
      </c>
      <c r="C153" s="335" t="s">
        <v>276</v>
      </c>
      <c r="D153" s="335" t="s">
        <v>968</v>
      </c>
      <c r="E153" s="335" t="s">
        <v>240</v>
      </c>
      <c r="F153" s="336" t="s">
        <v>754</v>
      </c>
      <c r="G153" s="336" t="s">
        <v>755</v>
      </c>
      <c r="H153" s="337" t="s">
        <v>1159</v>
      </c>
      <c r="I153" s="338" t="s">
        <v>474</v>
      </c>
      <c r="J153" s="338" t="s">
        <v>474</v>
      </c>
      <c r="K153" s="338" t="s">
        <v>474</v>
      </c>
      <c r="L153" s="338" t="s">
        <v>474</v>
      </c>
      <c r="M153" s="333" t="s">
        <v>241</v>
      </c>
      <c r="N153" s="333"/>
      <c r="O153" s="339">
        <v>501</v>
      </c>
      <c r="P153" s="340" t="str">
        <f>IF(O153&lt;=0,"",IF(O153&lt;=2,"Muy Baja",IF(O153&lt;=24,"Baja",IF(O153&lt;=500,"Media",IF(O153&lt;=5000,"Alta","Muy Alta")))))</f>
        <v>Alta</v>
      </c>
      <c r="Q153" s="341">
        <f>IF(P153="","",IF(P153="Muy Baja",0.2,IF(P153="Baja",0.4,IF(P153="Media",0.6,IF(P153="Alta",0.8,IF(P153="Muy Alta",1,))))))</f>
        <v>0.8</v>
      </c>
      <c r="R153" s="341" t="s">
        <v>187</v>
      </c>
      <c r="S153" s="341" t="str">
        <f ca="1">IF(NOT(ISERROR(MATCH(R153,'Tabla Impacto'!$B$221:$B$223,0))),'Tabla Impacto'!$F$223&amp;"Por favor no seleccionar los criterios de impacto(Afectación Económica o presupuestal y Pérdida Reputacional)",R153)</f>
        <v>El riesgo afecta la imagen de la entidad internamente, de conocimiento general, nivel interno, de junta dircetiva y accionistas y/o de provedores</v>
      </c>
      <c r="T153" s="340" t="str">
        <f ca="1">+IF(OR(S153='[1]Tabla Impacto'!$C$11,S153='[1]Tabla Impacto'!$D$11),"Leve",IF(OR(S153='[1]Tabla Impacto'!$C$12,S153='[1]Tabla Impacto'!$D$12),"Menor",IF(OR(S153='[1]Tabla Impacto'!$C$13,S153='[1]Tabla Impacto'!$D$13),"Moderado",IF(OR(S153='[1]Tabla Impacto'!$C$14,S153='[1]Tabla Impacto'!$D$14),"Mayor",IF(OR(S153='[1]Tabla Impacto'!$C$15,S153='[1]Tabla Impacto'!$D$15),"Catastrófico","")))))</f>
        <v>Menor</v>
      </c>
      <c r="U153" s="341">
        <f t="shared" ref="U153" ca="1" si="428">IF(T153="","",IF(T153="Leve",0.2,IF(T153="Menor",0.4,IF(T153="Moderado",0.6,IF(T153="Mayor",0.8,IF(T153="Catastrófico",1,))))))</f>
        <v>0.4</v>
      </c>
      <c r="V153" s="327" t="str">
        <f t="shared" ref="V153" ca="1" si="429">IF(OR(AND(P153="Muy Baja",T153="Leve"),AND(P153="Muy Baja",T153="Menor"),AND(P153="Baja",T153="Leve")),"Bajo",IF(OR(AND(P153="Muy baja",T153="Moderado"),AND(P153="Baja",T153="Menor"),AND(P153="Baja",T153="Moderado"),AND(P153="Media",T153="Leve"),AND(P153="Media",T153="Menor"),AND(P153="Media",T153="Moderado"),AND(P153="Alta",T153="Leve"),AND(P153="Alta",T153="Menor")),"Moderado",IF(OR(AND(P153="Muy Baja",T153="Mayor"),AND(P153="Baja",T153="Mayor"),AND(P153="Media",T153="Mayor"),AND(P153="Alta",T153="Moderado"),AND(P153="Alta",T153="Mayor"),AND(P153="Muy Alta",T153="Leve"),AND(P153="Muy Alta",T153="Menor"),AND(P153="Muy Alta",T153="Moderado"),AND(P153="Muy Alta",T153="Mayor")),"Alto",IF(OR(AND(P153="Muy Baja",T153="Catastrófico"),AND(P153="Baja",T153="Catastrófico"),AND(P153="Media",T153="Catastrófico"),AND(P153="Alta",T153="Catastrófico"),AND(P153="Muy Alta",T153="Catastrófico")),"Extremo",""))))</f>
        <v>Moderado</v>
      </c>
      <c r="W153" s="233">
        <v>1</v>
      </c>
      <c r="X153" s="207" t="s">
        <v>756</v>
      </c>
      <c r="Y153" s="230" t="str">
        <f t="shared" si="419"/>
        <v>Probabilidad</v>
      </c>
      <c r="Z153" s="185" t="s">
        <v>208</v>
      </c>
      <c r="AA153" s="185" t="s">
        <v>216</v>
      </c>
      <c r="AB153" s="186" t="str">
        <f t="shared" si="384"/>
        <v>40%</v>
      </c>
      <c r="AC153" s="185" t="s">
        <v>219</v>
      </c>
      <c r="AD153" s="185" t="s">
        <v>224</v>
      </c>
      <c r="AE153" s="185" t="s">
        <v>228</v>
      </c>
      <c r="AF153" s="187">
        <f t="shared" ref="AF153" si="430">IFERROR(IF(Y153="Probabilidad",(Q153-(+Q153*AB153)),IF(Y153="Impacto",Q153,"")),"")</f>
        <v>0.48</v>
      </c>
      <c r="AG153" s="188" t="str">
        <f t="shared" si="421"/>
        <v>Media</v>
      </c>
      <c r="AH153" s="186">
        <f t="shared" si="422"/>
        <v>0.48</v>
      </c>
      <c r="AI153" s="188" t="str">
        <f t="shared" ca="1" si="423"/>
        <v>Menor</v>
      </c>
      <c r="AJ153" s="186">
        <f t="shared" ref="AJ153" ca="1" si="431">IFERROR(IF(Y153="Impacto",(U153-(+U153*AB153)),IF(Y153="Probabilidad",U153,"")),"")</f>
        <v>0.4</v>
      </c>
      <c r="AK153" s="189" t="str">
        <f t="shared" ca="1" si="425"/>
        <v>Moderado</v>
      </c>
      <c r="AL153" s="185" t="s">
        <v>255</v>
      </c>
      <c r="AM153" s="227"/>
      <c r="AN153" s="230"/>
      <c r="AO153" s="228"/>
      <c r="AP153" s="228"/>
      <c r="AQ153" s="227"/>
      <c r="AR153" s="229"/>
    </row>
    <row r="154" spans="1:44" s="191" customFormat="1" ht="127.5" customHeight="1" thickTop="1" thickBot="1" x14ac:dyDescent="0.3">
      <c r="A154" s="328"/>
      <c r="B154" s="329"/>
      <c r="C154" s="335"/>
      <c r="D154" s="335"/>
      <c r="E154" s="335"/>
      <c r="F154" s="336"/>
      <c r="G154" s="336"/>
      <c r="H154" s="337"/>
      <c r="I154" s="338"/>
      <c r="J154" s="338"/>
      <c r="K154" s="338"/>
      <c r="L154" s="338"/>
      <c r="M154" s="333"/>
      <c r="N154" s="333"/>
      <c r="O154" s="339"/>
      <c r="P154" s="340"/>
      <c r="Q154" s="341"/>
      <c r="R154" s="341"/>
      <c r="S154" s="341">
        <f ca="1">IF(NOT(ISERROR(MATCH(R154,_xlfn.ANCHORARRAY(H158),0))),#REF!&amp;"Por favor no seleccionar los criterios de impacto",R154)</f>
        <v>0</v>
      </c>
      <c r="T154" s="340"/>
      <c r="U154" s="341"/>
      <c r="V154" s="327"/>
      <c r="W154" s="233">
        <v>2</v>
      </c>
      <c r="X154" s="207" t="s">
        <v>757</v>
      </c>
      <c r="Y154" s="230" t="str">
        <f t="shared" si="419"/>
        <v>Probabilidad</v>
      </c>
      <c r="Z154" s="185" t="s">
        <v>208</v>
      </c>
      <c r="AA154" s="185" t="s">
        <v>216</v>
      </c>
      <c r="AB154" s="186" t="str">
        <f t="shared" si="384"/>
        <v>40%</v>
      </c>
      <c r="AC154" s="185" t="s">
        <v>222</v>
      </c>
      <c r="AD154" s="185" t="s">
        <v>224</v>
      </c>
      <c r="AE154" s="185" t="s">
        <v>228</v>
      </c>
      <c r="AF154" s="187">
        <f t="shared" ref="AF154:AF155" si="432">IFERROR(IF(AND(Y153="Probabilidad",Y154="Probabilidad"),(AH153-(+AH153*AB154)),IF(Y154="Probabilidad",(Q153-(+Q153*AB154)),IF(Y154="Impacto",AH153,""))),"")</f>
        <v>0.28799999999999998</v>
      </c>
      <c r="AG154" s="188" t="str">
        <f t="shared" si="421"/>
        <v>Baja</v>
      </c>
      <c r="AH154" s="186">
        <f t="shared" si="422"/>
        <v>0.28799999999999998</v>
      </c>
      <c r="AI154" s="188" t="str">
        <f t="shared" ca="1" si="423"/>
        <v>Menor</v>
      </c>
      <c r="AJ154" s="186">
        <f t="shared" ref="AJ154" ca="1" si="433">IFERROR(IF(AND(Y153="Impacto",Y154="Impacto"),(AJ153-(+AJ153*AB154)),IF(Y154="Impacto",(U153-(+U153*AB154)),IF(Y154="Probabilidad",AJ153,""))),"")</f>
        <v>0.4</v>
      </c>
      <c r="AK154" s="189" t="str">
        <f t="shared" ca="1" si="425"/>
        <v>Moderado</v>
      </c>
      <c r="AL154" s="185" t="s">
        <v>255</v>
      </c>
      <c r="AM154" s="227"/>
      <c r="AN154" s="230"/>
      <c r="AO154" s="228"/>
      <c r="AP154" s="228"/>
      <c r="AQ154" s="227"/>
      <c r="AR154" s="229"/>
    </row>
    <row r="155" spans="1:44" s="191" customFormat="1" ht="118.5" customHeight="1" thickTop="1" thickBot="1" x14ac:dyDescent="0.3">
      <c r="A155" s="328"/>
      <c r="B155" s="329"/>
      <c r="C155" s="335"/>
      <c r="D155" s="335"/>
      <c r="E155" s="335"/>
      <c r="F155" s="336"/>
      <c r="G155" s="336"/>
      <c r="H155" s="337"/>
      <c r="I155" s="338"/>
      <c r="J155" s="338"/>
      <c r="K155" s="338"/>
      <c r="L155" s="338"/>
      <c r="M155" s="333"/>
      <c r="N155" s="333"/>
      <c r="O155" s="339"/>
      <c r="P155" s="340"/>
      <c r="Q155" s="341"/>
      <c r="R155" s="341"/>
      <c r="S155" s="341">
        <f ca="1">IF(NOT(ISERROR(MATCH(R155,_xlfn.ANCHORARRAY(H159),0))),#REF!&amp;"Por favor no seleccionar los criterios de impacto",R155)</f>
        <v>0</v>
      </c>
      <c r="T155" s="340"/>
      <c r="U155" s="341"/>
      <c r="V155" s="327"/>
      <c r="W155" s="233">
        <v>3</v>
      </c>
      <c r="X155" s="207" t="s">
        <v>758</v>
      </c>
      <c r="Y155" s="230" t="str">
        <f t="shared" si="419"/>
        <v>Probabilidad</v>
      </c>
      <c r="Z155" s="185" t="s">
        <v>208</v>
      </c>
      <c r="AA155" s="185" t="s">
        <v>216</v>
      </c>
      <c r="AB155" s="186" t="str">
        <f t="shared" si="384"/>
        <v>40%</v>
      </c>
      <c r="AC155" s="185" t="s">
        <v>219</v>
      </c>
      <c r="AD155" s="185" t="s">
        <v>224</v>
      </c>
      <c r="AE155" s="185" t="s">
        <v>228</v>
      </c>
      <c r="AF155" s="187">
        <f t="shared" si="432"/>
        <v>0.17279999999999998</v>
      </c>
      <c r="AG155" s="188" t="str">
        <f t="shared" si="421"/>
        <v>Muy Baja</v>
      </c>
      <c r="AH155" s="186">
        <f t="shared" si="422"/>
        <v>0.17279999999999998</v>
      </c>
      <c r="AI155" s="188" t="str">
        <f t="shared" ca="1" si="423"/>
        <v>Menor</v>
      </c>
      <c r="AJ155" s="186">
        <f t="shared" ref="AJ155" ca="1" si="434">IFERROR(IF(AND(Y154="Impacto",Y155="Impacto"),(AJ154-(+AJ154*AB155)),IF(AND(Y154="Probabilidad",Y155="Impacto"),(AJ153-(+AJ153*AB155)),IF(Y155="Probabilidad",AJ154,""))),"")</f>
        <v>0.4</v>
      </c>
      <c r="AK155" s="189" t="str">
        <f t="shared" ca="1" si="425"/>
        <v>Bajo</v>
      </c>
      <c r="AL155" s="185" t="s">
        <v>255</v>
      </c>
      <c r="AM155" s="227"/>
      <c r="AN155" s="230"/>
      <c r="AO155" s="228"/>
      <c r="AP155" s="228"/>
      <c r="AQ155" s="227"/>
      <c r="AR155" s="229"/>
    </row>
    <row r="156" spans="1:44" s="191" customFormat="1" ht="149.25" customHeight="1" thickTop="1" thickBot="1" x14ac:dyDescent="0.3">
      <c r="A156" s="328">
        <v>64</v>
      </c>
      <c r="B156" s="329" t="s">
        <v>759</v>
      </c>
      <c r="C156" s="335" t="s">
        <v>276</v>
      </c>
      <c r="D156" s="335" t="s">
        <v>760</v>
      </c>
      <c r="E156" s="335" t="s">
        <v>240</v>
      </c>
      <c r="F156" s="336" t="s">
        <v>761</v>
      </c>
      <c r="G156" s="336" t="s">
        <v>762</v>
      </c>
      <c r="H156" s="337" t="s">
        <v>1160</v>
      </c>
      <c r="I156" s="338" t="s">
        <v>474</v>
      </c>
      <c r="J156" s="338" t="s">
        <v>474</v>
      </c>
      <c r="K156" s="338" t="s">
        <v>474</v>
      </c>
      <c r="L156" s="338" t="s">
        <v>474</v>
      </c>
      <c r="M156" s="333" t="s">
        <v>246</v>
      </c>
      <c r="N156" s="333"/>
      <c r="O156" s="339">
        <v>365</v>
      </c>
      <c r="P156" s="340" t="str">
        <f t="shared" ref="P156" si="435">IF(O156&lt;=0,"",IF(O156&lt;=2,"Muy Baja",IF(O156&lt;=24,"Baja",IF(O156&lt;=500,"Media",IF(O156&lt;=5000,"Alta","Muy Alta")))))</f>
        <v>Media</v>
      </c>
      <c r="Q156" s="341">
        <f t="shared" ref="Q156" si="436">IF(P156="","",IF(P156="Muy Baja",0.2,IF(P156="Baja",0.4,IF(P156="Media",0.6,IF(P156="Alta",0.8,IF(P156="Muy Alta",1,))))))</f>
        <v>0.6</v>
      </c>
      <c r="R156" s="341" t="s">
        <v>190</v>
      </c>
      <c r="S156" s="341" t="str">
        <f ca="1">IF(NOT(ISERROR(MATCH(R156,'Tabla Impacto'!$B$221:$B$223,0))),'Tabla Impacto'!$F$223&amp;"Por favor no seleccionar los criterios de impacto(Afectación Económica o presupuestal y Pérdida Reputacional)",R156)</f>
        <v>El riesgo afecta la imagen de la entidad con algunos usuarios de relevancia frente al logro de los objetivos</v>
      </c>
      <c r="T156" s="340" t="str">
        <f ca="1">+IF(OR(S156='[1]Tabla Impacto'!$C$11,S156='[1]Tabla Impacto'!$D$11),"Leve",IF(OR(S156='[1]Tabla Impacto'!$C$12,S156='[1]Tabla Impacto'!$D$12),"Menor",IF(OR(S156='[1]Tabla Impacto'!$C$13,S156='[1]Tabla Impacto'!$D$13),"Moderado",IF(OR(S156='[1]Tabla Impacto'!$C$14,S156='[1]Tabla Impacto'!$D$14),"Mayor",IF(OR(S156='[1]Tabla Impacto'!$C$15,S156='[1]Tabla Impacto'!$D$15),"Catastrófico","")))))</f>
        <v>Moderado</v>
      </c>
      <c r="U156" s="341">
        <f t="shared" ref="U156" ca="1" si="437">IF(T156="","",IF(T156="Leve",0.2,IF(T156="Menor",0.4,IF(T156="Moderado",0.6,IF(T156="Mayor",0.8,IF(T156="Catastrófico",1,))))))</f>
        <v>0.6</v>
      </c>
      <c r="V156" s="327" t="str">
        <f t="shared" ref="V156" ca="1" si="438">IF(OR(AND(P156="Muy Baja",T156="Leve"),AND(P156="Muy Baja",T156="Menor"),AND(P156="Baja",T156="Leve")),"Bajo",IF(OR(AND(P156="Muy baja",T156="Moderado"),AND(P156="Baja",T156="Menor"),AND(P156="Baja",T156="Moderado"),AND(P156="Media",T156="Leve"),AND(P156="Media",T156="Menor"),AND(P156="Media",T156="Moderado"),AND(P156="Alta",T156="Leve"),AND(P156="Alta",T156="Menor")),"Moderado",IF(OR(AND(P156="Muy Baja",T156="Mayor"),AND(P156="Baja",T156="Mayor"),AND(P156="Media",T156="Mayor"),AND(P156="Alta",T156="Moderado"),AND(P156="Alta",T156="Mayor"),AND(P156="Muy Alta",T156="Leve"),AND(P156="Muy Alta",T156="Menor"),AND(P156="Muy Alta",T156="Moderado"),AND(P156="Muy Alta",T156="Mayor")),"Alto",IF(OR(AND(P156="Muy Baja",T156="Catastrófico"),AND(P156="Baja",T156="Catastrófico"),AND(P156="Media",T156="Catastrófico"),AND(P156="Alta",T156="Catastrófico"),AND(P156="Muy Alta",T156="Catastrófico")),"Extremo",""))))</f>
        <v>Moderado</v>
      </c>
      <c r="W156" s="233">
        <v>1</v>
      </c>
      <c r="X156" s="207" t="s">
        <v>763</v>
      </c>
      <c r="Y156" s="230" t="str">
        <f t="shared" si="419"/>
        <v>Probabilidad</v>
      </c>
      <c r="Z156" s="185" t="s">
        <v>208</v>
      </c>
      <c r="AA156" s="185" t="s">
        <v>216</v>
      </c>
      <c r="AB156" s="186" t="str">
        <f t="shared" si="384"/>
        <v>40%</v>
      </c>
      <c r="AC156" s="185" t="s">
        <v>219</v>
      </c>
      <c r="AD156" s="185" t="s">
        <v>224</v>
      </c>
      <c r="AE156" s="185" t="s">
        <v>228</v>
      </c>
      <c r="AF156" s="187">
        <f t="shared" ref="AF156" si="439">IFERROR(IF(Y156="Probabilidad",(Q156-(+Q156*AB156)),IF(Y156="Impacto",Q156,"")),"")</f>
        <v>0.36</v>
      </c>
      <c r="AG156" s="188" t="str">
        <f t="shared" si="421"/>
        <v>Baja</v>
      </c>
      <c r="AH156" s="186">
        <f t="shared" si="422"/>
        <v>0.36</v>
      </c>
      <c r="AI156" s="188" t="str">
        <f t="shared" ca="1" si="423"/>
        <v>Moderado</v>
      </c>
      <c r="AJ156" s="186">
        <f t="shared" ref="AJ156" ca="1" si="440">IFERROR(IF(Y156="Impacto",(U156-(+U156*AB156)),IF(Y156="Probabilidad",U156,"")),"")</f>
        <v>0.6</v>
      </c>
      <c r="AK156" s="189" t="str">
        <f t="shared" ca="1" si="425"/>
        <v>Moderado</v>
      </c>
      <c r="AL156" s="185" t="s">
        <v>255</v>
      </c>
      <c r="AM156" s="227"/>
      <c r="AN156" s="230"/>
      <c r="AO156" s="228"/>
      <c r="AP156" s="228"/>
      <c r="AQ156" s="227"/>
      <c r="AR156" s="229"/>
    </row>
    <row r="157" spans="1:44" s="191" customFormat="1" ht="119.25" customHeight="1" thickTop="1" thickBot="1" x14ac:dyDescent="0.3">
      <c r="A157" s="328"/>
      <c r="B157" s="329"/>
      <c r="C157" s="335"/>
      <c r="D157" s="335"/>
      <c r="E157" s="335"/>
      <c r="F157" s="336"/>
      <c r="G157" s="336"/>
      <c r="H157" s="337"/>
      <c r="I157" s="338"/>
      <c r="J157" s="338"/>
      <c r="K157" s="338"/>
      <c r="L157" s="338"/>
      <c r="M157" s="333"/>
      <c r="N157" s="333"/>
      <c r="O157" s="339"/>
      <c r="P157" s="340"/>
      <c r="Q157" s="341"/>
      <c r="R157" s="341"/>
      <c r="S157" s="341">
        <f ca="1">IF(NOT(ISERROR(MATCH(R157,_xlfn.ANCHORARRAY(H160),0))),#REF!&amp;"Por favor no seleccionar los criterios de impacto",R157)</f>
        <v>0</v>
      </c>
      <c r="T157" s="340"/>
      <c r="U157" s="341"/>
      <c r="V157" s="327"/>
      <c r="W157" s="233">
        <v>2</v>
      </c>
      <c r="X157" s="207" t="s">
        <v>764</v>
      </c>
      <c r="Y157" s="230" t="str">
        <f t="shared" si="419"/>
        <v>Probabilidad</v>
      </c>
      <c r="Z157" s="185" t="s">
        <v>208</v>
      </c>
      <c r="AA157" s="185" t="s">
        <v>216</v>
      </c>
      <c r="AB157" s="186" t="str">
        <f t="shared" si="384"/>
        <v>40%</v>
      </c>
      <c r="AC157" s="185" t="s">
        <v>219</v>
      </c>
      <c r="AD157" s="185" t="s">
        <v>224</v>
      </c>
      <c r="AE157" s="185" t="s">
        <v>228</v>
      </c>
      <c r="AF157" s="187">
        <f t="shared" ref="AF157" si="441">IFERROR(IF(AND(Y156="Probabilidad",Y157="Probabilidad"),(AH156-(+AH156*AB157)),IF(Y157="Probabilidad",(Q156-(+Q156*AB157)),IF(Y157="Impacto",AH156,""))),"")</f>
        <v>0.216</v>
      </c>
      <c r="AG157" s="188" t="str">
        <f t="shared" si="421"/>
        <v>Baja</v>
      </c>
      <c r="AH157" s="186">
        <f t="shared" si="422"/>
        <v>0.216</v>
      </c>
      <c r="AI157" s="188" t="str">
        <f t="shared" ca="1" si="423"/>
        <v>Moderado</v>
      </c>
      <c r="AJ157" s="186">
        <f t="shared" ref="AJ157" ca="1" si="442">IFERROR(IF(AND(Y156="Impacto",Y157="Impacto"),(AJ156-(+AJ156*AB157)),IF(Y157="Impacto",(U156-(+U156*AB157)),IF(Y157="Probabilidad",AJ156,""))),"")</f>
        <v>0.6</v>
      </c>
      <c r="AK157" s="189" t="str">
        <f t="shared" ca="1" si="425"/>
        <v>Moderado</v>
      </c>
      <c r="AL157" s="185" t="s">
        <v>255</v>
      </c>
      <c r="AM157" s="227"/>
      <c r="AN157" s="230"/>
      <c r="AO157" s="228"/>
      <c r="AP157" s="228"/>
      <c r="AQ157" s="227"/>
      <c r="AR157" s="229"/>
    </row>
    <row r="158" spans="1:44" s="191" customFormat="1" ht="135" customHeight="1" thickTop="1" thickBot="1" x14ac:dyDescent="0.3">
      <c r="A158" s="328">
        <v>65</v>
      </c>
      <c r="B158" s="329" t="s">
        <v>765</v>
      </c>
      <c r="C158" s="335" t="s">
        <v>276</v>
      </c>
      <c r="D158" s="335" t="s">
        <v>760</v>
      </c>
      <c r="E158" s="335" t="s">
        <v>238</v>
      </c>
      <c r="F158" s="336" t="s">
        <v>766</v>
      </c>
      <c r="G158" s="336" t="s">
        <v>767</v>
      </c>
      <c r="H158" s="337" t="s">
        <v>1161</v>
      </c>
      <c r="I158" s="338" t="s">
        <v>474</v>
      </c>
      <c r="J158" s="338" t="s">
        <v>474</v>
      </c>
      <c r="K158" s="338" t="s">
        <v>474</v>
      </c>
      <c r="L158" s="338" t="s">
        <v>474</v>
      </c>
      <c r="M158" s="333" t="s">
        <v>239</v>
      </c>
      <c r="N158" s="333"/>
      <c r="O158" s="339">
        <v>365</v>
      </c>
      <c r="P158" s="340" t="str">
        <f t="shared" ref="P158" si="443">IF(O158&lt;=0,"",IF(O158&lt;=2,"Muy Baja",IF(O158&lt;=24,"Baja",IF(O158&lt;=500,"Media",IF(O158&lt;=5000,"Alta","Muy Alta")))))</f>
        <v>Media</v>
      </c>
      <c r="Q158" s="341">
        <f t="shared" ref="Q158" si="444">IF(P158="","",IF(P158="Muy Baja",0.2,IF(P158="Baja",0.4,IF(P158="Media",0.6,IF(P158="Alta",0.8,IF(P158="Muy Alta",1,))))))</f>
        <v>0.6</v>
      </c>
      <c r="R158" s="341" t="s">
        <v>190</v>
      </c>
      <c r="S158" s="341" t="str">
        <f ca="1">IF(NOT(ISERROR(MATCH(R158,'Tabla Impacto'!$B$221:$B$223,0))),'Tabla Impacto'!$F$223&amp;"Por favor no seleccionar los criterios de impacto(Afectación Económica o presupuestal y Pérdida Reputacional)",R158)</f>
        <v>El riesgo afecta la imagen de la entidad con algunos usuarios de relevancia frente al logro de los objetivos</v>
      </c>
      <c r="T158" s="340" t="str">
        <f ca="1">+IF(OR(S158='[1]Tabla Impacto'!$C$11,S158='[1]Tabla Impacto'!$D$11),"Leve",IF(OR(S158='[1]Tabla Impacto'!$C$12,S158='[1]Tabla Impacto'!$D$12),"Menor",IF(OR(S158='[1]Tabla Impacto'!$C$13,S158='[1]Tabla Impacto'!$D$13),"Moderado",IF(OR(S158='[1]Tabla Impacto'!$C$14,S158='[1]Tabla Impacto'!$D$14),"Mayor",IF(OR(S158='[1]Tabla Impacto'!$C$15,S158='[1]Tabla Impacto'!$D$15),"Catastrófico","")))))</f>
        <v>Moderado</v>
      </c>
      <c r="U158" s="341">
        <f t="shared" ref="U158" ca="1" si="445">IF(T158="","",IF(T158="Leve",0.2,IF(T158="Menor",0.4,IF(T158="Moderado",0.6,IF(T158="Mayor",0.8,IF(T158="Catastrófico",1,))))))</f>
        <v>0.6</v>
      </c>
      <c r="V158" s="327" t="str">
        <f t="shared" ref="V158" ca="1" si="446">IF(OR(AND(P158="Muy Baja",T158="Leve"),AND(P158="Muy Baja",T158="Menor"),AND(P158="Baja",T158="Leve")),"Bajo",IF(OR(AND(P158="Muy baja",T158="Moderado"),AND(P158="Baja",T158="Menor"),AND(P158="Baja",T158="Moderado"),AND(P158="Media",T158="Leve"),AND(P158="Media",T158="Menor"),AND(P158="Media",T158="Moderado"),AND(P158="Alta",T158="Leve"),AND(P158="Alta",T158="Menor")),"Moderado",IF(OR(AND(P158="Muy Baja",T158="Mayor"),AND(P158="Baja",T158="Mayor"),AND(P158="Media",T158="Mayor"),AND(P158="Alta",T158="Moderado"),AND(P158="Alta",T158="Mayor"),AND(P158="Muy Alta",T158="Leve"),AND(P158="Muy Alta",T158="Menor"),AND(P158="Muy Alta",T158="Moderado"),AND(P158="Muy Alta",T158="Mayor")),"Alto",IF(OR(AND(P158="Muy Baja",T158="Catastrófico"),AND(P158="Baja",T158="Catastrófico"),AND(P158="Media",T158="Catastrófico"),AND(P158="Alta",T158="Catastrófico"),AND(P158="Muy Alta",T158="Catastrófico")),"Extremo",""))))</f>
        <v>Moderado</v>
      </c>
      <c r="W158" s="233">
        <v>1</v>
      </c>
      <c r="X158" s="207" t="s">
        <v>768</v>
      </c>
      <c r="Y158" s="230" t="str">
        <f t="shared" si="419"/>
        <v>Probabilidad</v>
      </c>
      <c r="Z158" s="185" t="s">
        <v>208</v>
      </c>
      <c r="AA158" s="185" t="s">
        <v>216</v>
      </c>
      <c r="AB158" s="186" t="str">
        <f t="shared" si="384"/>
        <v>40%</v>
      </c>
      <c r="AC158" s="185" t="s">
        <v>219</v>
      </c>
      <c r="AD158" s="185" t="s">
        <v>224</v>
      </c>
      <c r="AE158" s="185" t="s">
        <v>228</v>
      </c>
      <c r="AF158" s="187">
        <f t="shared" ref="AF158" si="447">IFERROR(IF(Y158="Probabilidad",(Q158-(+Q158*AB158)),IF(Y158="Impacto",Q158,"")),"")</f>
        <v>0.36</v>
      </c>
      <c r="AG158" s="188" t="str">
        <f t="shared" si="421"/>
        <v>Baja</v>
      </c>
      <c r="AH158" s="186">
        <f t="shared" si="422"/>
        <v>0.36</v>
      </c>
      <c r="AI158" s="188" t="str">
        <f t="shared" ca="1" si="423"/>
        <v>Moderado</v>
      </c>
      <c r="AJ158" s="186">
        <f t="shared" ref="AJ158" ca="1" si="448">IFERROR(IF(Y158="Impacto",(U158-(+U158*AB158)),IF(Y158="Probabilidad",U158,"")),"")</f>
        <v>0.6</v>
      </c>
      <c r="AK158" s="189" t="str">
        <f t="shared" ca="1" si="425"/>
        <v>Moderado</v>
      </c>
      <c r="AL158" s="185" t="s">
        <v>255</v>
      </c>
      <c r="AM158" s="227"/>
      <c r="AN158" s="230"/>
      <c r="AO158" s="228"/>
      <c r="AP158" s="228"/>
      <c r="AQ158" s="227"/>
      <c r="AR158" s="229"/>
    </row>
    <row r="159" spans="1:44" s="191" customFormat="1" ht="135" customHeight="1" thickTop="1" thickBot="1" x14ac:dyDescent="0.3">
      <c r="A159" s="328"/>
      <c r="B159" s="329"/>
      <c r="C159" s="335"/>
      <c r="D159" s="335"/>
      <c r="E159" s="335"/>
      <c r="F159" s="336"/>
      <c r="G159" s="336"/>
      <c r="H159" s="337"/>
      <c r="I159" s="338"/>
      <c r="J159" s="338"/>
      <c r="K159" s="338"/>
      <c r="L159" s="338"/>
      <c r="M159" s="333"/>
      <c r="N159" s="333"/>
      <c r="O159" s="339"/>
      <c r="P159" s="340"/>
      <c r="Q159" s="341"/>
      <c r="R159" s="341"/>
      <c r="S159" s="341">
        <f ca="1">IF(NOT(ISERROR(MATCH(R159,_xlfn.ANCHORARRAY(#REF!),0))),#REF!&amp;"Por favor no seleccionar los criterios de impacto",R159)</f>
        <v>0</v>
      </c>
      <c r="T159" s="340"/>
      <c r="U159" s="341"/>
      <c r="V159" s="327"/>
      <c r="W159" s="233">
        <v>2</v>
      </c>
      <c r="X159" s="207" t="s">
        <v>769</v>
      </c>
      <c r="Y159" s="230" t="str">
        <f t="shared" si="419"/>
        <v>Probabilidad</v>
      </c>
      <c r="Z159" s="185" t="s">
        <v>208</v>
      </c>
      <c r="AA159" s="185" t="s">
        <v>216</v>
      </c>
      <c r="AB159" s="186" t="str">
        <f t="shared" si="384"/>
        <v>40%</v>
      </c>
      <c r="AC159" s="185" t="s">
        <v>219</v>
      </c>
      <c r="AD159" s="185" t="s">
        <v>224</v>
      </c>
      <c r="AE159" s="185" t="s">
        <v>228</v>
      </c>
      <c r="AF159" s="187">
        <f t="shared" ref="AF159" si="449">IFERROR(IF(AND(Y158="Probabilidad",Y159="Probabilidad"),(AH158-(+AH158*AB159)),IF(Y159="Probabilidad",(Q158-(+Q158*AB159)),IF(Y159="Impacto",AH158,""))),"")</f>
        <v>0.216</v>
      </c>
      <c r="AG159" s="188" t="str">
        <f t="shared" si="421"/>
        <v>Baja</v>
      </c>
      <c r="AH159" s="186">
        <f t="shared" si="422"/>
        <v>0.216</v>
      </c>
      <c r="AI159" s="188" t="str">
        <f t="shared" ca="1" si="423"/>
        <v>Moderado</v>
      </c>
      <c r="AJ159" s="186">
        <f t="shared" ref="AJ159" ca="1" si="450">IFERROR(IF(AND(Y158="Impacto",Y159="Impacto"),(AJ158-(+AJ158*AB159)),IF(Y159="Impacto",(U158-(+U158*AB159)),IF(Y159="Probabilidad",AJ158,""))),"")</f>
        <v>0.6</v>
      </c>
      <c r="AK159" s="189" t="str">
        <f t="shared" ca="1" si="425"/>
        <v>Moderado</v>
      </c>
      <c r="AL159" s="185" t="s">
        <v>255</v>
      </c>
      <c r="AM159" s="227"/>
      <c r="AN159" s="230"/>
      <c r="AO159" s="228"/>
      <c r="AP159" s="228"/>
      <c r="AQ159" s="227"/>
      <c r="AR159" s="229"/>
    </row>
    <row r="160" spans="1:44" s="191" customFormat="1" ht="109.5" customHeight="1" thickTop="1" thickBot="1" x14ac:dyDescent="0.3">
      <c r="A160" s="328">
        <v>66</v>
      </c>
      <c r="B160" s="329" t="s">
        <v>770</v>
      </c>
      <c r="C160" s="333" t="s">
        <v>276</v>
      </c>
      <c r="D160" s="333" t="s">
        <v>760</v>
      </c>
      <c r="E160" s="333" t="s">
        <v>238</v>
      </c>
      <c r="F160" s="351" t="s">
        <v>771</v>
      </c>
      <c r="G160" s="351" t="s">
        <v>772</v>
      </c>
      <c r="H160" s="350" t="s">
        <v>1162</v>
      </c>
      <c r="I160" s="338" t="s">
        <v>474</v>
      </c>
      <c r="J160" s="338" t="s">
        <v>474</v>
      </c>
      <c r="K160" s="338" t="s">
        <v>474</v>
      </c>
      <c r="L160" s="338" t="s">
        <v>474</v>
      </c>
      <c r="M160" s="333" t="s">
        <v>239</v>
      </c>
      <c r="N160" s="333"/>
      <c r="O160" s="339">
        <v>365</v>
      </c>
      <c r="P160" s="340" t="str">
        <f t="shared" ref="P160" si="451">IF(O160&lt;=0,"",IF(O160&lt;=2,"Muy Baja",IF(O160&lt;=24,"Baja",IF(O160&lt;=500,"Media",IF(O160&lt;=5000,"Alta","Muy Alta")))))</f>
        <v>Media</v>
      </c>
      <c r="Q160" s="341">
        <f t="shared" ref="Q160" si="452">IF(P160="","",IF(P160="Muy Baja",0.2,IF(P160="Baja",0.4,IF(P160="Media",0.6,IF(P160="Alta",0.8,IF(P160="Muy Alta",1,))))))</f>
        <v>0.6</v>
      </c>
      <c r="R160" s="341" t="s">
        <v>190</v>
      </c>
      <c r="S160" s="341" t="str">
        <f ca="1">IF(NOT(ISERROR(MATCH(R160,'Tabla Impacto'!$B$221:$B$223,0))),'Tabla Impacto'!$F$223&amp;"Por favor no seleccionar los criterios de impacto(Afectación Económica o presupuestal y Pérdida Reputacional)",R160)</f>
        <v>El riesgo afecta la imagen de la entidad con algunos usuarios de relevancia frente al logro de los objetivos</v>
      </c>
      <c r="T160" s="340" t="str">
        <f ca="1">+IF(OR(S160='[1]Tabla Impacto'!$C$11,S160='[1]Tabla Impacto'!$D$11),"Leve",IF(OR(S160='[1]Tabla Impacto'!$C$12,S160='[1]Tabla Impacto'!$D$12),"Menor",IF(OR(S160='[1]Tabla Impacto'!$C$13,S160='[1]Tabla Impacto'!$D$13),"Moderado",IF(OR(S160='[1]Tabla Impacto'!$C$14,S160='[1]Tabla Impacto'!$D$14),"Mayor",IF(OR(S160='[1]Tabla Impacto'!$C$15,S160='[1]Tabla Impacto'!$D$15),"Catastrófico","")))))</f>
        <v>Moderado</v>
      </c>
      <c r="U160" s="341">
        <f t="shared" ref="U160" ca="1" si="453">IF(T160="","",IF(T160="Leve",0.2,IF(T160="Menor",0.4,IF(T160="Moderado",0.6,IF(T160="Mayor",0.8,IF(T160="Catastrófico",1,))))))</f>
        <v>0.6</v>
      </c>
      <c r="V160" s="327" t="str">
        <f t="shared" ref="V160" ca="1" si="454">IF(OR(AND(P160="Muy Baja",T160="Leve"),AND(P160="Muy Baja",T160="Menor"),AND(P160="Baja",T160="Leve")),"Bajo",IF(OR(AND(P160="Muy baja",T160="Moderado"),AND(P160="Baja",T160="Menor"),AND(P160="Baja",T160="Moderado"),AND(P160="Media",T160="Leve"),AND(P160="Media",T160="Menor"),AND(P160="Media",T160="Moderado"),AND(P160="Alta",T160="Leve"),AND(P160="Alta",T160="Menor")),"Moderado",IF(OR(AND(P160="Muy Baja",T160="Mayor"),AND(P160="Baja",T160="Mayor"),AND(P160="Media",T160="Mayor"),AND(P160="Alta",T160="Moderado"),AND(P160="Alta",T160="Mayor"),AND(P160="Muy Alta",T160="Leve"),AND(P160="Muy Alta",T160="Menor"),AND(P160="Muy Alta",T160="Moderado"),AND(P160="Muy Alta",T160="Mayor")),"Alto",IF(OR(AND(P160="Muy Baja",T160="Catastrófico"),AND(P160="Baja",T160="Catastrófico"),AND(P160="Media",T160="Catastrófico"),AND(P160="Alta",T160="Catastrófico"),AND(P160="Muy Alta",T160="Catastrófico")),"Extremo",""))))</f>
        <v>Moderado</v>
      </c>
      <c r="W160" s="233">
        <v>1</v>
      </c>
      <c r="X160" s="207" t="s">
        <v>773</v>
      </c>
      <c r="Y160" s="230" t="str">
        <f t="shared" si="419"/>
        <v>Probabilidad</v>
      </c>
      <c r="Z160" s="185" t="s">
        <v>208</v>
      </c>
      <c r="AA160" s="185" t="s">
        <v>216</v>
      </c>
      <c r="AB160" s="186" t="str">
        <f t="shared" si="384"/>
        <v>40%</v>
      </c>
      <c r="AC160" s="185" t="s">
        <v>219</v>
      </c>
      <c r="AD160" s="185" t="s">
        <v>224</v>
      </c>
      <c r="AE160" s="185" t="s">
        <v>228</v>
      </c>
      <c r="AF160" s="187">
        <f t="shared" ref="AF160" si="455">IFERROR(IF(Y160="Probabilidad",(Q160-(+Q160*AB160)),IF(Y160="Impacto",Q160,"")),"")</f>
        <v>0.36</v>
      </c>
      <c r="AG160" s="188" t="str">
        <f t="shared" si="421"/>
        <v>Baja</v>
      </c>
      <c r="AH160" s="186">
        <f t="shared" si="422"/>
        <v>0.36</v>
      </c>
      <c r="AI160" s="188" t="str">
        <f t="shared" ca="1" si="423"/>
        <v>Moderado</v>
      </c>
      <c r="AJ160" s="186">
        <f t="shared" ref="AJ160" ca="1" si="456">IFERROR(IF(Y160="Impacto",(U160-(+U160*AB160)),IF(Y160="Probabilidad",U160,"")),"")</f>
        <v>0.6</v>
      </c>
      <c r="AK160" s="189" t="str">
        <f t="shared" ca="1" si="425"/>
        <v>Moderado</v>
      </c>
      <c r="AL160" s="185" t="s">
        <v>255</v>
      </c>
      <c r="AM160" s="227"/>
      <c r="AN160" s="230"/>
      <c r="AO160" s="228"/>
      <c r="AP160" s="228"/>
      <c r="AQ160" s="227"/>
      <c r="AR160" s="229"/>
    </row>
    <row r="161" spans="1:44" s="191" customFormat="1" ht="116.25" customHeight="1" thickTop="1" thickBot="1" x14ac:dyDescent="0.3">
      <c r="A161" s="328"/>
      <c r="B161" s="329"/>
      <c r="C161" s="333"/>
      <c r="D161" s="333"/>
      <c r="E161" s="333"/>
      <c r="F161" s="351"/>
      <c r="G161" s="351"/>
      <c r="H161" s="350"/>
      <c r="I161" s="338"/>
      <c r="J161" s="338"/>
      <c r="K161" s="338"/>
      <c r="L161" s="338"/>
      <c r="M161" s="333"/>
      <c r="N161" s="333"/>
      <c r="O161" s="339"/>
      <c r="P161" s="340"/>
      <c r="Q161" s="341"/>
      <c r="R161" s="341"/>
      <c r="S161" s="341">
        <f ca="1">IF(NOT(ISERROR(MATCH(R161,_xlfn.ANCHORARRAY(#REF!),0))),#REF!&amp;"Por favor no seleccionar los criterios de impacto",R161)</f>
        <v>0</v>
      </c>
      <c r="T161" s="340"/>
      <c r="U161" s="341"/>
      <c r="V161" s="327"/>
      <c r="W161" s="233">
        <v>2</v>
      </c>
      <c r="X161" s="207" t="s">
        <v>774</v>
      </c>
      <c r="Y161" s="230" t="str">
        <f t="shared" si="419"/>
        <v>Probabilidad</v>
      </c>
      <c r="Z161" s="185" t="s">
        <v>208</v>
      </c>
      <c r="AA161" s="185" t="s">
        <v>216</v>
      </c>
      <c r="AB161" s="186" t="str">
        <f t="shared" si="384"/>
        <v>40%</v>
      </c>
      <c r="AC161" s="185" t="s">
        <v>219</v>
      </c>
      <c r="AD161" s="185" t="s">
        <v>224</v>
      </c>
      <c r="AE161" s="185" t="s">
        <v>228</v>
      </c>
      <c r="AF161" s="187">
        <f t="shared" ref="AF161" si="457">IFERROR(IF(AND(Y160="Probabilidad",Y161="Probabilidad"),(AH160-(+AH160*AB161)),IF(Y161="Probabilidad",(Q160-(+Q160*AB161)),IF(Y161="Impacto",AH160,""))),"")</f>
        <v>0.216</v>
      </c>
      <c r="AG161" s="188" t="str">
        <f t="shared" si="421"/>
        <v>Baja</v>
      </c>
      <c r="AH161" s="186">
        <f t="shared" si="422"/>
        <v>0.216</v>
      </c>
      <c r="AI161" s="188" t="str">
        <f t="shared" ca="1" si="423"/>
        <v>Moderado</v>
      </c>
      <c r="AJ161" s="186">
        <f t="shared" ref="AJ161" ca="1" si="458">IFERROR(IF(AND(Y160="Impacto",Y161="Impacto"),(AJ160-(+AJ160*AB161)),IF(Y161="Impacto",(U160-(+U160*AB161)),IF(Y161="Probabilidad",AJ160,""))),"")</f>
        <v>0.6</v>
      </c>
      <c r="AK161" s="189" t="str">
        <f t="shared" ca="1" si="425"/>
        <v>Moderado</v>
      </c>
      <c r="AL161" s="185" t="s">
        <v>255</v>
      </c>
      <c r="AM161" s="227"/>
      <c r="AN161" s="230"/>
      <c r="AO161" s="228"/>
      <c r="AP161" s="228"/>
      <c r="AQ161" s="227"/>
      <c r="AR161" s="229"/>
    </row>
    <row r="162" spans="1:44" s="191" customFormat="1" ht="289.5" customHeight="1" thickTop="1" thickBot="1" x14ac:dyDescent="0.3">
      <c r="A162" s="215">
        <v>67</v>
      </c>
      <c r="B162" s="250" t="s">
        <v>782</v>
      </c>
      <c r="C162" s="216" t="s">
        <v>276</v>
      </c>
      <c r="D162" s="216" t="s">
        <v>969</v>
      </c>
      <c r="E162" s="216" t="s">
        <v>240</v>
      </c>
      <c r="F162" s="217" t="s">
        <v>783</v>
      </c>
      <c r="G162" s="217" t="s">
        <v>784</v>
      </c>
      <c r="H162" s="218" t="s">
        <v>1163</v>
      </c>
      <c r="I162" s="219" t="s">
        <v>474</v>
      </c>
      <c r="J162" s="219" t="s">
        <v>474</v>
      </c>
      <c r="K162" s="219" t="s">
        <v>474</v>
      </c>
      <c r="L162" s="219" t="s">
        <v>474</v>
      </c>
      <c r="M162" s="220" t="s">
        <v>239</v>
      </c>
      <c r="N162" s="220"/>
      <c r="O162" s="221">
        <v>2</v>
      </c>
      <c r="P162" s="222" t="str">
        <f t="shared" ref="P162:P178" si="459">IF(O162&lt;=0,"",IF(O162&lt;=2,"Muy Baja",IF(O162&lt;=24,"Baja",IF(O162&lt;=500,"Media",IF(O162&lt;=5000,"Alta","Muy Alta")))))</f>
        <v>Muy Baja</v>
      </c>
      <c r="Q162" s="223">
        <f t="shared" ref="Q162:Q178" si="460">IF(P162="","",IF(P162="Muy Baja",0.2,IF(P162="Baja",0.4,IF(P162="Media",0.6,IF(P162="Alta",0.8,IF(P162="Muy Alta",1,))))))</f>
        <v>0.2</v>
      </c>
      <c r="R162" s="223" t="s">
        <v>190</v>
      </c>
      <c r="S162" s="223" t="str">
        <f ca="1">IF(NOT(ISERROR(MATCH(R162,'Tabla Impacto'!$B$221:$B$223,0))),'Tabla Impacto'!$F$223&amp;"Por favor no seleccionar los criterios de impacto(Afectación Económica o presupuestal y Pérdida Reputacional)",R162)</f>
        <v>El riesgo afecta la imagen de la entidad con algunos usuarios de relevancia frente al logro de los objetivos</v>
      </c>
      <c r="T162" s="222" t="str">
        <f ca="1">+IF(OR(S162='[1]Tabla Impacto'!$C$11,S162='[1]Tabla Impacto'!$D$11),"Leve",IF(OR(S162='[1]Tabla Impacto'!$C$12,S162='[1]Tabla Impacto'!$D$12),"Menor",IF(OR(S162='[1]Tabla Impacto'!$C$13,S162='[1]Tabla Impacto'!$D$13),"Moderado",IF(OR(S162='[1]Tabla Impacto'!$C$14,S162='[1]Tabla Impacto'!$D$14),"Mayor",IF(OR(S162='[1]Tabla Impacto'!$C$15,S162='[1]Tabla Impacto'!$D$15),"Catastrófico","")))))</f>
        <v>Moderado</v>
      </c>
      <c r="U162" s="223">
        <f t="shared" ref="U162" ca="1" si="461">IF(T162="","",IF(T162="Leve",0.2,IF(T162="Menor",0.4,IF(T162="Moderado",0.6,IF(T162="Mayor",0.8,IF(T162="Catastrófico",1,))))))</f>
        <v>0.6</v>
      </c>
      <c r="V162" s="224" t="str">
        <f t="shared" ref="V162" ca="1" si="462">IF(OR(AND(P162="Muy Baja",T162="Leve"),AND(P162="Muy Baja",T162="Menor"),AND(P162="Baja",T162="Leve")),"Bajo",IF(OR(AND(P162="Muy baja",T162="Moderado"),AND(P162="Baja",T162="Menor"),AND(P162="Baja",T162="Moderado"),AND(P162="Media",T162="Leve"),AND(P162="Media",T162="Menor"),AND(P162="Media",T162="Moderado"),AND(P162="Alta",T162="Leve"),AND(P162="Alta",T162="Menor")),"Moderado",IF(OR(AND(P162="Muy Baja",T162="Mayor"),AND(P162="Baja",T162="Mayor"),AND(P162="Media",T162="Mayor"),AND(P162="Alta",T162="Moderado"),AND(P162="Alta",T162="Mayor"),AND(P162="Muy Alta",T162="Leve"),AND(P162="Muy Alta",T162="Menor"),AND(P162="Muy Alta",T162="Moderado"),AND(P162="Muy Alta",T162="Mayor")),"Alto",IF(OR(AND(P162="Muy Baja",T162="Catastrófico"),AND(P162="Baja",T162="Catastrófico"),AND(P162="Media",T162="Catastrófico"),AND(P162="Alta",T162="Catastrófico"),AND(P162="Muy Alta",T162="Catastrófico")),"Extremo",""))))</f>
        <v>Moderado</v>
      </c>
      <c r="W162" s="233">
        <v>1</v>
      </c>
      <c r="X162" s="207" t="s">
        <v>785</v>
      </c>
      <c r="Y162" s="230" t="str">
        <f t="shared" si="419"/>
        <v>Probabilidad</v>
      </c>
      <c r="Z162" s="185" t="s">
        <v>208</v>
      </c>
      <c r="AA162" s="185" t="s">
        <v>216</v>
      </c>
      <c r="AB162" s="186" t="str">
        <f t="shared" ref="AB162:AB191" si="463">IF(AND(Z162="Preventivo",AA162="Automático"),"50%",IF(AND(Z162="Preventivo",AA162="Manual"),"40%",IF(AND(Z162="Detectivo",AA162="Automático"),"40%",IF(AND(Z162="Detectivo",AA162="Manual"),"30%",IF(AND(Z162="Correctivo",AA162="Automático"),"35%",IF(AND(Z162="Correctivo",AA162="Manual"),"25%",""))))))</f>
        <v>40%</v>
      </c>
      <c r="AC162" s="185" t="s">
        <v>219</v>
      </c>
      <c r="AD162" s="185" t="s">
        <v>224</v>
      </c>
      <c r="AE162" s="185" t="s">
        <v>228</v>
      </c>
      <c r="AF162" s="187">
        <f t="shared" ref="AF162" si="464">IFERROR(IF(Y162="Probabilidad",(Q162-(+Q162*AB162)),IF(Y162="Impacto",Q162,"")),"")</f>
        <v>0.12</v>
      </c>
      <c r="AG162" s="188" t="str">
        <f t="shared" si="421"/>
        <v>Muy Baja</v>
      </c>
      <c r="AH162" s="186">
        <f t="shared" si="422"/>
        <v>0.12</v>
      </c>
      <c r="AI162" s="188" t="str">
        <f t="shared" ca="1" si="423"/>
        <v>Moderado</v>
      </c>
      <c r="AJ162" s="186">
        <f t="shared" ref="AJ162" ca="1" si="465">IFERROR(IF(Y162="Impacto",(U162-(+U162*AB162)),IF(Y162="Probabilidad",U162,"")),"")</f>
        <v>0.6</v>
      </c>
      <c r="AK162" s="189" t="str">
        <f t="shared" ca="1" si="425"/>
        <v>Moderado</v>
      </c>
      <c r="AL162" s="185" t="s">
        <v>255</v>
      </c>
      <c r="AM162" s="227"/>
      <c r="AN162" s="230"/>
      <c r="AO162" s="228"/>
      <c r="AP162" s="228"/>
      <c r="AQ162" s="227"/>
      <c r="AR162" s="229"/>
    </row>
    <row r="163" spans="1:44" s="191" customFormat="1" ht="114" customHeight="1" thickTop="1" thickBot="1" x14ac:dyDescent="0.3">
      <c r="A163" s="328">
        <v>68</v>
      </c>
      <c r="B163" s="329" t="s">
        <v>786</v>
      </c>
      <c r="C163" s="335" t="s">
        <v>276</v>
      </c>
      <c r="D163" s="335" t="s">
        <v>787</v>
      </c>
      <c r="E163" s="335" t="s">
        <v>240</v>
      </c>
      <c r="F163" s="336" t="s">
        <v>788</v>
      </c>
      <c r="G163" s="336" t="s">
        <v>1097</v>
      </c>
      <c r="H163" s="337" t="s">
        <v>789</v>
      </c>
      <c r="I163" s="338" t="s">
        <v>474</v>
      </c>
      <c r="J163" s="338" t="s">
        <v>474</v>
      </c>
      <c r="K163" s="338" t="s">
        <v>474</v>
      </c>
      <c r="L163" s="338" t="s">
        <v>474</v>
      </c>
      <c r="M163" s="333" t="s">
        <v>241</v>
      </c>
      <c r="N163" s="333"/>
      <c r="O163" s="339">
        <v>365</v>
      </c>
      <c r="P163" s="340" t="str">
        <f t="shared" si="459"/>
        <v>Media</v>
      </c>
      <c r="Q163" s="341">
        <f t="shared" si="460"/>
        <v>0.6</v>
      </c>
      <c r="R163" s="341" t="s">
        <v>190</v>
      </c>
      <c r="S163" s="341" t="str">
        <f ca="1">IF(NOT(ISERROR(MATCH(R163,'Tabla Impacto'!$B$221:$B$223,0))),'Tabla Impacto'!$F$223&amp;"Por favor no seleccionar los criterios de impacto(Afectación Económica o presupuestal y Pérdida Reputacional)",R163)</f>
        <v>El riesgo afecta la imagen de la entidad con algunos usuarios de relevancia frente al logro de los objetivos</v>
      </c>
      <c r="T163" s="340" t="str">
        <f ca="1">+IF(OR(S163='[1]Tabla Impacto'!$C$11,S163='[1]Tabla Impacto'!$D$11),"Leve",IF(OR(S163='[1]Tabla Impacto'!$C$12,S163='[1]Tabla Impacto'!$D$12),"Menor",IF(OR(S163='[1]Tabla Impacto'!$C$13,S163='[1]Tabla Impacto'!$D$13),"Moderado",IF(OR(S163='[1]Tabla Impacto'!$C$14,S163='[1]Tabla Impacto'!$D$14),"Mayor",IF(OR(S163='[1]Tabla Impacto'!$C$15,S163='[1]Tabla Impacto'!$D$15),"Catastrófico","")))))</f>
        <v>Moderado</v>
      </c>
      <c r="U163" s="341">
        <f t="shared" ref="U163" ca="1" si="466">IF(T163="","",IF(T163="Leve",0.2,IF(T163="Menor",0.4,IF(T163="Moderado",0.6,IF(T163="Mayor",0.8,IF(T163="Catastrófico",1,))))))</f>
        <v>0.6</v>
      </c>
      <c r="V163" s="327" t="str">
        <f t="shared" ref="V163" ca="1" si="467">IF(OR(AND(P163="Muy Baja",T163="Leve"),AND(P163="Muy Baja",T163="Menor"),AND(P163="Baja",T163="Leve")),"Bajo",IF(OR(AND(P163="Muy baja",T163="Moderado"),AND(P163="Baja",T163="Menor"),AND(P163="Baja",T163="Moderado"),AND(P163="Media",T163="Leve"),AND(P163="Media",T163="Menor"),AND(P163="Media",T163="Moderado"),AND(P163="Alta",T163="Leve"),AND(P163="Alta",T163="Menor")),"Moderado",IF(OR(AND(P163="Muy Baja",T163="Mayor"),AND(P163="Baja",T163="Mayor"),AND(P163="Media",T163="Mayor"),AND(P163="Alta",T163="Moderado"),AND(P163="Alta",T163="Mayor"),AND(P163="Muy Alta",T163="Leve"),AND(P163="Muy Alta",T163="Menor"),AND(P163="Muy Alta",T163="Moderado"),AND(P163="Muy Alta",T163="Mayor")),"Alto",IF(OR(AND(P163="Muy Baja",T163="Catastrófico"),AND(P163="Baja",T163="Catastrófico"),AND(P163="Media",T163="Catastrófico"),AND(P163="Alta",T163="Catastrófico"),AND(P163="Muy Alta",T163="Catastrófico")),"Extremo",""))))</f>
        <v>Moderado</v>
      </c>
      <c r="W163" s="233">
        <v>1</v>
      </c>
      <c r="X163" s="207" t="s">
        <v>790</v>
      </c>
      <c r="Y163" s="230" t="str">
        <f t="shared" si="419"/>
        <v>Probabilidad</v>
      </c>
      <c r="Z163" s="185" t="s">
        <v>208</v>
      </c>
      <c r="AA163" s="185" t="s">
        <v>216</v>
      </c>
      <c r="AB163" s="186" t="str">
        <f t="shared" si="463"/>
        <v>40%</v>
      </c>
      <c r="AC163" s="185" t="s">
        <v>219</v>
      </c>
      <c r="AD163" s="185" t="s">
        <v>224</v>
      </c>
      <c r="AE163" s="185" t="s">
        <v>228</v>
      </c>
      <c r="AF163" s="187">
        <f t="shared" ref="AF163" si="468">IFERROR(IF(Y163="Probabilidad",(Q163-(+Q163*AB163)),IF(Y163="Impacto",Q163,"")),"")</f>
        <v>0.36</v>
      </c>
      <c r="AG163" s="188" t="str">
        <f t="shared" si="421"/>
        <v>Baja</v>
      </c>
      <c r="AH163" s="186">
        <f t="shared" si="422"/>
        <v>0.36</v>
      </c>
      <c r="AI163" s="188" t="str">
        <f t="shared" ca="1" si="423"/>
        <v>Moderado</v>
      </c>
      <c r="AJ163" s="186">
        <f t="shared" ref="AJ163" ca="1" si="469">IFERROR(IF(Y163="Impacto",(U163-(+U163*AB163)),IF(Y163="Probabilidad",U163,"")),"")</f>
        <v>0.6</v>
      </c>
      <c r="AK163" s="189" t="str">
        <f t="shared" ca="1" si="425"/>
        <v>Moderado</v>
      </c>
      <c r="AL163" s="185" t="s">
        <v>255</v>
      </c>
      <c r="AM163" s="227"/>
      <c r="AN163" s="230"/>
      <c r="AO163" s="228"/>
      <c r="AP163" s="228"/>
      <c r="AQ163" s="227"/>
      <c r="AR163" s="229"/>
    </row>
    <row r="164" spans="1:44" s="191" customFormat="1" ht="108" customHeight="1" thickTop="1" thickBot="1" x14ac:dyDescent="0.3">
      <c r="A164" s="328"/>
      <c r="B164" s="329"/>
      <c r="C164" s="335"/>
      <c r="D164" s="335"/>
      <c r="E164" s="335"/>
      <c r="F164" s="336"/>
      <c r="G164" s="336"/>
      <c r="H164" s="337"/>
      <c r="I164" s="338"/>
      <c r="J164" s="338"/>
      <c r="K164" s="338"/>
      <c r="L164" s="338"/>
      <c r="M164" s="333"/>
      <c r="N164" s="333"/>
      <c r="O164" s="339"/>
      <c r="P164" s="340"/>
      <c r="Q164" s="341"/>
      <c r="R164" s="341"/>
      <c r="S164" s="341">
        <f ca="1">IF(NOT(ISERROR(MATCH(R164,_xlfn.ANCHORARRAY(H172),0))),#REF!&amp;"Por favor no seleccionar los criterios de impacto",R164)</f>
        <v>0</v>
      </c>
      <c r="T164" s="340"/>
      <c r="U164" s="341"/>
      <c r="V164" s="327"/>
      <c r="W164" s="233">
        <v>2</v>
      </c>
      <c r="X164" s="207" t="s">
        <v>791</v>
      </c>
      <c r="Y164" s="230" t="str">
        <f t="shared" si="419"/>
        <v>Probabilidad</v>
      </c>
      <c r="Z164" s="185" t="s">
        <v>208</v>
      </c>
      <c r="AA164" s="185" t="s">
        <v>216</v>
      </c>
      <c r="AB164" s="186" t="str">
        <f t="shared" si="463"/>
        <v>40%</v>
      </c>
      <c r="AC164" s="185" t="s">
        <v>219</v>
      </c>
      <c r="AD164" s="185" t="s">
        <v>224</v>
      </c>
      <c r="AE164" s="185" t="s">
        <v>228</v>
      </c>
      <c r="AF164" s="187">
        <f t="shared" ref="AF164:AF167" si="470">IFERROR(IF(AND(Y163="Probabilidad",Y164="Probabilidad"),(AH163-(+AH163*AB164)),IF(Y164="Probabilidad",(Q163-(+Q163*AB164)),IF(Y164="Impacto",AH163,""))),"")</f>
        <v>0.216</v>
      </c>
      <c r="AG164" s="188" t="str">
        <f t="shared" si="421"/>
        <v>Baja</v>
      </c>
      <c r="AH164" s="186">
        <f t="shared" si="422"/>
        <v>0.216</v>
      </c>
      <c r="AI164" s="188" t="str">
        <f t="shared" ca="1" si="423"/>
        <v>Moderado</v>
      </c>
      <c r="AJ164" s="186">
        <f t="shared" ref="AJ164" ca="1" si="471">IFERROR(IF(AND(Y163="Impacto",Y164="Impacto"),(AJ163-(+AJ163*AB164)),IF(Y164="Impacto",(U163-(+U163*AB164)),IF(Y164="Probabilidad",AJ163,""))),"")</f>
        <v>0.6</v>
      </c>
      <c r="AK164" s="189" t="str">
        <f t="shared" ca="1" si="425"/>
        <v>Moderado</v>
      </c>
      <c r="AL164" s="185" t="s">
        <v>255</v>
      </c>
      <c r="AM164" s="227"/>
      <c r="AN164" s="230"/>
      <c r="AO164" s="228"/>
      <c r="AP164" s="228"/>
      <c r="AQ164" s="227"/>
      <c r="AR164" s="229"/>
    </row>
    <row r="165" spans="1:44" s="191" customFormat="1" ht="109.5" customHeight="1" thickTop="1" thickBot="1" x14ac:dyDescent="0.3">
      <c r="A165" s="328"/>
      <c r="B165" s="329"/>
      <c r="C165" s="335"/>
      <c r="D165" s="335"/>
      <c r="E165" s="335"/>
      <c r="F165" s="336"/>
      <c r="G165" s="336"/>
      <c r="H165" s="337"/>
      <c r="I165" s="338"/>
      <c r="J165" s="338"/>
      <c r="K165" s="338"/>
      <c r="L165" s="338"/>
      <c r="M165" s="333"/>
      <c r="N165" s="333"/>
      <c r="O165" s="339"/>
      <c r="P165" s="340"/>
      <c r="Q165" s="341"/>
      <c r="R165" s="341"/>
      <c r="S165" s="341">
        <f ca="1">IF(NOT(ISERROR(MATCH(R165,_xlfn.ANCHORARRAY(H173),0))),#REF!&amp;"Por favor no seleccionar los criterios de impacto",R165)</f>
        <v>0</v>
      </c>
      <c r="T165" s="340"/>
      <c r="U165" s="341"/>
      <c r="V165" s="327"/>
      <c r="W165" s="233">
        <v>3</v>
      </c>
      <c r="X165" s="207" t="s">
        <v>792</v>
      </c>
      <c r="Y165" s="230" t="str">
        <f t="shared" si="419"/>
        <v>Probabilidad</v>
      </c>
      <c r="Z165" s="185" t="s">
        <v>210</v>
      </c>
      <c r="AA165" s="185" t="s">
        <v>216</v>
      </c>
      <c r="AB165" s="186" t="str">
        <f t="shared" si="463"/>
        <v>30%</v>
      </c>
      <c r="AC165" s="185" t="s">
        <v>219</v>
      </c>
      <c r="AD165" s="185" t="s">
        <v>224</v>
      </c>
      <c r="AE165" s="185" t="s">
        <v>228</v>
      </c>
      <c r="AF165" s="187">
        <f t="shared" si="470"/>
        <v>0.1512</v>
      </c>
      <c r="AG165" s="188" t="str">
        <f t="shared" si="421"/>
        <v>Muy Baja</v>
      </c>
      <c r="AH165" s="186">
        <f t="shared" si="422"/>
        <v>0.1512</v>
      </c>
      <c r="AI165" s="188" t="str">
        <f t="shared" ca="1" si="423"/>
        <v>Moderado</v>
      </c>
      <c r="AJ165" s="186">
        <f t="shared" ref="AJ165:AJ167" ca="1" si="472">IFERROR(IF(AND(Y164="Impacto",Y165="Impacto"),(AJ164-(+AJ164*AB165)),IF(AND(Y164="Probabilidad",Y165="Impacto"),(AJ163-(+AJ163*AB165)),IF(Y165="Probabilidad",AJ164,""))),"")</f>
        <v>0.6</v>
      </c>
      <c r="AK165" s="189" t="str">
        <f t="shared" ca="1" si="425"/>
        <v>Moderado</v>
      </c>
      <c r="AL165" s="185" t="s">
        <v>255</v>
      </c>
      <c r="AM165" s="227"/>
      <c r="AN165" s="230"/>
      <c r="AO165" s="228"/>
      <c r="AP165" s="228"/>
      <c r="AQ165" s="227"/>
      <c r="AR165" s="229"/>
    </row>
    <row r="166" spans="1:44" s="191" customFormat="1" ht="105.75" customHeight="1" thickTop="1" thickBot="1" x14ac:dyDescent="0.3">
      <c r="A166" s="328"/>
      <c r="B166" s="329"/>
      <c r="C166" s="335"/>
      <c r="D166" s="335"/>
      <c r="E166" s="335"/>
      <c r="F166" s="336"/>
      <c r="G166" s="336"/>
      <c r="H166" s="337"/>
      <c r="I166" s="338"/>
      <c r="J166" s="338"/>
      <c r="K166" s="338"/>
      <c r="L166" s="338"/>
      <c r="M166" s="333"/>
      <c r="N166" s="333"/>
      <c r="O166" s="339"/>
      <c r="P166" s="340"/>
      <c r="Q166" s="341"/>
      <c r="R166" s="341"/>
      <c r="S166" s="341">
        <f ca="1">IF(NOT(ISERROR(MATCH(R166,_xlfn.ANCHORARRAY(#REF!),0))),#REF!&amp;"Por favor no seleccionar los criterios de impacto",R166)</f>
        <v>0</v>
      </c>
      <c r="T166" s="340"/>
      <c r="U166" s="341"/>
      <c r="V166" s="327"/>
      <c r="W166" s="233">
        <v>4</v>
      </c>
      <c r="X166" s="207" t="s">
        <v>793</v>
      </c>
      <c r="Y166" s="230" t="str">
        <f t="shared" si="419"/>
        <v>Probabilidad</v>
      </c>
      <c r="Z166" s="185" t="s">
        <v>210</v>
      </c>
      <c r="AA166" s="185" t="s">
        <v>216</v>
      </c>
      <c r="AB166" s="186" t="str">
        <f t="shared" si="463"/>
        <v>30%</v>
      </c>
      <c r="AC166" s="185" t="s">
        <v>219</v>
      </c>
      <c r="AD166" s="185" t="s">
        <v>224</v>
      </c>
      <c r="AE166" s="185" t="s">
        <v>228</v>
      </c>
      <c r="AF166" s="187">
        <f t="shared" si="470"/>
        <v>0.10584</v>
      </c>
      <c r="AG166" s="188" t="str">
        <f t="shared" si="421"/>
        <v>Muy Baja</v>
      </c>
      <c r="AH166" s="186">
        <f t="shared" si="422"/>
        <v>0.10584</v>
      </c>
      <c r="AI166" s="188" t="str">
        <f t="shared" ca="1" si="423"/>
        <v>Moderado</v>
      </c>
      <c r="AJ166" s="186">
        <f t="shared" ca="1" si="472"/>
        <v>0.6</v>
      </c>
      <c r="AK166" s="189" t="str">
        <f t="shared" ca="1" si="425"/>
        <v>Moderado</v>
      </c>
      <c r="AL166" s="185" t="s">
        <v>255</v>
      </c>
      <c r="AM166" s="227"/>
      <c r="AN166" s="230"/>
      <c r="AO166" s="228"/>
      <c r="AP166" s="228"/>
      <c r="AQ166" s="227"/>
      <c r="AR166" s="229"/>
    </row>
    <row r="167" spans="1:44" s="191" customFormat="1" ht="138.75" customHeight="1" thickTop="1" thickBot="1" x14ac:dyDescent="0.3">
      <c r="A167" s="328"/>
      <c r="B167" s="329"/>
      <c r="C167" s="335"/>
      <c r="D167" s="335"/>
      <c r="E167" s="335"/>
      <c r="F167" s="336"/>
      <c r="G167" s="336"/>
      <c r="H167" s="337"/>
      <c r="I167" s="338"/>
      <c r="J167" s="338"/>
      <c r="K167" s="338"/>
      <c r="L167" s="338"/>
      <c r="M167" s="333"/>
      <c r="N167" s="333"/>
      <c r="O167" s="339"/>
      <c r="P167" s="340"/>
      <c r="Q167" s="341"/>
      <c r="R167" s="341"/>
      <c r="S167" s="341">
        <f ca="1">IF(NOT(ISERROR(MATCH(R167,_xlfn.ANCHORARRAY(#REF!),0))),#REF!&amp;"Por favor no seleccionar los criterios de impacto",R167)</f>
        <v>0</v>
      </c>
      <c r="T167" s="340"/>
      <c r="U167" s="341"/>
      <c r="V167" s="327"/>
      <c r="W167" s="233">
        <v>5</v>
      </c>
      <c r="X167" s="207" t="s">
        <v>794</v>
      </c>
      <c r="Y167" s="230" t="str">
        <f t="shared" si="419"/>
        <v>Impacto</v>
      </c>
      <c r="Z167" s="185" t="s">
        <v>212</v>
      </c>
      <c r="AA167" s="185" t="s">
        <v>216</v>
      </c>
      <c r="AB167" s="186" t="str">
        <f t="shared" si="463"/>
        <v>25%</v>
      </c>
      <c r="AC167" s="185" t="s">
        <v>219</v>
      </c>
      <c r="AD167" s="185" t="s">
        <v>224</v>
      </c>
      <c r="AE167" s="185" t="s">
        <v>228</v>
      </c>
      <c r="AF167" s="187">
        <f t="shared" si="470"/>
        <v>0.10584</v>
      </c>
      <c r="AG167" s="188" t="str">
        <f t="shared" si="421"/>
        <v>Muy Baja</v>
      </c>
      <c r="AH167" s="186">
        <f t="shared" si="422"/>
        <v>0.10584</v>
      </c>
      <c r="AI167" s="188" t="str">
        <f t="shared" ca="1" si="423"/>
        <v>Moderado</v>
      </c>
      <c r="AJ167" s="186">
        <f t="shared" ca="1" si="472"/>
        <v>0.44999999999999996</v>
      </c>
      <c r="AK167" s="189" t="str">
        <f t="shared" ca="1" si="425"/>
        <v>Moderado</v>
      </c>
      <c r="AL167" s="185" t="s">
        <v>255</v>
      </c>
      <c r="AM167" s="227"/>
      <c r="AN167" s="230"/>
      <c r="AO167" s="228"/>
      <c r="AP167" s="228"/>
      <c r="AQ167" s="227"/>
      <c r="AR167" s="229"/>
    </row>
    <row r="168" spans="1:44" s="191" customFormat="1" ht="134.25" customHeight="1" thickTop="1" thickBot="1" x14ac:dyDescent="0.3">
      <c r="A168" s="328">
        <v>69</v>
      </c>
      <c r="B168" s="329" t="s">
        <v>795</v>
      </c>
      <c r="C168" s="335" t="s">
        <v>276</v>
      </c>
      <c r="D168" s="335" t="s">
        <v>787</v>
      </c>
      <c r="E168" s="335" t="s">
        <v>236</v>
      </c>
      <c r="F168" s="336" t="s">
        <v>796</v>
      </c>
      <c r="G168" s="336" t="s">
        <v>797</v>
      </c>
      <c r="H168" s="337" t="s">
        <v>1164</v>
      </c>
      <c r="I168" s="338" t="s">
        <v>474</v>
      </c>
      <c r="J168" s="338" t="s">
        <v>474</v>
      </c>
      <c r="K168" s="338" t="s">
        <v>474</v>
      </c>
      <c r="L168" s="338" t="s">
        <v>474</v>
      </c>
      <c r="M168" s="333" t="s">
        <v>241</v>
      </c>
      <c r="N168" s="333"/>
      <c r="O168" s="339">
        <v>365</v>
      </c>
      <c r="P168" s="340" t="str">
        <f t="shared" si="459"/>
        <v>Media</v>
      </c>
      <c r="Q168" s="341">
        <f t="shared" si="460"/>
        <v>0.6</v>
      </c>
      <c r="R168" s="341" t="s">
        <v>186</v>
      </c>
      <c r="S168" s="341" t="str">
        <f ca="1">IF(NOT(ISERROR(MATCH(R168,'Tabla Impacto'!$B$221:$B$223,0))),'Tabla Impacto'!$F$223&amp;"Por favor no seleccionar los criterios de impacto(Afectación Económica o presupuestal y Pérdida Reputacional)",R168)</f>
        <v xml:space="preserve">Entre 10 y 50 SMLMV </v>
      </c>
      <c r="T168" s="340" t="str">
        <f ca="1">+IF(OR(S168='[1]Tabla Impacto'!$C$11,S168='[1]Tabla Impacto'!$D$11),"Leve",IF(OR(S168='[1]Tabla Impacto'!$C$12,S168='[1]Tabla Impacto'!$D$12),"Menor",IF(OR(S168='[1]Tabla Impacto'!$C$13,S168='[1]Tabla Impacto'!$D$13),"Moderado",IF(OR(S168='[1]Tabla Impacto'!$C$14,S168='[1]Tabla Impacto'!$D$14),"Mayor",IF(OR(S168='[1]Tabla Impacto'!$C$15,S168='[1]Tabla Impacto'!$D$15),"Catastrófico","")))))</f>
        <v>Menor</v>
      </c>
      <c r="U168" s="341">
        <f t="shared" ref="U168" ca="1" si="473">IF(T168="","",IF(T168="Leve",0.2,IF(T168="Menor",0.4,IF(T168="Moderado",0.6,IF(T168="Mayor",0.8,IF(T168="Catastrófico",1,))))))</f>
        <v>0.4</v>
      </c>
      <c r="V168" s="327" t="str">
        <f t="shared" ref="V168" ca="1" si="474">IF(OR(AND(P168="Muy Baja",T168="Leve"),AND(P168="Muy Baja",T168="Menor"),AND(P168="Baja",T168="Leve")),"Bajo",IF(OR(AND(P168="Muy baja",T168="Moderado"),AND(P168="Baja",T168="Menor"),AND(P168="Baja",T168="Moderado"),AND(P168="Media",T168="Leve"),AND(P168="Media",T168="Menor"),AND(P168="Media",T168="Moderado"),AND(P168="Alta",T168="Leve"),AND(P168="Alta",T168="Menor")),"Moderado",IF(OR(AND(P168="Muy Baja",T168="Mayor"),AND(P168="Baja",T168="Mayor"),AND(P168="Media",T168="Mayor"),AND(P168="Alta",T168="Moderado"),AND(P168="Alta",T168="Mayor"),AND(P168="Muy Alta",T168="Leve"),AND(P168="Muy Alta",T168="Menor"),AND(P168="Muy Alta",T168="Moderado"),AND(P168="Muy Alta",T168="Mayor")),"Alto",IF(OR(AND(P168="Muy Baja",T168="Catastrófico"),AND(P168="Baja",T168="Catastrófico"),AND(P168="Media",T168="Catastrófico"),AND(P168="Alta",T168="Catastrófico"),AND(P168="Muy Alta",T168="Catastrófico")),"Extremo",""))))</f>
        <v>Moderado</v>
      </c>
      <c r="W168" s="233">
        <v>1</v>
      </c>
      <c r="X168" s="207" t="s">
        <v>798</v>
      </c>
      <c r="Y168" s="230" t="str">
        <f t="shared" si="419"/>
        <v>Probabilidad</v>
      </c>
      <c r="Z168" s="185" t="s">
        <v>208</v>
      </c>
      <c r="AA168" s="185" t="s">
        <v>216</v>
      </c>
      <c r="AB168" s="186" t="str">
        <f t="shared" si="463"/>
        <v>40%</v>
      </c>
      <c r="AC168" s="185" t="s">
        <v>219</v>
      </c>
      <c r="AD168" s="185" t="s">
        <v>224</v>
      </c>
      <c r="AE168" s="185" t="s">
        <v>228</v>
      </c>
      <c r="AF168" s="187">
        <f t="shared" ref="AF168" si="475">IFERROR(IF(Y168="Probabilidad",(Q168-(+Q168*AB168)),IF(Y168="Impacto",Q168,"")),"")</f>
        <v>0.36</v>
      </c>
      <c r="AG168" s="188" t="str">
        <f t="shared" si="421"/>
        <v>Baja</v>
      </c>
      <c r="AH168" s="186">
        <f t="shared" si="422"/>
        <v>0.36</v>
      </c>
      <c r="AI168" s="188" t="str">
        <f t="shared" ca="1" si="423"/>
        <v>Menor</v>
      </c>
      <c r="AJ168" s="186">
        <f t="shared" ref="AJ168" ca="1" si="476">IFERROR(IF(Y168="Impacto",(U168-(+U168*AB168)),IF(Y168="Probabilidad",U168,"")),"")</f>
        <v>0.4</v>
      </c>
      <c r="AK168" s="189" t="str">
        <f t="shared" ca="1" si="425"/>
        <v>Moderado</v>
      </c>
      <c r="AL168" s="185" t="s">
        <v>255</v>
      </c>
      <c r="AM168" s="227"/>
      <c r="AN168" s="230"/>
      <c r="AO168" s="228"/>
      <c r="AP168" s="228"/>
      <c r="AQ168" s="227"/>
      <c r="AR168" s="229"/>
    </row>
    <row r="169" spans="1:44" s="191" customFormat="1" ht="157.5" customHeight="1" thickTop="1" thickBot="1" x14ac:dyDescent="0.3">
      <c r="A169" s="328"/>
      <c r="B169" s="329"/>
      <c r="C169" s="335"/>
      <c r="D169" s="335"/>
      <c r="E169" s="335"/>
      <c r="F169" s="336"/>
      <c r="G169" s="336"/>
      <c r="H169" s="337"/>
      <c r="I169" s="338"/>
      <c r="J169" s="338"/>
      <c r="K169" s="338"/>
      <c r="L169" s="338"/>
      <c r="M169" s="333"/>
      <c r="N169" s="333"/>
      <c r="O169" s="339"/>
      <c r="P169" s="340"/>
      <c r="Q169" s="341"/>
      <c r="R169" s="341"/>
      <c r="S169" s="341">
        <f ca="1">IF(NOT(ISERROR(MATCH(R169,_xlfn.ANCHORARRAY(H174),0))),Q176&amp;"Por favor no seleccionar los criterios de impacto",R169)</f>
        <v>0</v>
      </c>
      <c r="T169" s="340"/>
      <c r="U169" s="341"/>
      <c r="V169" s="327"/>
      <c r="W169" s="233">
        <v>2</v>
      </c>
      <c r="X169" s="207" t="s">
        <v>799</v>
      </c>
      <c r="Y169" s="230" t="str">
        <f t="shared" si="419"/>
        <v>Probabilidad</v>
      </c>
      <c r="Z169" s="185" t="s">
        <v>208</v>
      </c>
      <c r="AA169" s="185" t="s">
        <v>216</v>
      </c>
      <c r="AB169" s="186" t="str">
        <f t="shared" si="463"/>
        <v>40%</v>
      </c>
      <c r="AC169" s="185" t="s">
        <v>219</v>
      </c>
      <c r="AD169" s="185" t="s">
        <v>224</v>
      </c>
      <c r="AE169" s="185" t="s">
        <v>228</v>
      </c>
      <c r="AF169" s="187">
        <f t="shared" ref="AF169:AF171" si="477">IFERROR(IF(AND(Y168="Probabilidad",Y169="Probabilidad"),(AH168-(+AH168*AB169)),IF(Y169="Probabilidad",(Q168-(+Q168*AB169)),IF(Y169="Impacto",AH168,""))),"")</f>
        <v>0.216</v>
      </c>
      <c r="AG169" s="188" t="str">
        <f t="shared" si="421"/>
        <v>Baja</v>
      </c>
      <c r="AH169" s="186">
        <f t="shared" si="422"/>
        <v>0.216</v>
      </c>
      <c r="AI169" s="188" t="str">
        <f t="shared" ca="1" si="423"/>
        <v>Menor</v>
      </c>
      <c r="AJ169" s="186">
        <f t="shared" ref="AJ169" ca="1" si="478">IFERROR(IF(AND(Y168="Impacto",Y169="Impacto"),(AJ168-(+AJ168*AB169)),IF(Y169="Impacto",(U168-(+U168*AB169)),IF(Y169="Probabilidad",AJ168,""))),"")</f>
        <v>0.4</v>
      </c>
      <c r="AK169" s="189" t="str">
        <f t="shared" ca="1" si="425"/>
        <v>Moderado</v>
      </c>
      <c r="AL169" s="185" t="s">
        <v>255</v>
      </c>
      <c r="AM169" s="227"/>
      <c r="AN169" s="230"/>
      <c r="AO169" s="228"/>
      <c r="AP169" s="228"/>
      <c r="AQ169" s="227"/>
      <c r="AR169" s="229"/>
    </row>
    <row r="170" spans="1:44" s="191" customFormat="1" ht="115.5" customHeight="1" thickTop="1" thickBot="1" x14ac:dyDescent="0.3">
      <c r="A170" s="328"/>
      <c r="B170" s="329"/>
      <c r="C170" s="335"/>
      <c r="D170" s="335"/>
      <c r="E170" s="335"/>
      <c r="F170" s="336"/>
      <c r="G170" s="336"/>
      <c r="H170" s="337"/>
      <c r="I170" s="338"/>
      <c r="J170" s="338"/>
      <c r="K170" s="338"/>
      <c r="L170" s="338"/>
      <c r="M170" s="333"/>
      <c r="N170" s="333"/>
      <c r="O170" s="339"/>
      <c r="P170" s="340"/>
      <c r="Q170" s="341"/>
      <c r="R170" s="341"/>
      <c r="S170" s="341">
        <f ca="1">IF(NOT(ISERROR(MATCH(R170,_xlfn.ANCHORARRAY(H175),0))),Q177&amp;"Por favor no seleccionar los criterios de impacto",R170)</f>
        <v>0</v>
      </c>
      <c r="T170" s="340"/>
      <c r="U170" s="341"/>
      <c r="V170" s="327"/>
      <c r="W170" s="233">
        <v>3</v>
      </c>
      <c r="X170" s="207" t="s">
        <v>800</v>
      </c>
      <c r="Y170" s="230" t="str">
        <f t="shared" si="419"/>
        <v>Probabilidad</v>
      </c>
      <c r="Z170" s="185" t="s">
        <v>208</v>
      </c>
      <c r="AA170" s="185" t="s">
        <v>216</v>
      </c>
      <c r="AB170" s="186" t="str">
        <f t="shared" si="463"/>
        <v>40%</v>
      </c>
      <c r="AC170" s="185" t="s">
        <v>219</v>
      </c>
      <c r="AD170" s="185" t="s">
        <v>224</v>
      </c>
      <c r="AE170" s="185" t="s">
        <v>228</v>
      </c>
      <c r="AF170" s="187">
        <f t="shared" si="477"/>
        <v>0.12959999999999999</v>
      </c>
      <c r="AG170" s="188" t="str">
        <f t="shared" si="421"/>
        <v>Muy Baja</v>
      </c>
      <c r="AH170" s="186">
        <f t="shared" si="422"/>
        <v>0.12959999999999999</v>
      </c>
      <c r="AI170" s="188" t="str">
        <f t="shared" ca="1" si="423"/>
        <v>Menor</v>
      </c>
      <c r="AJ170" s="186">
        <f t="shared" ref="AJ170:AJ171" ca="1" si="479">IFERROR(IF(AND(Y169="Impacto",Y170="Impacto"),(AJ169-(+AJ169*AB170)),IF(AND(Y169="Probabilidad",Y170="Impacto"),(AJ168-(+AJ168*AB170)),IF(Y170="Probabilidad",AJ169,""))),"")</f>
        <v>0.4</v>
      </c>
      <c r="AK170" s="189" t="str">
        <f t="shared" ca="1" si="425"/>
        <v>Bajo</v>
      </c>
      <c r="AL170" s="185" t="s">
        <v>255</v>
      </c>
      <c r="AM170" s="227"/>
      <c r="AN170" s="230"/>
      <c r="AO170" s="228"/>
      <c r="AP170" s="228"/>
      <c r="AQ170" s="227"/>
      <c r="AR170" s="229"/>
    </row>
    <row r="171" spans="1:44" s="191" customFormat="1" ht="132" customHeight="1" thickTop="1" thickBot="1" x14ac:dyDescent="0.3">
      <c r="A171" s="328"/>
      <c r="B171" s="329"/>
      <c r="C171" s="335"/>
      <c r="D171" s="335"/>
      <c r="E171" s="335"/>
      <c r="F171" s="336"/>
      <c r="G171" s="336"/>
      <c r="H171" s="337"/>
      <c r="I171" s="338"/>
      <c r="J171" s="338"/>
      <c r="K171" s="338"/>
      <c r="L171" s="338"/>
      <c r="M171" s="333"/>
      <c r="N171" s="333"/>
      <c r="O171" s="339"/>
      <c r="P171" s="340"/>
      <c r="Q171" s="341"/>
      <c r="R171" s="341"/>
      <c r="S171" s="341">
        <f ca="1">IF(NOT(ISERROR(MATCH(R171,_xlfn.ANCHORARRAY(H176),0))),#REF!&amp;"Por favor no seleccionar los criterios de impacto",R171)</f>
        <v>0</v>
      </c>
      <c r="T171" s="340"/>
      <c r="U171" s="341"/>
      <c r="V171" s="327"/>
      <c r="W171" s="233">
        <v>4</v>
      </c>
      <c r="X171" s="207" t="s">
        <v>801</v>
      </c>
      <c r="Y171" s="230" t="str">
        <f t="shared" si="419"/>
        <v>Probabilidad</v>
      </c>
      <c r="Z171" s="185" t="s">
        <v>208</v>
      </c>
      <c r="AA171" s="185" t="s">
        <v>216</v>
      </c>
      <c r="AB171" s="186" t="str">
        <f t="shared" si="463"/>
        <v>40%</v>
      </c>
      <c r="AC171" s="185" t="s">
        <v>219</v>
      </c>
      <c r="AD171" s="185" t="s">
        <v>224</v>
      </c>
      <c r="AE171" s="185" t="s">
        <v>228</v>
      </c>
      <c r="AF171" s="187">
        <f t="shared" si="477"/>
        <v>7.7759999999999996E-2</v>
      </c>
      <c r="AG171" s="188" t="str">
        <f t="shared" si="421"/>
        <v>Muy Baja</v>
      </c>
      <c r="AH171" s="186">
        <f t="shared" si="422"/>
        <v>7.7759999999999996E-2</v>
      </c>
      <c r="AI171" s="188" t="str">
        <f t="shared" ca="1" si="423"/>
        <v>Menor</v>
      </c>
      <c r="AJ171" s="186">
        <f t="shared" ca="1" si="479"/>
        <v>0.4</v>
      </c>
      <c r="AK171" s="189" t="str">
        <f t="shared" ca="1" si="425"/>
        <v>Bajo</v>
      </c>
      <c r="AL171" s="185" t="s">
        <v>255</v>
      </c>
      <c r="AM171" s="227"/>
      <c r="AN171" s="230"/>
      <c r="AO171" s="228"/>
      <c r="AP171" s="228"/>
      <c r="AQ171" s="227"/>
      <c r="AR171" s="229"/>
    </row>
    <row r="172" spans="1:44" s="191" customFormat="1" ht="156.75" customHeight="1" thickTop="1" thickBot="1" x14ac:dyDescent="0.3">
      <c r="A172" s="328">
        <v>70</v>
      </c>
      <c r="B172" s="329" t="s">
        <v>802</v>
      </c>
      <c r="C172" s="335" t="s">
        <v>276</v>
      </c>
      <c r="D172" s="335" t="s">
        <v>970</v>
      </c>
      <c r="E172" s="335" t="s">
        <v>240</v>
      </c>
      <c r="F172" s="336" t="s">
        <v>803</v>
      </c>
      <c r="G172" s="336" t="s">
        <v>804</v>
      </c>
      <c r="H172" s="337" t="s">
        <v>1165</v>
      </c>
      <c r="I172" s="338" t="s">
        <v>474</v>
      </c>
      <c r="J172" s="338" t="s">
        <v>474</v>
      </c>
      <c r="K172" s="338" t="s">
        <v>474</v>
      </c>
      <c r="L172" s="338" t="s">
        <v>474</v>
      </c>
      <c r="M172" s="333" t="s">
        <v>239</v>
      </c>
      <c r="N172" s="333"/>
      <c r="O172" s="339">
        <v>365</v>
      </c>
      <c r="P172" s="340" t="str">
        <f t="shared" si="459"/>
        <v>Media</v>
      </c>
      <c r="Q172" s="341">
        <f t="shared" si="460"/>
        <v>0.6</v>
      </c>
      <c r="R172" s="341" t="s">
        <v>190</v>
      </c>
      <c r="S172" s="341" t="str">
        <f ca="1">IF(NOT(ISERROR(MATCH(R172,'Tabla Impacto'!$B$221:$B$223,0))),'Tabla Impacto'!$F$223&amp;"Por favor no seleccionar los criterios de impacto(Afectación Económica o presupuestal y Pérdida Reputacional)",R172)</f>
        <v>El riesgo afecta la imagen de la entidad con algunos usuarios de relevancia frente al logro de los objetivos</v>
      </c>
      <c r="T172" s="340" t="str">
        <f ca="1">+IF(OR(S172='[1]Tabla Impacto'!$C$11,S172='[1]Tabla Impacto'!$D$11),"Leve",IF(OR(S172='[1]Tabla Impacto'!$C$12,S172='[1]Tabla Impacto'!$D$12),"Menor",IF(OR(S172='[1]Tabla Impacto'!$C$13,S172='[1]Tabla Impacto'!$D$13),"Moderado",IF(OR(S172='[1]Tabla Impacto'!$C$14,S172='[1]Tabla Impacto'!$D$14),"Mayor",IF(OR(S172='[1]Tabla Impacto'!$C$15,S172='[1]Tabla Impacto'!$D$15),"Catastrófico","")))))</f>
        <v>Moderado</v>
      </c>
      <c r="U172" s="341">
        <f t="shared" ref="U172" ca="1" si="480">IF(T172="","",IF(T172="Leve",0.2,IF(T172="Menor",0.4,IF(T172="Moderado",0.6,IF(T172="Mayor",0.8,IF(T172="Catastrófico",1,))))))</f>
        <v>0.6</v>
      </c>
      <c r="V172" s="327" t="str">
        <f t="shared" ref="V172" ca="1" si="481">IF(OR(AND(P172="Muy Baja",T172="Leve"),AND(P172="Muy Baja",T172="Menor"),AND(P172="Baja",T172="Leve")),"Bajo",IF(OR(AND(P172="Muy baja",T172="Moderado"),AND(P172="Baja",T172="Menor"),AND(P172="Baja",T172="Moderado"),AND(P172="Media",T172="Leve"),AND(P172="Media",T172="Menor"),AND(P172="Media",T172="Moderado"),AND(P172="Alta",T172="Leve"),AND(P172="Alta",T172="Menor")),"Moderado",IF(OR(AND(P172="Muy Baja",T172="Mayor"),AND(P172="Baja",T172="Mayor"),AND(P172="Media",T172="Mayor"),AND(P172="Alta",T172="Moderado"),AND(P172="Alta",T172="Mayor"),AND(P172="Muy Alta",T172="Leve"),AND(P172="Muy Alta",T172="Menor"),AND(P172="Muy Alta",T172="Moderado"),AND(P172="Muy Alta",T172="Mayor")),"Alto",IF(OR(AND(P172="Muy Baja",T172="Catastrófico"),AND(P172="Baja",T172="Catastrófico"),AND(P172="Media",T172="Catastrófico"),AND(P172="Alta",T172="Catastrófico"),AND(P172="Muy Alta",T172="Catastrófico")),"Extremo",""))))</f>
        <v>Moderado</v>
      </c>
      <c r="W172" s="233">
        <v>1</v>
      </c>
      <c r="X172" s="207" t="s">
        <v>962</v>
      </c>
      <c r="Y172" s="230" t="str">
        <f t="shared" si="419"/>
        <v>Probabilidad</v>
      </c>
      <c r="Z172" s="185" t="s">
        <v>208</v>
      </c>
      <c r="AA172" s="185" t="s">
        <v>216</v>
      </c>
      <c r="AB172" s="186" t="str">
        <f t="shared" si="463"/>
        <v>40%</v>
      </c>
      <c r="AC172" s="185" t="s">
        <v>219</v>
      </c>
      <c r="AD172" s="185" t="s">
        <v>224</v>
      </c>
      <c r="AE172" s="185" t="s">
        <v>228</v>
      </c>
      <c r="AF172" s="187">
        <f t="shared" ref="AF172" si="482">IFERROR(IF(Y172="Probabilidad",(Q172-(+Q172*AB172)),IF(Y172="Impacto",Q172,"")),"")</f>
        <v>0.36</v>
      </c>
      <c r="AG172" s="188" t="str">
        <f t="shared" si="421"/>
        <v>Baja</v>
      </c>
      <c r="AH172" s="186">
        <f t="shared" si="422"/>
        <v>0.36</v>
      </c>
      <c r="AI172" s="188" t="str">
        <f t="shared" ca="1" si="423"/>
        <v>Moderado</v>
      </c>
      <c r="AJ172" s="186">
        <f t="shared" ref="AJ172" ca="1" si="483">IFERROR(IF(Y172="Impacto",(U172-(+U172*AB172)),IF(Y172="Probabilidad",U172,"")),"")</f>
        <v>0.6</v>
      </c>
      <c r="AK172" s="189" t="str">
        <f t="shared" ca="1" si="425"/>
        <v>Moderado</v>
      </c>
      <c r="AL172" s="185" t="s">
        <v>255</v>
      </c>
      <c r="AM172" s="227"/>
      <c r="AN172" s="230"/>
      <c r="AO172" s="228"/>
      <c r="AP172" s="228"/>
      <c r="AQ172" s="227"/>
      <c r="AR172" s="229"/>
    </row>
    <row r="173" spans="1:44" s="191" customFormat="1" ht="184.5" customHeight="1" thickTop="1" thickBot="1" x14ac:dyDescent="0.3">
      <c r="A173" s="328"/>
      <c r="B173" s="329"/>
      <c r="C173" s="335"/>
      <c r="D173" s="335"/>
      <c r="E173" s="335"/>
      <c r="F173" s="336"/>
      <c r="G173" s="336"/>
      <c r="H173" s="337"/>
      <c r="I173" s="338"/>
      <c r="J173" s="338"/>
      <c r="K173" s="338"/>
      <c r="L173" s="338"/>
      <c r="M173" s="333"/>
      <c r="N173" s="333"/>
      <c r="O173" s="339"/>
      <c r="P173" s="340"/>
      <c r="Q173" s="341"/>
      <c r="R173" s="341"/>
      <c r="S173" s="341">
        <f ca="1">IF(NOT(ISERROR(MATCH(R173,_xlfn.ANCHORARRAY(H178),0))),Q180&amp;"Por favor no seleccionar los criterios de impacto",R173)</f>
        <v>0</v>
      </c>
      <c r="T173" s="340"/>
      <c r="U173" s="341"/>
      <c r="V173" s="327"/>
      <c r="W173" s="233">
        <v>2</v>
      </c>
      <c r="X173" s="207" t="s">
        <v>805</v>
      </c>
      <c r="Y173" s="230" t="str">
        <f t="shared" si="419"/>
        <v>Probabilidad</v>
      </c>
      <c r="Z173" s="185" t="s">
        <v>208</v>
      </c>
      <c r="AA173" s="185" t="s">
        <v>216</v>
      </c>
      <c r="AB173" s="186" t="str">
        <f t="shared" si="463"/>
        <v>40%</v>
      </c>
      <c r="AC173" s="185" t="s">
        <v>219</v>
      </c>
      <c r="AD173" s="185" t="s">
        <v>224</v>
      </c>
      <c r="AE173" s="185" t="s">
        <v>228</v>
      </c>
      <c r="AF173" s="187">
        <f t="shared" ref="AF173" si="484">IFERROR(IF(AND(Y172="Probabilidad",Y173="Probabilidad"),(AH172-(+AH172*AB173)),IF(Y173="Probabilidad",(Q172-(+Q172*AB173)),IF(Y173="Impacto",AH172,""))),"")</f>
        <v>0.216</v>
      </c>
      <c r="AG173" s="188" t="str">
        <f t="shared" si="421"/>
        <v>Baja</v>
      </c>
      <c r="AH173" s="186">
        <f t="shared" si="422"/>
        <v>0.216</v>
      </c>
      <c r="AI173" s="188" t="str">
        <f t="shared" ca="1" si="423"/>
        <v>Moderado</v>
      </c>
      <c r="AJ173" s="186">
        <f t="shared" ref="AJ173" ca="1" si="485">IFERROR(IF(AND(Y172="Impacto",Y173="Impacto"),(AJ172-(+AJ172*AB173)),IF(Y173="Impacto",(U172-(+U172*AB173)),IF(Y173="Probabilidad",AJ172,""))),"")</f>
        <v>0.6</v>
      </c>
      <c r="AK173" s="189" t="str">
        <f t="shared" ca="1" si="425"/>
        <v>Moderado</v>
      </c>
      <c r="AL173" s="185" t="s">
        <v>255</v>
      </c>
      <c r="AM173" s="227"/>
      <c r="AN173" s="230"/>
      <c r="AO173" s="228"/>
      <c r="AP173" s="228"/>
      <c r="AQ173" s="227"/>
      <c r="AR173" s="229"/>
    </row>
    <row r="174" spans="1:44" s="191" customFormat="1" ht="120.75" customHeight="1" thickTop="1" thickBot="1" x14ac:dyDescent="0.3">
      <c r="A174" s="328">
        <v>71</v>
      </c>
      <c r="B174" s="329" t="s">
        <v>806</v>
      </c>
      <c r="C174" s="333" t="s">
        <v>277</v>
      </c>
      <c r="D174" s="335" t="s">
        <v>980</v>
      </c>
      <c r="E174" s="333" t="s">
        <v>240</v>
      </c>
      <c r="F174" s="351" t="s">
        <v>807</v>
      </c>
      <c r="G174" s="351" t="s">
        <v>808</v>
      </c>
      <c r="H174" s="350" t="s">
        <v>1166</v>
      </c>
      <c r="I174" s="338" t="s">
        <v>474</v>
      </c>
      <c r="J174" s="338" t="s">
        <v>474</v>
      </c>
      <c r="K174" s="338" t="s">
        <v>474</v>
      </c>
      <c r="L174" s="338" t="s">
        <v>474</v>
      </c>
      <c r="M174" s="333" t="s">
        <v>466</v>
      </c>
      <c r="N174" s="333"/>
      <c r="O174" s="339">
        <v>52</v>
      </c>
      <c r="P174" s="340" t="str">
        <f t="shared" si="459"/>
        <v>Media</v>
      </c>
      <c r="Q174" s="341">
        <f t="shared" si="460"/>
        <v>0.6</v>
      </c>
      <c r="R174" s="341" t="s">
        <v>192</v>
      </c>
      <c r="S174" s="341" t="str">
        <f ca="1">IF(NOT(ISERROR(MATCH(R174,'Tabla Impacto'!$B$221:$B$223,0))),'Tabla Impacto'!$F$223&amp;"Por favor no seleccionar los criterios de impacto(Afectación Económica o presupuestal y Pérdida Reputacional)",R174)</f>
        <v xml:space="preserve">Entre 100 y 500 SMLMV </v>
      </c>
      <c r="T174" s="340" t="str">
        <f ca="1">+IF(OR(S174='[1]Tabla Impacto'!$C$11,S174='[1]Tabla Impacto'!$D$11),"Leve",IF(OR(S174='[1]Tabla Impacto'!$C$12,S174='[1]Tabla Impacto'!$D$12),"Menor",IF(OR(S174='[1]Tabla Impacto'!$C$13,S174='[1]Tabla Impacto'!$D$13),"Moderado",IF(OR(S174='[1]Tabla Impacto'!$C$14,S174='[1]Tabla Impacto'!$D$14),"Mayor",IF(OR(S174='[1]Tabla Impacto'!$C$15,S174='[1]Tabla Impacto'!$D$15),"Catastrófico","")))))</f>
        <v>Mayor</v>
      </c>
      <c r="U174" s="341">
        <f t="shared" ref="U174" ca="1" si="486">IF(T174="","",IF(T174="Leve",0.2,IF(T174="Menor",0.4,IF(T174="Moderado",0.6,IF(T174="Mayor",0.8,IF(T174="Catastrófico",1,))))))</f>
        <v>0.8</v>
      </c>
      <c r="V174" s="327" t="str">
        <f t="shared" ref="V174" ca="1" si="487">IF(OR(AND(P174="Muy Baja",T174="Leve"),AND(P174="Muy Baja",T174="Menor"),AND(P174="Baja",T174="Leve")),"Bajo",IF(OR(AND(P174="Muy baja",T174="Moderado"),AND(P174="Baja",T174="Menor"),AND(P174="Baja",T174="Moderado"),AND(P174="Media",T174="Leve"),AND(P174="Media",T174="Menor"),AND(P174="Media",T174="Moderado"),AND(P174="Alta",T174="Leve"),AND(P174="Alta",T174="Menor")),"Moderado",IF(OR(AND(P174="Muy Baja",T174="Mayor"),AND(P174="Baja",T174="Mayor"),AND(P174="Media",T174="Mayor"),AND(P174="Alta",T174="Moderado"),AND(P174="Alta",T174="Mayor"),AND(P174="Muy Alta",T174="Leve"),AND(P174="Muy Alta",T174="Menor"),AND(P174="Muy Alta",T174="Moderado"),AND(P174="Muy Alta",T174="Mayor")),"Alto",IF(OR(AND(P174="Muy Baja",T174="Catastrófico"),AND(P174="Baja",T174="Catastrófico"),AND(P174="Media",T174="Catastrófico"),AND(P174="Alta",T174="Catastrófico"),AND(P174="Muy Alta",T174="Catastrófico")),"Extremo",""))))</f>
        <v>Alto</v>
      </c>
      <c r="W174" s="233">
        <v>1</v>
      </c>
      <c r="X174" s="207" t="s">
        <v>1078</v>
      </c>
      <c r="Y174" s="230" t="str">
        <f t="shared" ref="Y174:Y219" si="488">IF(OR(Z174="Preventivo",Z174="Detectivo"),"Probabilidad",IF(Z174="Correctivo","Impacto",""))</f>
        <v>Probabilidad</v>
      </c>
      <c r="Z174" s="185" t="s">
        <v>208</v>
      </c>
      <c r="AA174" s="185" t="s">
        <v>216</v>
      </c>
      <c r="AB174" s="186" t="str">
        <f t="shared" si="463"/>
        <v>40%</v>
      </c>
      <c r="AC174" s="185" t="s">
        <v>219</v>
      </c>
      <c r="AD174" s="185" t="s">
        <v>224</v>
      </c>
      <c r="AE174" s="185" t="s">
        <v>228</v>
      </c>
      <c r="AF174" s="187">
        <f t="shared" ref="AF174" si="489">IFERROR(IF(Y174="Probabilidad",(Q174-(+Q174*AB174)),IF(Y174="Impacto",Q174,"")),"")</f>
        <v>0.36</v>
      </c>
      <c r="AG174" s="188" t="str">
        <f t="shared" ref="AG174:AG219" si="490">IFERROR(IF(AF174="","",IF(AF174&lt;=0.2,"Muy Baja",IF(AF174&lt;=0.4,"Baja",IF(AF174&lt;=0.6,"Media",IF(AF174&lt;=0.8,"Alta","Muy Alta"))))),"")</f>
        <v>Baja</v>
      </c>
      <c r="AH174" s="186">
        <f t="shared" ref="AH174:AH219" si="491">+AF174</f>
        <v>0.36</v>
      </c>
      <c r="AI174" s="188" t="str">
        <f t="shared" ref="AI174:AI219" ca="1" si="492">IFERROR(IF(AJ174="","",IF(AJ174&lt;=0.2,"Leve",IF(AJ174&lt;=0.4,"Menor",IF(AJ174&lt;=0.6,"Moderado",IF(AJ174&lt;=0.8,"Mayor","Catastrófico"))))),"")</f>
        <v>Mayor</v>
      </c>
      <c r="AJ174" s="186">
        <f t="shared" ref="AJ174" ca="1" si="493">IFERROR(IF(Y174="Impacto",(U174-(+U174*AB174)),IF(Y174="Probabilidad",U174,"")),"")</f>
        <v>0.8</v>
      </c>
      <c r="AK174" s="189" t="str">
        <f t="shared" ref="AK174:AK219" ca="1" si="494">IFERROR(IF(OR(AND(AG174="Muy Baja",AI174="Leve"),AND(AG174="Muy Baja",AI174="Menor"),AND(AG174="Baja",AI174="Leve")),"Bajo",IF(OR(AND(AG174="Muy baja",AI174="Moderado"),AND(AG174="Baja",AI174="Menor"),AND(AG174="Baja",AI174="Moderado"),AND(AG174="Media",AI174="Leve"),AND(AG174="Media",AI174="Menor"),AND(AG174="Media",AI174="Moderado"),AND(AG174="Alta",AI174="Leve"),AND(AG174="Alta",AI174="Menor")),"Moderado",IF(OR(AND(AG174="Muy Baja",AI174="Mayor"),AND(AG174="Baja",AI174="Mayor"),AND(AG174="Media",AI174="Mayor"),AND(AG174="Alta",AI174="Moderado"),AND(AG174="Alta",AI174="Mayor"),AND(AG174="Muy Alta",AI174="Leve"),AND(AG174="Muy Alta",AI174="Menor"),AND(AG174="Muy Alta",AI174="Moderado"),AND(AG174="Muy Alta",AI174="Mayor")),"Alto",IF(OR(AND(AG174="Muy Baja",AI174="Catastrófico"),AND(AG174="Baja",AI174="Catastrófico"),AND(AG174="Media",AI174="Catastrófico"),AND(AG174="Alta",AI174="Catastrófico"),AND(AG174="Muy Alta",AI174="Catastrófico")),"Extremo","")))),"")</f>
        <v>Alto</v>
      </c>
      <c r="AL174" s="185" t="s">
        <v>262</v>
      </c>
      <c r="AM174" s="344" t="s">
        <v>809</v>
      </c>
      <c r="AN174" s="333" t="s">
        <v>810</v>
      </c>
      <c r="AO174" s="353">
        <v>45658</v>
      </c>
      <c r="AP174" s="355" t="s">
        <v>535</v>
      </c>
      <c r="AQ174" s="333" t="s">
        <v>811</v>
      </c>
      <c r="AR174" s="354" t="s">
        <v>259</v>
      </c>
    </row>
    <row r="175" spans="1:44" s="191" customFormat="1" ht="135.75" customHeight="1" thickTop="1" thickBot="1" x14ac:dyDescent="0.3">
      <c r="A175" s="328"/>
      <c r="B175" s="329"/>
      <c r="C175" s="333"/>
      <c r="D175" s="335"/>
      <c r="E175" s="333"/>
      <c r="F175" s="351"/>
      <c r="G175" s="351"/>
      <c r="H175" s="350"/>
      <c r="I175" s="338"/>
      <c r="J175" s="338"/>
      <c r="K175" s="338"/>
      <c r="L175" s="338"/>
      <c r="M175" s="333"/>
      <c r="N175" s="333"/>
      <c r="O175" s="339"/>
      <c r="P175" s="340"/>
      <c r="Q175" s="341"/>
      <c r="R175" s="341"/>
      <c r="S175" s="341">
        <f ca="1">IF(NOT(ISERROR(MATCH(R175,_xlfn.ANCHORARRAY(H184),0))),Q186&amp;"Por favor no seleccionar los criterios de impacto",R175)</f>
        <v>0</v>
      </c>
      <c r="T175" s="340"/>
      <c r="U175" s="341"/>
      <c r="V175" s="327"/>
      <c r="W175" s="233">
        <v>2</v>
      </c>
      <c r="X175" s="207" t="s">
        <v>1079</v>
      </c>
      <c r="Y175" s="230" t="str">
        <f t="shared" si="488"/>
        <v>Probabilidad</v>
      </c>
      <c r="Z175" s="185" t="s">
        <v>208</v>
      </c>
      <c r="AA175" s="185" t="s">
        <v>216</v>
      </c>
      <c r="AB175" s="186" t="str">
        <f t="shared" si="463"/>
        <v>40%</v>
      </c>
      <c r="AC175" s="185" t="s">
        <v>219</v>
      </c>
      <c r="AD175" s="185" t="s">
        <v>224</v>
      </c>
      <c r="AE175" s="185" t="s">
        <v>228</v>
      </c>
      <c r="AF175" s="187">
        <f t="shared" ref="AF175:AF177" si="495">IFERROR(IF(AND(Y174="Probabilidad",Y175="Probabilidad"),(AH174-(+AH174*AB175)),IF(Y175="Probabilidad",(Q174-(+Q174*AB175)),IF(Y175="Impacto",AH174,""))),"")</f>
        <v>0.216</v>
      </c>
      <c r="AG175" s="188" t="str">
        <f t="shared" si="490"/>
        <v>Baja</v>
      </c>
      <c r="AH175" s="186">
        <f t="shared" si="491"/>
        <v>0.216</v>
      </c>
      <c r="AI175" s="188" t="str">
        <f t="shared" ca="1" si="492"/>
        <v>Mayor</v>
      </c>
      <c r="AJ175" s="186">
        <f t="shared" ref="AJ175" ca="1" si="496">IFERROR(IF(AND(Y174="Impacto",Y175="Impacto"),(AJ174-(+AJ174*AB175)),IF(Y175="Impacto",(U174-(+U174*AB175)),IF(Y175="Probabilidad",AJ174,""))),"")</f>
        <v>0.8</v>
      </c>
      <c r="AK175" s="189" t="str">
        <f t="shared" ca="1" si="494"/>
        <v>Alto</v>
      </c>
      <c r="AL175" s="185" t="s">
        <v>262</v>
      </c>
      <c r="AM175" s="344"/>
      <c r="AN175" s="333"/>
      <c r="AO175" s="353"/>
      <c r="AP175" s="355"/>
      <c r="AQ175" s="333"/>
      <c r="AR175" s="354"/>
    </row>
    <row r="176" spans="1:44" s="191" customFormat="1" ht="118.5" customHeight="1" thickTop="1" thickBot="1" x14ac:dyDescent="0.3">
      <c r="A176" s="328"/>
      <c r="B176" s="329"/>
      <c r="C176" s="333"/>
      <c r="D176" s="335"/>
      <c r="E176" s="333"/>
      <c r="F176" s="351"/>
      <c r="G176" s="351"/>
      <c r="H176" s="350"/>
      <c r="I176" s="338"/>
      <c r="J176" s="338"/>
      <c r="K176" s="338"/>
      <c r="L176" s="338"/>
      <c r="M176" s="333"/>
      <c r="N176" s="333"/>
      <c r="O176" s="339"/>
      <c r="P176" s="340"/>
      <c r="Q176" s="341"/>
      <c r="R176" s="341"/>
      <c r="S176" s="341">
        <f ca="1">IF(NOT(ISERROR(MATCH(R176,_xlfn.ANCHORARRAY(H185),0))),#REF!&amp;"Por favor no seleccionar los criterios de impacto",R176)</f>
        <v>0</v>
      </c>
      <c r="T176" s="340"/>
      <c r="U176" s="341"/>
      <c r="V176" s="327"/>
      <c r="W176" s="233">
        <v>3</v>
      </c>
      <c r="X176" s="207" t="s">
        <v>1080</v>
      </c>
      <c r="Y176" s="230" t="str">
        <f t="shared" si="488"/>
        <v>Probabilidad</v>
      </c>
      <c r="Z176" s="185" t="s">
        <v>208</v>
      </c>
      <c r="AA176" s="185" t="s">
        <v>216</v>
      </c>
      <c r="AB176" s="186" t="str">
        <f t="shared" si="463"/>
        <v>40%</v>
      </c>
      <c r="AC176" s="185" t="s">
        <v>219</v>
      </c>
      <c r="AD176" s="185" t="s">
        <v>224</v>
      </c>
      <c r="AE176" s="185" t="s">
        <v>228</v>
      </c>
      <c r="AF176" s="187">
        <f t="shared" si="495"/>
        <v>0.12959999999999999</v>
      </c>
      <c r="AG176" s="188" t="str">
        <f t="shared" si="490"/>
        <v>Muy Baja</v>
      </c>
      <c r="AH176" s="186">
        <f t="shared" si="491"/>
        <v>0.12959999999999999</v>
      </c>
      <c r="AI176" s="188" t="str">
        <f t="shared" ca="1" si="492"/>
        <v>Mayor</v>
      </c>
      <c r="AJ176" s="186">
        <f t="shared" ref="AJ176:AJ177" ca="1" si="497">IFERROR(IF(AND(Y175="Impacto",Y176="Impacto"),(AJ175-(+AJ175*AB176)),IF(AND(Y175="Probabilidad",Y176="Impacto"),(AJ174-(+AJ174*AB176)),IF(Y176="Probabilidad",AJ175,""))),"")</f>
        <v>0.8</v>
      </c>
      <c r="AK176" s="189" t="str">
        <f t="shared" ca="1" si="494"/>
        <v>Alto</v>
      </c>
      <c r="AL176" s="185" t="s">
        <v>262</v>
      </c>
      <c r="AM176" s="344"/>
      <c r="AN176" s="333"/>
      <c r="AO176" s="353"/>
      <c r="AP176" s="355"/>
      <c r="AQ176" s="333"/>
      <c r="AR176" s="354"/>
    </row>
    <row r="177" spans="1:44" s="191" customFormat="1" ht="129.75" thickTop="1" thickBot="1" x14ac:dyDescent="0.3">
      <c r="A177" s="328"/>
      <c r="B177" s="329"/>
      <c r="C177" s="333"/>
      <c r="D177" s="335"/>
      <c r="E177" s="333"/>
      <c r="F177" s="351"/>
      <c r="G177" s="351"/>
      <c r="H177" s="350"/>
      <c r="I177" s="338"/>
      <c r="J177" s="338"/>
      <c r="K177" s="338"/>
      <c r="L177" s="338"/>
      <c r="M177" s="333"/>
      <c r="N177" s="333"/>
      <c r="O177" s="339"/>
      <c r="P177" s="340"/>
      <c r="Q177" s="341"/>
      <c r="R177" s="341"/>
      <c r="S177" s="341">
        <f ca="1">IF(NOT(ISERROR(MATCH(R177,_xlfn.ANCHORARRAY(H186),0))),#REF!&amp;"Por favor no seleccionar los criterios de impacto",R177)</f>
        <v>0</v>
      </c>
      <c r="T177" s="340"/>
      <c r="U177" s="341"/>
      <c r="V177" s="327"/>
      <c r="W177" s="233">
        <v>4</v>
      </c>
      <c r="X177" s="208" t="s">
        <v>1081</v>
      </c>
      <c r="Y177" s="230" t="str">
        <f t="shared" si="488"/>
        <v>Probabilidad</v>
      </c>
      <c r="Z177" s="185" t="s">
        <v>208</v>
      </c>
      <c r="AA177" s="185" t="s">
        <v>216</v>
      </c>
      <c r="AB177" s="186" t="str">
        <f t="shared" si="463"/>
        <v>40%</v>
      </c>
      <c r="AC177" s="185" t="s">
        <v>219</v>
      </c>
      <c r="AD177" s="185" t="s">
        <v>224</v>
      </c>
      <c r="AE177" s="185" t="s">
        <v>228</v>
      </c>
      <c r="AF177" s="187">
        <f t="shared" si="495"/>
        <v>7.7759999999999996E-2</v>
      </c>
      <c r="AG177" s="188" t="str">
        <f t="shared" si="490"/>
        <v>Muy Baja</v>
      </c>
      <c r="AH177" s="186">
        <f t="shared" si="491"/>
        <v>7.7759999999999996E-2</v>
      </c>
      <c r="AI177" s="188" t="str">
        <f t="shared" ca="1" si="492"/>
        <v>Mayor</v>
      </c>
      <c r="AJ177" s="186">
        <f t="shared" ca="1" si="497"/>
        <v>0.8</v>
      </c>
      <c r="AK177" s="189" t="str">
        <f t="shared" ca="1" si="494"/>
        <v>Alto</v>
      </c>
      <c r="AL177" s="185" t="s">
        <v>262</v>
      </c>
      <c r="AM177" s="344"/>
      <c r="AN177" s="333"/>
      <c r="AO177" s="353"/>
      <c r="AP177" s="355"/>
      <c r="AQ177" s="333"/>
      <c r="AR177" s="354"/>
    </row>
    <row r="178" spans="1:44" s="191" customFormat="1" ht="137.25" customHeight="1" thickTop="1" thickBot="1" x14ac:dyDescent="0.3">
      <c r="A178" s="328">
        <v>72</v>
      </c>
      <c r="B178" s="329" t="s">
        <v>812</v>
      </c>
      <c r="C178" s="333" t="s">
        <v>277</v>
      </c>
      <c r="D178" s="335" t="s">
        <v>813</v>
      </c>
      <c r="E178" s="333" t="s">
        <v>240</v>
      </c>
      <c r="F178" s="351" t="s">
        <v>814</v>
      </c>
      <c r="G178" s="351" t="s">
        <v>815</v>
      </c>
      <c r="H178" s="350" t="s">
        <v>1167</v>
      </c>
      <c r="I178" s="338" t="s">
        <v>474</v>
      </c>
      <c r="J178" s="338" t="s">
        <v>474</v>
      </c>
      <c r="K178" s="338" t="s">
        <v>474</v>
      </c>
      <c r="L178" s="338" t="s">
        <v>474</v>
      </c>
      <c r="M178" s="333" t="s">
        <v>466</v>
      </c>
      <c r="N178" s="333"/>
      <c r="O178" s="339">
        <v>365</v>
      </c>
      <c r="P178" s="340" t="str">
        <f t="shared" si="459"/>
        <v>Media</v>
      </c>
      <c r="Q178" s="341">
        <f t="shared" si="460"/>
        <v>0.6</v>
      </c>
      <c r="R178" s="341" t="s">
        <v>192</v>
      </c>
      <c r="S178" s="341" t="str">
        <f ca="1">IF(NOT(ISERROR(MATCH(R178,'Tabla Impacto'!$B$221:$B$223,0))),'Tabla Impacto'!$F$223&amp;"Por favor no seleccionar los criterios de impacto(Afectación Económica o presupuestal y Pérdida Reputacional)",R178)</f>
        <v xml:space="preserve">Entre 100 y 500 SMLMV </v>
      </c>
      <c r="T178" s="340" t="str">
        <f ca="1">+IF(OR(S178='[1]Tabla Impacto'!$C$11,S178='[1]Tabla Impacto'!$D$11),"Leve",IF(OR(S178='[1]Tabla Impacto'!$C$12,S178='[1]Tabla Impacto'!$D$12),"Menor",IF(OR(S178='[1]Tabla Impacto'!$C$13,S178='[1]Tabla Impacto'!$D$13),"Moderado",IF(OR(S178='[1]Tabla Impacto'!$C$14,S178='[1]Tabla Impacto'!$D$14),"Mayor",IF(OR(S178='[1]Tabla Impacto'!$C$15,S178='[1]Tabla Impacto'!$D$15),"Catastrófico","")))))</f>
        <v>Mayor</v>
      </c>
      <c r="U178" s="341">
        <f t="shared" ref="U178" ca="1" si="498">IF(T178="","",IF(T178="Leve",0.2,IF(T178="Menor",0.4,IF(T178="Moderado",0.6,IF(T178="Mayor",0.8,IF(T178="Catastrófico",1,))))))</f>
        <v>0.8</v>
      </c>
      <c r="V178" s="327" t="str">
        <f t="shared" ref="V178" ca="1" si="499">IF(OR(AND(P178="Muy Baja",T178="Leve"),AND(P178="Muy Baja",T178="Menor"),AND(P178="Baja",T178="Leve")),"Bajo",IF(OR(AND(P178="Muy baja",T178="Moderado"),AND(P178="Baja",T178="Menor"),AND(P178="Baja",T178="Moderado"),AND(P178="Media",T178="Leve"),AND(P178="Media",T178="Menor"),AND(P178="Media",T178="Moderado"),AND(P178="Alta",T178="Leve"),AND(P178="Alta",T178="Menor")),"Moderado",IF(OR(AND(P178="Muy Baja",T178="Mayor"),AND(P178="Baja",T178="Mayor"),AND(P178="Media",T178="Mayor"),AND(P178="Alta",T178="Moderado"),AND(P178="Alta",T178="Mayor"),AND(P178="Muy Alta",T178="Leve"),AND(P178="Muy Alta",T178="Menor"),AND(P178="Muy Alta",T178="Moderado"),AND(P178="Muy Alta",T178="Mayor")),"Alto",IF(OR(AND(P178="Muy Baja",T178="Catastrófico"),AND(P178="Baja",T178="Catastrófico"),AND(P178="Media",T178="Catastrófico"),AND(P178="Alta",T178="Catastrófico"),AND(P178="Muy Alta",T178="Catastrófico")),"Extremo",""))))</f>
        <v>Alto</v>
      </c>
      <c r="W178" s="233">
        <v>1</v>
      </c>
      <c r="X178" s="212" t="s">
        <v>1051</v>
      </c>
      <c r="Y178" s="230" t="str">
        <f t="shared" si="488"/>
        <v>Probabilidad</v>
      </c>
      <c r="Z178" s="185" t="s">
        <v>208</v>
      </c>
      <c r="AA178" s="185" t="s">
        <v>216</v>
      </c>
      <c r="AB178" s="186" t="str">
        <f t="shared" si="463"/>
        <v>40%</v>
      </c>
      <c r="AC178" s="185" t="s">
        <v>219</v>
      </c>
      <c r="AD178" s="185" t="s">
        <v>224</v>
      </c>
      <c r="AE178" s="185" t="s">
        <v>228</v>
      </c>
      <c r="AF178" s="187">
        <f t="shared" ref="AF178" si="500">IFERROR(IF(Y178="Probabilidad",(Q178-(+Q178*AB178)),IF(Y178="Impacto",Q178,"")),"")</f>
        <v>0.36</v>
      </c>
      <c r="AG178" s="188" t="str">
        <f t="shared" si="490"/>
        <v>Baja</v>
      </c>
      <c r="AH178" s="186">
        <f t="shared" si="491"/>
        <v>0.36</v>
      </c>
      <c r="AI178" s="188" t="str">
        <f t="shared" ca="1" si="492"/>
        <v>Mayor</v>
      </c>
      <c r="AJ178" s="186">
        <f t="shared" ref="AJ178" ca="1" si="501">IFERROR(IF(Y178="Impacto",(U178-(+U178*AB178)),IF(Y178="Probabilidad",U178,"")),"")</f>
        <v>0.8</v>
      </c>
      <c r="AK178" s="189" t="str">
        <f t="shared" ca="1" si="494"/>
        <v>Alto</v>
      </c>
      <c r="AL178" s="185" t="s">
        <v>262</v>
      </c>
      <c r="AM178" s="344" t="s">
        <v>820</v>
      </c>
      <c r="AN178" s="333" t="s">
        <v>819</v>
      </c>
      <c r="AO178" s="353">
        <v>45658</v>
      </c>
      <c r="AP178" s="355" t="s">
        <v>535</v>
      </c>
      <c r="AQ178" s="333" t="s">
        <v>811</v>
      </c>
      <c r="AR178" s="354" t="s">
        <v>259</v>
      </c>
    </row>
    <row r="179" spans="1:44" s="191" customFormat="1" ht="144" customHeight="1" thickTop="1" thickBot="1" x14ac:dyDescent="0.3">
      <c r="A179" s="328"/>
      <c r="B179" s="329"/>
      <c r="C179" s="333"/>
      <c r="D179" s="335"/>
      <c r="E179" s="333"/>
      <c r="F179" s="351"/>
      <c r="G179" s="351"/>
      <c r="H179" s="350"/>
      <c r="I179" s="338"/>
      <c r="J179" s="338"/>
      <c r="K179" s="338"/>
      <c r="L179" s="338"/>
      <c r="M179" s="333"/>
      <c r="N179" s="333"/>
      <c r="O179" s="339"/>
      <c r="P179" s="340"/>
      <c r="Q179" s="341"/>
      <c r="R179" s="341"/>
      <c r="S179" s="341">
        <f ca="1">IF(NOT(ISERROR(MATCH(R179,_xlfn.ANCHORARRAY(H187),0))),Q189&amp;"Por favor no seleccionar los criterios de impacto",R179)</f>
        <v>0</v>
      </c>
      <c r="T179" s="340"/>
      <c r="U179" s="341"/>
      <c r="V179" s="327"/>
      <c r="W179" s="233">
        <v>2</v>
      </c>
      <c r="X179" s="212" t="s">
        <v>1052</v>
      </c>
      <c r="Y179" s="230" t="str">
        <f t="shared" si="488"/>
        <v>Probabilidad</v>
      </c>
      <c r="Z179" s="185" t="s">
        <v>208</v>
      </c>
      <c r="AA179" s="185" t="s">
        <v>216</v>
      </c>
      <c r="AB179" s="186" t="str">
        <f t="shared" si="463"/>
        <v>40%</v>
      </c>
      <c r="AC179" s="185" t="s">
        <v>219</v>
      </c>
      <c r="AD179" s="185" t="s">
        <v>224</v>
      </c>
      <c r="AE179" s="185" t="s">
        <v>228</v>
      </c>
      <c r="AF179" s="187">
        <f t="shared" ref="AF179:AF183" si="502">IFERROR(IF(AND(Y178="Probabilidad",Y179="Probabilidad"),(AH178-(+AH178*AB179)),IF(Y179="Probabilidad",(Q178-(+Q178*AB179)),IF(Y179="Impacto",AH178,""))),"")</f>
        <v>0.216</v>
      </c>
      <c r="AG179" s="188" t="str">
        <f t="shared" si="490"/>
        <v>Baja</v>
      </c>
      <c r="AH179" s="186">
        <f t="shared" si="491"/>
        <v>0.216</v>
      </c>
      <c r="AI179" s="188" t="str">
        <f t="shared" ca="1" si="492"/>
        <v>Mayor</v>
      </c>
      <c r="AJ179" s="186">
        <f t="shared" ref="AJ179" ca="1" si="503">IFERROR(IF(AND(Y178="Impacto",Y179="Impacto"),(AJ178-(+AJ178*AB179)),IF(Y179="Impacto",(U178-(+U178*AB179)),IF(Y179="Probabilidad",AJ178,""))),"")</f>
        <v>0.8</v>
      </c>
      <c r="AK179" s="189" t="str">
        <f t="shared" ca="1" si="494"/>
        <v>Alto</v>
      </c>
      <c r="AL179" s="185" t="s">
        <v>262</v>
      </c>
      <c r="AM179" s="344"/>
      <c r="AN179" s="333"/>
      <c r="AO179" s="353"/>
      <c r="AP179" s="355"/>
      <c r="AQ179" s="333"/>
      <c r="AR179" s="354"/>
    </row>
    <row r="180" spans="1:44" s="191" customFormat="1" ht="174.75" customHeight="1" thickTop="1" thickBot="1" x14ac:dyDescent="0.3">
      <c r="A180" s="328"/>
      <c r="B180" s="329"/>
      <c r="C180" s="333"/>
      <c r="D180" s="335"/>
      <c r="E180" s="333"/>
      <c r="F180" s="351"/>
      <c r="G180" s="351"/>
      <c r="H180" s="350"/>
      <c r="I180" s="338"/>
      <c r="J180" s="338"/>
      <c r="K180" s="338"/>
      <c r="L180" s="338"/>
      <c r="M180" s="333"/>
      <c r="N180" s="333"/>
      <c r="O180" s="339"/>
      <c r="P180" s="340"/>
      <c r="Q180" s="341"/>
      <c r="R180" s="341"/>
      <c r="S180" s="341">
        <f ca="1">IF(NOT(ISERROR(MATCH(R180,_xlfn.ANCHORARRAY(H188),0))),Q190&amp;"Por favor no seleccionar los criterios de impacto",R180)</f>
        <v>0</v>
      </c>
      <c r="T180" s="340"/>
      <c r="U180" s="341"/>
      <c r="V180" s="327"/>
      <c r="W180" s="233">
        <v>3</v>
      </c>
      <c r="X180" s="212" t="s">
        <v>1053</v>
      </c>
      <c r="Y180" s="230" t="str">
        <f t="shared" si="488"/>
        <v>Probabilidad</v>
      </c>
      <c r="Z180" s="185" t="s">
        <v>208</v>
      </c>
      <c r="AA180" s="185" t="s">
        <v>216</v>
      </c>
      <c r="AB180" s="186" t="str">
        <f t="shared" si="463"/>
        <v>40%</v>
      </c>
      <c r="AC180" s="185" t="s">
        <v>219</v>
      </c>
      <c r="AD180" s="185" t="s">
        <v>224</v>
      </c>
      <c r="AE180" s="185" t="s">
        <v>228</v>
      </c>
      <c r="AF180" s="187">
        <f t="shared" si="502"/>
        <v>0.12959999999999999</v>
      </c>
      <c r="AG180" s="188" t="str">
        <f t="shared" si="490"/>
        <v>Muy Baja</v>
      </c>
      <c r="AH180" s="186">
        <f t="shared" si="491"/>
        <v>0.12959999999999999</v>
      </c>
      <c r="AI180" s="188" t="str">
        <f t="shared" ca="1" si="492"/>
        <v>Mayor</v>
      </c>
      <c r="AJ180" s="186">
        <f t="shared" ref="AJ180:AJ183" ca="1" si="504">IFERROR(IF(AND(Y179="Impacto",Y180="Impacto"),(AJ179-(+AJ179*AB180)),IF(AND(Y179="Probabilidad",Y180="Impacto"),(AJ178-(+AJ178*AB180)),IF(Y180="Probabilidad",AJ179,""))),"")</f>
        <v>0.8</v>
      </c>
      <c r="AK180" s="189" t="str">
        <f t="shared" ca="1" si="494"/>
        <v>Alto</v>
      </c>
      <c r="AL180" s="185" t="s">
        <v>262</v>
      </c>
      <c r="AM180" s="344"/>
      <c r="AN180" s="333"/>
      <c r="AO180" s="353"/>
      <c r="AP180" s="355"/>
      <c r="AQ180" s="333"/>
      <c r="AR180" s="354"/>
    </row>
    <row r="181" spans="1:44" s="191" customFormat="1" ht="116.25" customHeight="1" thickTop="1" thickBot="1" x14ac:dyDescent="0.3">
      <c r="A181" s="328"/>
      <c r="B181" s="329"/>
      <c r="C181" s="333"/>
      <c r="D181" s="335"/>
      <c r="E181" s="333"/>
      <c r="F181" s="351"/>
      <c r="G181" s="351"/>
      <c r="H181" s="350"/>
      <c r="I181" s="338"/>
      <c r="J181" s="338"/>
      <c r="K181" s="338"/>
      <c r="L181" s="338"/>
      <c r="M181" s="333"/>
      <c r="N181" s="333"/>
      <c r="O181" s="339"/>
      <c r="P181" s="340"/>
      <c r="Q181" s="341"/>
      <c r="R181" s="341"/>
      <c r="S181" s="341">
        <f ca="1">IF(NOT(ISERROR(MATCH(R181,_xlfn.ANCHORARRAY(H189),0))),#REF!&amp;"Por favor no seleccionar los criterios de impacto",R181)</f>
        <v>0</v>
      </c>
      <c r="T181" s="340"/>
      <c r="U181" s="341"/>
      <c r="V181" s="327"/>
      <c r="W181" s="233">
        <v>4</v>
      </c>
      <c r="X181" s="212" t="s">
        <v>816</v>
      </c>
      <c r="Y181" s="230" t="str">
        <f t="shared" si="488"/>
        <v>Probabilidad</v>
      </c>
      <c r="Z181" s="185" t="s">
        <v>208</v>
      </c>
      <c r="AA181" s="185" t="s">
        <v>216</v>
      </c>
      <c r="AB181" s="186" t="str">
        <f t="shared" si="463"/>
        <v>40%</v>
      </c>
      <c r="AC181" s="185" t="s">
        <v>219</v>
      </c>
      <c r="AD181" s="185" t="s">
        <v>224</v>
      </c>
      <c r="AE181" s="185" t="s">
        <v>228</v>
      </c>
      <c r="AF181" s="187">
        <f t="shared" si="502"/>
        <v>7.7759999999999996E-2</v>
      </c>
      <c r="AG181" s="188" t="str">
        <f t="shared" si="490"/>
        <v>Muy Baja</v>
      </c>
      <c r="AH181" s="186">
        <f t="shared" si="491"/>
        <v>7.7759999999999996E-2</v>
      </c>
      <c r="AI181" s="188" t="str">
        <f t="shared" ca="1" si="492"/>
        <v>Mayor</v>
      </c>
      <c r="AJ181" s="186">
        <f t="shared" ca="1" si="504"/>
        <v>0.8</v>
      </c>
      <c r="AK181" s="189" t="str">
        <f t="shared" ca="1" si="494"/>
        <v>Alto</v>
      </c>
      <c r="AL181" s="185" t="s">
        <v>262</v>
      </c>
      <c r="AM181" s="344"/>
      <c r="AN181" s="333"/>
      <c r="AO181" s="353"/>
      <c r="AP181" s="355"/>
      <c r="AQ181" s="333"/>
      <c r="AR181" s="354"/>
    </row>
    <row r="182" spans="1:44" s="191" customFormat="1" ht="129.75" thickTop="1" thickBot="1" x14ac:dyDescent="0.3">
      <c r="A182" s="328"/>
      <c r="B182" s="329"/>
      <c r="C182" s="333"/>
      <c r="D182" s="335"/>
      <c r="E182" s="333"/>
      <c r="F182" s="351"/>
      <c r="G182" s="351"/>
      <c r="H182" s="350"/>
      <c r="I182" s="338"/>
      <c r="J182" s="338"/>
      <c r="K182" s="338"/>
      <c r="L182" s="338"/>
      <c r="M182" s="333"/>
      <c r="N182" s="333"/>
      <c r="O182" s="339"/>
      <c r="P182" s="340"/>
      <c r="Q182" s="341"/>
      <c r="R182" s="341"/>
      <c r="S182" s="341">
        <f ca="1">IF(NOT(ISERROR(MATCH(R182,_xlfn.ANCHORARRAY(H190),0))),#REF!&amp;"Por favor no seleccionar los criterios de impacto",R182)</f>
        <v>0</v>
      </c>
      <c r="T182" s="340"/>
      <c r="U182" s="341"/>
      <c r="V182" s="327"/>
      <c r="W182" s="233">
        <v>5</v>
      </c>
      <c r="X182" s="212" t="s">
        <v>817</v>
      </c>
      <c r="Y182" s="230" t="str">
        <f t="shared" si="488"/>
        <v>Probabilidad</v>
      </c>
      <c r="Z182" s="185" t="s">
        <v>208</v>
      </c>
      <c r="AA182" s="185" t="s">
        <v>216</v>
      </c>
      <c r="AB182" s="186" t="str">
        <f t="shared" si="463"/>
        <v>40%</v>
      </c>
      <c r="AC182" s="185" t="s">
        <v>219</v>
      </c>
      <c r="AD182" s="185" t="s">
        <v>224</v>
      </c>
      <c r="AE182" s="185" t="s">
        <v>228</v>
      </c>
      <c r="AF182" s="187">
        <f t="shared" si="502"/>
        <v>4.6655999999999996E-2</v>
      </c>
      <c r="AG182" s="188" t="str">
        <f t="shared" si="490"/>
        <v>Muy Baja</v>
      </c>
      <c r="AH182" s="186">
        <f t="shared" si="491"/>
        <v>4.6655999999999996E-2</v>
      </c>
      <c r="AI182" s="188" t="str">
        <f t="shared" ca="1" si="492"/>
        <v>Mayor</v>
      </c>
      <c r="AJ182" s="186">
        <f t="shared" ca="1" si="504"/>
        <v>0.8</v>
      </c>
      <c r="AK182" s="189" t="str">
        <f t="shared" ca="1" si="494"/>
        <v>Alto</v>
      </c>
      <c r="AL182" s="185" t="s">
        <v>262</v>
      </c>
      <c r="AM182" s="344"/>
      <c r="AN182" s="333"/>
      <c r="AO182" s="353"/>
      <c r="AP182" s="355"/>
      <c r="AQ182" s="333"/>
      <c r="AR182" s="354"/>
    </row>
    <row r="183" spans="1:44" s="191" customFormat="1" ht="129.75" thickTop="1" thickBot="1" x14ac:dyDescent="0.3">
      <c r="A183" s="328"/>
      <c r="B183" s="329"/>
      <c r="C183" s="333"/>
      <c r="D183" s="335"/>
      <c r="E183" s="333"/>
      <c r="F183" s="351"/>
      <c r="G183" s="351"/>
      <c r="H183" s="350"/>
      <c r="I183" s="338"/>
      <c r="J183" s="338"/>
      <c r="K183" s="338"/>
      <c r="L183" s="338"/>
      <c r="M183" s="333"/>
      <c r="N183" s="333"/>
      <c r="O183" s="339"/>
      <c r="P183" s="340"/>
      <c r="Q183" s="341"/>
      <c r="R183" s="341"/>
      <c r="S183" s="341">
        <f ca="1">IF(NOT(ISERROR(MATCH(R183,_xlfn.ANCHORARRAY(#REF!),0))),Q191&amp;"Por favor no seleccionar los criterios de impacto",R183)</f>
        <v>0</v>
      </c>
      <c r="T183" s="340"/>
      <c r="U183" s="341"/>
      <c r="V183" s="327"/>
      <c r="W183" s="233">
        <v>6</v>
      </c>
      <c r="X183" s="212" t="s">
        <v>818</v>
      </c>
      <c r="Y183" s="230" t="str">
        <f t="shared" si="488"/>
        <v>Probabilidad</v>
      </c>
      <c r="Z183" s="185" t="s">
        <v>210</v>
      </c>
      <c r="AA183" s="185" t="s">
        <v>216</v>
      </c>
      <c r="AB183" s="186" t="str">
        <f t="shared" si="463"/>
        <v>30%</v>
      </c>
      <c r="AC183" s="185" t="s">
        <v>219</v>
      </c>
      <c r="AD183" s="185" t="s">
        <v>224</v>
      </c>
      <c r="AE183" s="185" t="s">
        <v>228</v>
      </c>
      <c r="AF183" s="187">
        <f t="shared" si="502"/>
        <v>3.2659199999999999E-2</v>
      </c>
      <c r="AG183" s="188" t="str">
        <f t="shared" si="490"/>
        <v>Muy Baja</v>
      </c>
      <c r="AH183" s="186">
        <f t="shared" si="491"/>
        <v>3.2659199999999999E-2</v>
      </c>
      <c r="AI183" s="188" t="str">
        <f t="shared" ca="1" si="492"/>
        <v>Mayor</v>
      </c>
      <c r="AJ183" s="186">
        <f t="shared" ca="1" si="504"/>
        <v>0.8</v>
      </c>
      <c r="AK183" s="189" t="str">
        <f t="shared" ca="1" si="494"/>
        <v>Alto</v>
      </c>
      <c r="AL183" s="185" t="s">
        <v>262</v>
      </c>
      <c r="AM183" s="344"/>
      <c r="AN183" s="333"/>
      <c r="AO183" s="353"/>
      <c r="AP183" s="355"/>
      <c r="AQ183" s="333"/>
      <c r="AR183" s="354"/>
    </row>
    <row r="184" spans="1:44" s="191" customFormat="1" ht="121.5" customHeight="1" thickTop="1" thickBot="1" x14ac:dyDescent="0.3">
      <c r="A184" s="328">
        <v>73</v>
      </c>
      <c r="B184" s="329" t="s">
        <v>821</v>
      </c>
      <c r="C184" s="333" t="s">
        <v>277</v>
      </c>
      <c r="D184" s="335" t="s">
        <v>813</v>
      </c>
      <c r="E184" s="333" t="s">
        <v>236</v>
      </c>
      <c r="F184" s="351" t="s">
        <v>822</v>
      </c>
      <c r="G184" s="351" t="s">
        <v>823</v>
      </c>
      <c r="H184" s="350" t="s">
        <v>1168</v>
      </c>
      <c r="I184" s="338" t="s">
        <v>474</v>
      </c>
      <c r="J184" s="338" t="s">
        <v>474</v>
      </c>
      <c r="K184" s="338" t="s">
        <v>474</v>
      </c>
      <c r="L184" s="338" t="s">
        <v>474</v>
      </c>
      <c r="M184" s="333" t="s">
        <v>466</v>
      </c>
      <c r="N184" s="333"/>
      <c r="O184" s="339">
        <v>365</v>
      </c>
      <c r="P184" s="340" t="str">
        <f t="shared" ref="P184:P195" si="505">IF(O184&lt;=0,"",IF(O184&lt;=2,"Muy Baja",IF(O184&lt;=24,"Baja",IF(O184&lt;=500,"Media",IF(O184&lt;=5000,"Alta","Muy Alta")))))</f>
        <v>Media</v>
      </c>
      <c r="Q184" s="341">
        <f t="shared" ref="Q184:Q195" si="506">IF(P184="","",IF(P184="Muy Baja",0.2,IF(P184="Baja",0.4,IF(P184="Media",0.6,IF(P184="Alta",0.8,IF(P184="Muy Alta",1,))))))</f>
        <v>0.6</v>
      </c>
      <c r="R184" s="341" t="s">
        <v>189</v>
      </c>
      <c r="S184" s="341" t="str">
        <f ca="1">IF(NOT(ISERROR(MATCH(R184,'Tabla Impacto'!$B$221:$B$223,0))),'Tabla Impacto'!$F$223&amp;"Por favor no seleccionar los criterios de impacto(Afectación Económica o presupuestal y Pérdida Reputacional)",R184)</f>
        <v xml:space="preserve">Entre 50 y 100 SMLMV </v>
      </c>
      <c r="T184" s="340" t="str">
        <f ca="1">+IF(OR(S184='[1]Tabla Impacto'!$C$11,S184='[1]Tabla Impacto'!$D$11),"Leve",IF(OR(S184='[1]Tabla Impacto'!$C$12,S184='[1]Tabla Impacto'!$D$12),"Menor",IF(OR(S184='[1]Tabla Impacto'!$C$13,S184='[1]Tabla Impacto'!$D$13),"Moderado",IF(OR(S184='[1]Tabla Impacto'!$C$14,S184='[1]Tabla Impacto'!$D$14),"Mayor",IF(OR(S184='[1]Tabla Impacto'!$C$15,S184='[1]Tabla Impacto'!$D$15),"Catastrófico","")))))</f>
        <v>Moderado</v>
      </c>
      <c r="U184" s="341">
        <f t="shared" ref="U184" ca="1" si="507">IF(T184="","",IF(T184="Leve",0.2,IF(T184="Menor",0.4,IF(T184="Moderado",0.6,IF(T184="Mayor",0.8,IF(T184="Catastrófico",1,))))))</f>
        <v>0.6</v>
      </c>
      <c r="V184" s="327" t="str">
        <f t="shared" ref="V184" ca="1" si="508">IF(OR(AND(P184="Muy Baja",T184="Leve"),AND(P184="Muy Baja",T184="Menor"),AND(P184="Baja",T184="Leve")),"Bajo",IF(OR(AND(P184="Muy baja",T184="Moderado"),AND(P184="Baja",T184="Menor"),AND(P184="Baja",T184="Moderado"),AND(P184="Media",T184="Leve"),AND(P184="Media",T184="Menor"),AND(P184="Media",T184="Moderado"),AND(P184="Alta",T184="Leve"),AND(P184="Alta",T184="Menor")),"Moderado",IF(OR(AND(P184="Muy Baja",T184="Mayor"),AND(P184="Baja",T184="Mayor"),AND(P184="Media",T184="Mayor"),AND(P184="Alta",T184="Moderado"),AND(P184="Alta",T184="Mayor"),AND(P184="Muy Alta",T184="Leve"),AND(P184="Muy Alta",T184="Menor"),AND(P184="Muy Alta",T184="Moderado"),AND(P184="Muy Alta",T184="Mayor")),"Alto",IF(OR(AND(P184="Muy Baja",T184="Catastrófico"),AND(P184="Baja",T184="Catastrófico"),AND(P184="Media",T184="Catastrófico"),AND(P184="Alta",T184="Catastrófico"),AND(P184="Muy Alta",T184="Catastrófico")),"Extremo",""))))</f>
        <v>Moderado</v>
      </c>
      <c r="W184" s="233">
        <v>1</v>
      </c>
      <c r="X184" s="212" t="s">
        <v>824</v>
      </c>
      <c r="Y184" s="230" t="str">
        <f t="shared" si="488"/>
        <v>Probabilidad</v>
      </c>
      <c r="Z184" s="185" t="s">
        <v>208</v>
      </c>
      <c r="AA184" s="185" t="s">
        <v>216</v>
      </c>
      <c r="AB184" s="186" t="str">
        <f t="shared" si="463"/>
        <v>40%</v>
      </c>
      <c r="AC184" s="185" t="s">
        <v>219</v>
      </c>
      <c r="AD184" s="185" t="s">
        <v>224</v>
      </c>
      <c r="AE184" s="185" t="s">
        <v>228</v>
      </c>
      <c r="AF184" s="187">
        <f t="shared" ref="AF184" si="509">IFERROR(IF(Y184="Probabilidad",(Q184-(+Q184*AB184)),IF(Y184="Impacto",Q184,"")),"")</f>
        <v>0.36</v>
      </c>
      <c r="AG184" s="188" t="str">
        <f t="shared" si="490"/>
        <v>Baja</v>
      </c>
      <c r="AH184" s="186">
        <f t="shared" si="491"/>
        <v>0.36</v>
      </c>
      <c r="AI184" s="188" t="str">
        <f t="shared" ca="1" si="492"/>
        <v>Moderado</v>
      </c>
      <c r="AJ184" s="186">
        <f t="shared" ref="AJ184" ca="1" si="510">IFERROR(IF(Y184="Impacto",(U184-(+U184*AB184)),IF(Y184="Probabilidad",U184,"")),"")</f>
        <v>0.6</v>
      </c>
      <c r="AK184" s="189" t="str">
        <f t="shared" ca="1" si="494"/>
        <v>Moderado</v>
      </c>
      <c r="AL184" s="185" t="s">
        <v>255</v>
      </c>
      <c r="AM184" s="227"/>
      <c r="AN184" s="230"/>
      <c r="AO184" s="228"/>
      <c r="AP184" s="228"/>
      <c r="AQ184" s="227"/>
      <c r="AR184" s="229"/>
    </row>
    <row r="185" spans="1:44" s="191" customFormat="1" ht="129.75" customHeight="1" thickTop="1" thickBot="1" x14ac:dyDescent="0.3">
      <c r="A185" s="328"/>
      <c r="B185" s="329"/>
      <c r="C185" s="333"/>
      <c r="D185" s="335"/>
      <c r="E185" s="333"/>
      <c r="F185" s="351"/>
      <c r="G185" s="351"/>
      <c r="H185" s="350"/>
      <c r="I185" s="338"/>
      <c r="J185" s="338"/>
      <c r="K185" s="338"/>
      <c r="L185" s="338"/>
      <c r="M185" s="333"/>
      <c r="N185" s="333"/>
      <c r="O185" s="339"/>
      <c r="P185" s="340"/>
      <c r="Q185" s="341"/>
      <c r="R185" s="341"/>
      <c r="S185" s="341">
        <f ca="1">IF(NOT(ISERROR(MATCH(R185,_xlfn.ANCHORARRAY(H191),0))),Q193&amp;"Por favor no seleccionar los criterios de impacto",R185)</f>
        <v>0</v>
      </c>
      <c r="T185" s="340"/>
      <c r="U185" s="341"/>
      <c r="V185" s="327"/>
      <c r="W185" s="233">
        <v>2</v>
      </c>
      <c r="X185" s="212" t="s">
        <v>825</v>
      </c>
      <c r="Y185" s="230" t="str">
        <f t="shared" si="488"/>
        <v>Probabilidad</v>
      </c>
      <c r="Z185" s="185" t="s">
        <v>208</v>
      </c>
      <c r="AA185" s="185" t="s">
        <v>216</v>
      </c>
      <c r="AB185" s="186" t="str">
        <f t="shared" si="463"/>
        <v>40%</v>
      </c>
      <c r="AC185" s="185" t="s">
        <v>219</v>
      </c>
      <c r="AD185" s="185" t="s">
        <v>224</v>
      </c>
      <c r="AE185" s="185" t="s">
        <v>228</v>
      </c>
      <c r="AF185" s="187">
        <f t="shared" ref="AF185:AF186" si="511">IFERROR(IF(AND(Y184="Probabilidad",Y185="Probabilidad"),(AH184-(+AH184*AB185)),IF(Y185="Probabilidad",(Q184-(+Q184*AB185)),IF(Y185="Impacto",AH184,""))),"")</f>
        <v>0.216</v>
      </c>
      <c r="AG185" s="188" t="str">
        <f t="shared" si="490"/>
        <v>Baja</v>
      </c>
      <c r="AH185" s="186">
        <f t="shared" si="491"/>
        <v>0.216</v>
      </c>
      <c r="AI185" s="188" t="str">
        <f t="shared" ca="1" si="492"/>
        <v>Moderado</v>
      </c>
      <c r="AJ185" s="186">
        <f t="shared" ref="AJ185" ca="1" si="512">IFERROR(IF(AND(Y184="Impacto",Y185="Impacto"),(AJ184-(+AJ184*AB185)),IF(Y185="Impacto",(U184-(+U184*AB185)),IF(Y185="Probabilidad",AJ184,""))),"")</f>
        <v>0.6</v>
      </c>
      <c r="AK185" s="189" t="str">
        <f t="shared" ca="1" si="494"/>
        <v>Moderado</v>
      </c>
      <c r="AL185" s="185" t="s">
        <v>255</v>
      </c>
      <c r="AM185" s="227"/>
      <c r="AN185" s="230"/>
      <c r="AO185" s="228"/>
      <c r="AP185" s="228"/>
      <c r="AQ185" s="227"/>
      <c r="AR185" s="229"/>
    </row>
    <row r="186" spans="1:44" s="191" customFormat="1" ht="144" customHeight="1" thickTop="1" thickBot="1" x14ac:dyDescent="0.3">
      <c r="A186" s="328"/>
      <c r="B186" s="329"/>
      <c r="C186" s="333"/>
      <c r="D186" s="335"/>
      <c r="E186" s="333"/>
      <c r="F186" s="351"/>
      <c r="G186" s="351"/>
      <c r="H186" s="350"/>
      <c r="I186" s="338"/>
      <c r="J186" s="338"/>
      <c r="K186" s="338"/>
      <c r="L186" s="338"/>
      <c r="M186" s="333"/>
      <c r="N186" s="333"/>
      <c r="O186" s="339"/>
      <c r="P186" s="340"/>
      <c r="Q186" s="341"/>
      <c r="R186" s="341"/>
      <c r="S186" s="341">
        <f ca="1">IF(NOT(ISERROR(MATCH(R186,_xlfn.ANCHORARRAY(H192),0))),Q194&amp;"Por favor no seleccionar los criterios de impacto",R186)</f>
        <v>0</v>
      </c>
      <c r="T186" s="340"/>
      <c r="U186" s="341"/>
      <c r="V186" s="327"/>
      <c r="W186" s="233">
        <v>3</v>
      </c>
      <c r="X186" s="212" t="s">
        <v>1082</v>
      </c>
      <c r="Y186" s="230" t="str">
        <f t="shared" si="488"/>
        <v>Probabilidad</v>
      </c>
      <c r="Z186" s="185" t="s">
        <v>208</v>
      </c>
      <c r="AA186" s="185" t="s">
        <v>216</v>
      </c>
      <c r="AB186" s="186" t="str">
        <f t="shared" si="463"/>
        <v>40%</v>
      </c>
      <c r="AC186" s="185" t="s">
        <v>219</v>
      </c>
      <c r="AD186" s="185" t="s">
        <v>224</v>
      </c>
      <c r="AE186" s="185" t="s">
        <v>228</v>
      </c>
      <c r="AF186" s="187">
        <f t="shared" si="511"/>
        <v>0.12959999999999999</v>
      </c>
      <c r="AG186" s="188" t="str">
        <f t="shared" si="490"/>
        <v>Muy Baja</v>
      </c>
      <c r="AH186" s="186">
        <f t="shared" si="491"/>
        <v>0.12959999999999999</v>
      </c>
      <c r="AI186" s="188" t="str">
        <f t="shared" ca="1" si="492"/>
        <v>Moderado</v>
      </c>
      <c r="AJ186" s="186">
        <f t="shared" ref="AJ186" ca="1" si="513">IFERROR(IF(AND(Y185="Impacto",Y186="Impacto"),(AJ185-(+AJ185*AB186)),IF(AND(Y185="Probabilidad",Y186="Impacto"),(AJ184-(+AJ184*AB186)),IF(Y186="Probabilidad",AJ185,""))),"")</f>
        <v>0.6</v>
      </c>
      <c r="AK186" s="189" t="str">
        <f t="shared" ca="1" si="494"/>
        <v>Moderado</v>
      </c>
      <c r="AL186" s="185" t="s">
        <v>255</v>
      </c>
      <c r="AM186" s="227"/>
      <c r="AN186" s="230"/>
      <c r="AO186" s="228"/>
      <c r="AP186" s="228"/>
      <c r="AQ186" s="227"/>
      <c r="AR186" s="229"/>
    </row>
    <row r="187" spans="1:44" s="191" customFormat="1" ht="139.5" customHeight="1" thickTop="1" thickBot="1" x14ac:dyDescent="0.3">
      <c r="A187" s="328">
        <v>74</v>
      </c>
      <c r="B187" s="329" t="s">
        <v>826</v>
      </c>
      <c r="C187" s="333" t="s">
        <v>277</v>
      </c>
      <c r="D187" s="335" t="s">
        <v>980</v>
      </c>
      <c r="E187" s="335" t="s">
        <v>240</v>
      </c>
      <c r="F187" s="336" t="s">
        <v>827</v>
      </c>
      <c r="G187" s="336" t="s">
        <v>828</v>
      </c>
      <c r="H187" s="337" t="s">
        <v>1191</v>
      </c>
      <c r="I187" s="338" t="s">
        <v>593</v>
      </c>
      <c r="J187" s="338" t="s">
        <v>593</v>
      </c>
      <c r="K187" s="338" t="s">
        <v>593</v>
      </c>
      <c r="L187" s="338" t="s">
        <v>593</v>
      </c>
      <c r="M187" s="349" t="s">
        <v>244</v>
      </c>
      <c r="N187" s="333"/>
      <c r="O187" s="339">
        <v>365</v>
      </c>
      <c r="P187" s="340" t="str">
        <f t="shared" si="505"/>
        <v>Media</v>
      </c>
      <c r="Q187" s="341">
        <f t="shared" si="506"/>
        <v>0.6</v>
      </c>
      <c r="R187" s="341" t="s">
        <v>192</v>
      </c>
      <c r="S187" s="341" t="str">
        <f ca="1">IF(NOT(ISERROR(MATCH(R187,'Tabla Impacto'!$B$221:$B$223,0))),'Tabla Impacto'!$F$223&amp;"Por favor no seleccionar los criterios de impacto(Afectación Económica o presupuestal y Pérdida Reputacional)",R187)</f>
        <v xml:space="preserve">Entre 100 y 500 SMLMV </v>
      </c>
      <c r="T187" s="340" t="str">
        <f ca="1">+IF(OR(S187='[1]Tabla Impacto'!$C$11,S187='[1]Tabla Impacto'!$D$11),"Leve",IF(OR(S187='[1]Tabla Impacto'!$C$12,S187='[1]Tabla Impacto'!$D$12),"Menor",IF(OR(S187='[1]Tabla Impacto'!$C$13,S187='[1]Tabla Impacto'!$D$13),"Moderado",IF(OR(S187='[1]Tabla Impacto'!$C$14,S187='[1]Tabla Impacto'!$D$14),"Mayor",IF(OR(S187='[1]Tabla Impacto'!$C$15,S187='[1]Tabla Impacto'!$D$15),"Catastrófico","")))))</f>
        <v>Mayor</v>
      </c>
      <c r="U187" s="341">
        <f t="shared" ref="U187" ca="1" si="514">IF(T187="","",IF(T187="Leve",0.2,IF(T187="Menor",0.4,IF(T187="Moderado",0.6,IF(T187="Mayor",0.8,IF(T187="Catastrófico",1,))))))</f>
        <v>0.8</v>
      </c>
      <c r="V187" s="327" t="str">
        <f t="shared" ref="V187" ca="1" si="515">IF(OR(AND(P187="Muy Baja",T187="Leve"),AND(P187="Muy Baja",T187="Menor"),AND(P187="Baja",T187="Leve")),"Bajo",IF(OR(AND(P187="Muy baja",T187="Moderado"),AND(P187="Baja",T187="Menor"),AND(P187="Baja",T187="Moderado"),AND(P187="Media",T187="Leve"),AND(P187="Media",T187="Menor"),AND(P187="Media",T187="Moderado"),AND(P187="Alta",T187="Leve"),AND(P187="Alta",T187="Menor")),"Moderado",IF(OR(AND(P187="Muy Baja",T187="Mayor"),AND(P187="Baja",T187="Mayor"),AND(P187="Media",T187="Mayor"),AND(P187="Alta",T187="Moderado"),AND(P187="Alta",T187="Mayor"),AND(P187="Muy Alta",T187="Leve"),AND(P187="Muy Alta",T187="Menor"),AND(P187="Muy Alta",T187="Moderado"),AND(P187="Muy Alta",T187="Mayor")),"Alto",IF(OR(AND(P187="Muy Baja",T187="Catastrófico"),AND(P187="Baja",T187="Catastrófico"),AND(P187="Media",T187="Catastrófico"),AND(P187="Alta",T187="Catastrófico"),AND(P187="Muy Alta",T187="Catastrófico")),"Extremo",""))))</f>
        <v>Alto</v>
      </c>
      <c r="W187" s="233">
        <v>1</v>
      </c>
      <c r="X187" s="207" t="s">
        <v>829</v>
      </c>
      <c r="Y187" s="230" t="str">
        <f t="shared" si="488"/>
        <v>Probabilidad</v>
      </c>
      <c r="Z187" s="185" t="s">
        <v>208</v>
      </c>
      <c r="AA187" s="185" t="s">
        <v>216</v>
      </c>
      <c r="AB187" s="186" t="str">
        <f t="shared" si="463"/>
        <v>40%</v>
      </c>
      <c r="AC187" s="185" t="s">
        <v>219</v>
      </c>
      <c r="AD187" s="185" t="s">
        <v>224</v>
      </c>
      <c r="AE187" s="185" t="s">
        <v>228</v>
      </c>
      <c r="AF187" s="187">
        <f t="shared" ref="AF187" si="516">IFERROR(IF(Y187="Probabilidad",(Q187-(+Q187*AB187)),IF(Y187="Impacto",Q187,"")),"")</f>
        <v>0.36</v>
      </c>
      <c r="AG187" s="188" t="str">
        <f t="shared" si="490"/>
        <v>Baja</v>
      </c>
      <c r="AH187" s="186">
        <f t="shared" si="491"/>
        <v>0.36</v>
      </c>
      <c r="AI187" s="188" t="str">
        <f t="shared" ca="1" si="492"/>
        <v>Mayor</v>
      </c>
      <c r="AJ187" s="186">
        <f t="shared" ref="AJ187" ca="1" si="517">IFERROR(IF(Y187="Impacto",(U187-(+U187*AB187)),IF(Y187="Probabilidad",U187,"")),"")</f>
        <v>0.8</v>
      </c>
      <c r="AK187" s="189" t="str">
        <f t="shared" ca="1" si="494"/>
        <v>Alto</v>
      </c>
      <c r="AL187" s="185" t="s">
        <v>262</v>
      </c>
      <c r="AM187" s="356" t="s">
        <v>830</v>
      </c>
      <c r="AN187" s="357" t="s">
        <v>832</v>
      </c>
      <c r="AO187" s="358">
        <v>45689</v>
      </c>
      <c r="AP187" s="359" t="s">
        <v>535</v>
      </c>
      <c r="AQ187" s="333" t="s">
        <v>831</v>
      </c>
      <c r="AR187" s="360" t="s">
        <v>259</v>
      </c>
    </row>
    <row r="188" spans="1:44" s="191" customFormat="1" ht="210" customHeight="1" thickTop="1" thickBot="1" x14ac:dyDescent="0.3">
      <c r="A188" s="328"/>
      <c r="B188" s="329"/>
      <c r="C188" s="333"/>
      <c r="D188" s="335"/>
      <c r="E188" s="335"/>
      <c r="F188" s="336"/>
      <c r="G188" s="336"/>
      <c r="H188" s="337"/>
      <c r="I188" s="338"/>
      <c r="J188" s="338"/>
      <c r="K188" s="338"/>
      <c r="L188" s="338"/>
      <c r="M188" s="349"/>
      <c r="N188" s="333"/>
      <c r="O188" s="339"/>
      <c r="P188" s="340"/>
      <c r="Q188" s="341"/>
      <c r="R188" s="341"/>
      <c r="S188" s="341">
        <f ca="1">IF(NOT(ISERROR(MATCH(R188,_xlfn.ANCHORARRAY(H195),0))),#REF!&amp;"Por favor no seleccionar los criterios de impacto",R188)</f>
        <v>0</v>
      </c>
      <c r="T188" s="340"/>
      <c r="U188" s="341"/>
      <c r="V188" s="327"/>
      <c r="W188" s="233">
        <v>2</v>
      </c>
      <c r="X188" s="207" t="s">
        <v>1083</v>
      </c>
      <c r="Y188" s="230" t="str">
        <f t="shared" si="488"/>
        <v>Probabilidad</v>
      </c>
      <c r="Z188" s="185" t="s">
        <v>208</v>
      </c>
      <c r="AA188" s="185" t="s">
        <v>216</v>
      </c>
      <c r="AB188" s="186" t="str">
        <f t="shared" si="463"/>
        <v>40%</v>
      </c>
      <c r="AC188" s="185" t="s">
        <v>219</v>
      </c>
      <c r="AD188" s="185" t="s">
        <v>224</v>
      </c>
      <c r="AE188" s="185" t="s">
        <v>228</v>
      </c>
      <c r="AF188" s="187">
        <f t="shared" ref="AF188:AF190" si="518">IFERROR(IF(AND(Y187="Probabilidad",Y188="Probabilidad"),(AH187-(+AH187*AB188)),IF(Y188="Probabilidad",(Q187-(+Q187*AB188)),IF(Y188="Impacto",AH187,""))),"")</f>
        <v>0.216</v>
      </c>
      <c r="AG188" s="188" t="str">
        <f t="shared" si="490"/>
        <v>Baja</v>
      </c>
      <c r="AH188" s="186">
        <f t="shared" si="491"/>
        <v>0.216</v>
      </c>
      <c r="AI188" s="188" t="str">
        <f t="shared" ca="1" si="492"/>
        <v>Mayor</v>
      </c>
      <c r="AJ188" s="186">
        <f t="shared" ref="AJ188" ca="1" si="519">IFERROR(IF(AND(Y187="Impacto",Y188="Impacto"),(AJ187-(+AJ187*AB188)),IF(Y188="Impacto",(U187-(+U187*AB188)),IF(Y188="Probabilidad",AJ187,""))),"")</f>
        <v>0.8</v>
      </c>
      <c r="AK188" s="189" t="str">
        <f t="shared" ca="1" si="494"/>
        <v>Alto</v>
      </c>
      <c r="AL188" s="185" t="s">
        <v>262</v>
      </c>
      <c r="AM188" s="356"/>
      <c r="AN188" s="357"/>
      <c r="AO188" s="358"/>
      <c r="AP188" s="359"/>
      <c r="AQ188" s="333"/>
      <c r="AR188" s="360"/>
    </row>
    <row r="189" spans="1:44" s="191" customFormat="1" ht="154.5" customHeight="1" thickTop="1" thickBot="1" x14ac:dyDescent="0.3">
      <c r="A189" s="328"/>
      <c r="B189" s="329"/>
      <c r="C189" s="333"/>
      <c r="D189" s="335"/>
      <c r="E189" s="335"/>
      <c r="F189" s="336"/>
      <c r="G189" s="336"/>
      <c r="H189" s="337"/>
      <c r="I189" s="338"/>
      <c r="J189" s="338"/>
      <c r="K189" s="338"/>
      <c r="L189" s="338"/>
      <c r="M189" s="349"/>
      <c r="N189" s="333"/>
      <c r="O189" s="339"/>
      <c r="P189" s="340"/>
      <c r="Q189" s="341"/>
      <c r="R189" s="341"/>
      <c r="S189" s="341">
        <f ca="1">IF(NOT(ISERROR(MATCH(R189,_xlfn.ANCHORARRAY(H196),0))),#REF!&amp;"Por favor no seleccionar los criterios de impacto",R189)</f>
        <v>0</v>
      </c>
      <c r="T189" s="340"/>
      <c r="U189" s="341"/>
      <c r="V189" s="327"/>
      <c r="W189" s="233">
        <v>3</v>
      </c>
      <c r="X189" s="207" t="s">
        <v>1084</v>
      </c>
      <c r="Y189" s="230" t="str">
        <f t="shared" si="488"/>
        <v>Probabilidad</v>
      </c>
      <c r="Z189" s="185" t="s">
        <v>208</v>
      </c>
      <c r="AA189" s="185" t="s">
        <v>216</v>
      </c>
      <c r="AB189" s="186" t="str">
        <f t="shared" si="463"/>
        <v>40%</v>
      </c>
      <c r="AC189" s="185" t="s">
        <v>219</v>
      </c>
      <c r="AD189" s="185" t="s">
        <v>224</v>
      </c>
      <c r="AE189" s="185" t="s">
        <v>228</v>
      </c>
      <c r="AF189" s="187">
        <f t="shared" si="518"/>
        <v>0.12959999999999999</v>
      </c>
      <c r="AG189" s="188" t="str">
        <f t="shared" si="490"/>
        <v>Muy Baja</v>
      </c>
      <c r="AH189" s="186">
        <f t="shared" si="491"/>
        <v>0.12959999999999999</v>
      </c>
      <c r="AI189" s="188" t="str">
        <f t="shared" ca="1" si="492"/>
        <v>Mayor</v>
      </c>
      <c r="AJ189" s="186">
        <f t="shared" ref="AJ189:AJ190" ca="1" si="520">IFERROR(IF(AND(Y188="Impacto",Y189="Impacto"),(AJ188-(+AJ188*AB189)),IF(AND(Y188="Probabilidad",Y189="Impacto"),(AJ187-(+AJ187*AB189)),IF(Y189="Probabilidad",AJ188,""))),"")</f>
        <v>0.8</v>
      </c>
      <c r="AK189" s="189" t="str">
        <f t="shared" ca="1" si="494"/>
        <v>Alto</v>
      </c>
      <c r="AL189" s="185" t="s">
        <v>262</v>
      </c>
      <c r="AM189" s="356"/>
      <c r="AN189" s="357"/>
      <c r="AO189" s="358"/>
      <c r="AP189" s="359"/>
      <c r="AQ189" s="333"/>
      <c r="AR189" s="360"/>
    </row>
    <row r="190" spans="1:44" s="191" customFormat="1" ht="326.25" customHeight="1" thickTop="1" thickBot="1" x14ac:dyDescent="0.3">
      <c r="A190" s="328"/>
      <c r="B190" s="329"/>
      <c r="C190" s="333"/>
      <c r="D190" s="335"/>
      <c r="E190" s="335"/>
      <c r="F190" s="336"/>
      <c r="G190" s="336"/>
      <c r="H190" s="337"/>
      <c r="I190" s="338"/>
      <c r="J190" s="338"/>
      <c r="K190" s="338"/>
      <c r="L190" s="338"/>
      <c r="M190" s="349"/>
      <c r="N190" s="333"/>
      <c r="O190" s="339"/>
      <c r="P190" s="340"/>
      <c r="Q190" s="341"/>
      <c r="R190" s="341"/>
      <c r="S190" s="341">
        <f ca="1">IF(NOT(ISERROR(MATCH(R190,_xlfn.ANCHORARRAY(#REF!),0))),#REF!&amp;"Por favor no seleccionar los criterios de impacto",R190)</f>
        <v>0</v>
      </c>
      <c r="T190" s="340"/>
      <c r="U190" s="341"/>
      <c r="V190" s="327"/>
      <c r="W190" s="233">
        <v>4</v>
      </c>
      <c r="X190" s="207" t="s">
        <v>1107</v>
      </c>
      <c r="Y190" s="230" t="str">
        <f t="shared" si="488"/>
        <v>Probabilidad</v>
      </c>
      <c r="Z190" s="185" t="s">
        <v>210</v>
      </c>
      <c r="AA190" s="185" t="s">
        <v>216</v>
      </c>
      <c r="AB190" s="186" t="str">
        <f t="shared" si="463"/>
        <v>30%</v>
      </c>
      <c r="AC190" s="185" t="s">
        <v>219</v>
      </c>
      <c r="AD190" s="185" t="s">
        <v>224</v>
      </c>
      <c r="AE190" s="185" t="s">
        <v>228</v>
      </c>
      <c r="AF190" s="187">
        <f t="shared" si="518"/>
        <v>9.0719999999999995E-2</v>
      </c>
      <c r="AG190" s="188" t="str">
        <f t="shared" si="490"/>
        <v>Muy Baja</v>
      </c>
      <c r="AH190" s="186">
        <f t="shared" si="491"/>
        <v>9.0719999999999995E-2</v>
      </c>
      <c r="AI190" s="188" t="str">
        <f t="shared" ca="1" si="492"/>
        <v>Mayor</v>
      </c>
      <c r="AJ190" s="186">
        <f t="shared" ca="1" si="520"/>
        <v>0.8</v>
      </c>
      <c r="AK190" s="189" t="str">
        <f t="shared" ca="1" si="494"/>
        <v>Alto</v>
      </c>
      <c r="AL190" s="185" t="s">
        <v>262</v>
      </c>
      <c r="AM190" s="356"/>
      <c r="AN190" s="357"/>
      <c r="AO190" s="358"/>
      <c r="AP190" s="359"/>
      <c r="AQ190" s="333"/>
      <c r="AR190" s="360"/>
    </row>
    <row r="191" spans="1:44" s="191" customFormat="1" ht="141.75" customHeight="1" thickTop="1" thickBot="1" x14ac:dyDescent="0.3">
      <c r="A191" s="328">
        <v>75</v>
      </c>
      <c r="B191" s="329" t="s">
        <v>833</v>
      </c>
      <c r="C191" s="333" t="s">
        <v>277</v>
      </c>
      <c r="D191" s="335" t="s">
        <v>980</v>
      </c>
      <c r="E191" s="335" t="s">
        <v>236</v>
      </c>
      <c r="F191" s="336" t="s">
        <v>827</v>
      </c>
      <c r="G191" s="336" t="s">
        <v>834</v>
      </c>
      <c r="H191" s="337" t="s">
        <v>1192</v>
      </c>
      <c r="I191" s="338" t="s">
        <v>593</v>
      </c>
      <c r="J191" s="338" t="s">
        <v>593</v>
      </c>
      <c r="K191" s="338" t="s">
        <v>593</v>
      </c>
      <c r="L191" s="338" t="s">
        <v>593</v>
      </c>
      <c r="M191" s="349" t="s">
        <v>244</v>
      </c>
      <c r="N191" s="333"/>
      <c r="O191" s="339">
        <v>365</v>
      </c>
      <c r="P191" s="340" t="str">
        <f t="shared" si="505"/>
        <v>Media</v>
      </c>
      <c r="Q191" s="341">
        <f t="shared" si="506"/>
        <v>0.6</v>
      </c>
      <c r="R191" s="341" t="s">
        <v>192</v>
      </c>
      <c r="S191" s="341" t="str">
        <f ca="1">IF(NOT(ISERROR(MATCH(R191,'Tabla Impacto'!$B$221:$B$223,0))),'Tabla Impacto'!$F$223&amp;"Por favor no seleccionar los criterios de impacto(Afectación Económica o presupuestal y Pérdida Reputacional)",R191)</f>
        <v xml:space="preserve">Entre 100 y 500 SMLMV </v>
      </c>
      <c r="T191" s="340" t="str">
        <f ca="1">+IF(OR(S191='[1]Tabla Impacto'!$C$11,S191='[1]Tabla Impacto'!$D$11),"Leve",IF(OR(S191='[1]Tabla Impacto'!$C$12,S191='[1]Tabla Impacto'!$D$12),"Menor",IF(OR(S191='[1]Tabla Impacto'!$C$13,S191='[1]Tabla Impacto'!$D$13),"Moderado",IF(OR(S191='[1]Tabla Impacto'!$C$14,S191='[1]Tabla Impacto'!$D$14),"Mayor",IF(OR(S191='[1]Tabla Impacto'!$C$15,S191='[1]Tabla Impacto'!$D$15),"Catastrófico","")))))</f>
        <v>Mayor</v>
      </c>
      <c r="U191" s="341">
        <f t="shared" ref="U191" ca="1" si="521">IF(T191="","",IF(T191="Leve",0.2,IF(T191="Menor",0.4,IF(T191="Moderado",0.6,IF(T191="Mayor",0.8,IF(T191="Catastrófico",1,))))))</f>
        <v>0.8</v>
      </c>
      <c r="V191" s="327" t="str">
        <f t="shared" ref="V191" ca="1" si="522">IF(OR(AND(P191="Muy Baja",T191="Leve"),AND(P191="Muy Baja",T191="Menor"),AND(P191="Baja",T191="Leve")),"Bajo",IF(OR(AND(P191="Muy baja",T191="Moderado"),AND(P191="Baja",T191="Menor"),AND(P191="Baja",T191="Moderado"),AND(P191="Media",T191="Leve"),AND(P191="Media",T191="Menor"),AND(P191="Media",T191="Moderado"),AND(P191="Alta",T191="Leve"),AND(P191="Alta",T191="Menor")),"Moderado",IF(OR(AND(P191="Muy Baja",T191="Mayor"),AND(P191="Baja",T191="Mayor"),AND(P191="Media",T191="Mayor"),AND(P191="Alta",T191="Moderado"),AND(P191="Alta",T191="Mayor"),AND(P191="Muy Alta",T191="Leve"),AND(P191="Muy Alta",T191="Menor"),AND(P191="Muy Alta",T191="Moderado"),AND(P191="Muy Alta",T191="Mayor")),"Alto",IF(OR(AND(P191="Muy Baja",T191="Catastrófico"),AND(P191="Baja",T191="Catastrófico"),AND(P191="Media",T191="Catastrófico"),AND(P191="Alta",T191="Catastrófico"),AND(P191="Muy Alta",T191="Catastrófico")),"Extremo",""))))</f>
        <v>Alto</v>
      </c>
      <c r="W191" s="233">
        <v>1</v>
      </c>
      <c r="X191" s="208" t="s">
        <v>1085</v>
      </c>
      <c r="Y191" s="230" t="str">
        <f t="shared" si="488"/>
        <v>Probabilidad</v>
      </c>
      <c r="Z191" s="185" t="s">
        <v>208</v>
      </c>
      <c r="AA191" s="185" t="s">
        <v>216</v>
      </c>
      <c r="AB191" s="186" t="str">
        <f t="shared" si="463"/>
        <v>40%</v>
      </c>
      <c r="AC191" s="185" t="s">
        <v>219</v>
      </c>
      <c r="AD191" s="185" t="s">
        <v>224</v>
      </c>
      <c r="AE191" s="185" t="s">
        <v>228</v>
      </c>
      <c r="AF191" s="187">
        <f t="shared" ref="AF191" si="523">IFERROR(IF(Y191="Probabilidad",(Q191-(+Q191*AB191)),IF(Y191="Impacto",Q191,"")),"")</f>
        <v>0.36</v>
      </c>
      <c r="AG191" s="188" t="str">
        <f t="shared" si="490"/>
        <v>Baja</v>
      </c>
      <c r="AH191" s="186">
        <f t="shared" si="491"/>
        <v>0.36</v>
      </c>
      <c r="AI191" s="188" t="str">
        <f t="shared" ca="1" si="492"/>
        <v>Mayor</v>
      </c>
      <c r="AJ191" s="186">
        <f t="shared" ref="AJ191" ca="1" si="524">IFERROR(IF(Y191="Impacto",(U191-(+U191*AB191)),IF(Y191="Probabilidad",U191,"")),"")</f>
        <v>0.8</v>
      </c>
      <c r="AK191" s="189" t="str">
        <f t="shared" ca="1" si="494"/>
        <v>Alto</v>
      </c>
      <c r="AL191" s="185" t="s">
        <v>262</v>
      </c>
      <c r="AM191" s="356" t="s">
        <v>835</v>
      </c>
      <c r="AN191" s="359" t="s">
        <v>836</v>
      </c>
      <c r="AO191" s="358">
        <v>45689</v>
      </c>
      <c r="AP191" s="357" t="s">
        <v>535</v>
      </c>
      <c r="AQ191" s="359"/>
      <c r="AR191" s="360" t="s">
        <v>259</v>
      </c>
    </row>
    <row r="192" spans="1:44" s="191" customFormat="1" ht="126.75" customHeight="1" thickTop="1" thickBot="1" x14ac:dyDescent="0.3">
      <c r="A192" s="328"/>
      <c r="B192" s="329"/>
      <c r="C192" s="333"/>
      <c r="D192" s="335"/>
      <c r="E192" s="335"/>
      <c r="F192" s="336"/>
      <c r="G192" s="336"/>
      <c r="H192" s="337"/>
      <c r="I192" s="338"/>
      <c r="J192" s="338"/>
      <c r="K192" s="338"/>
      <c r="L192" s="338"/>
      <c r="M192" s="349"/>
      <c r="N192" s="333"/>
      <c r="O192" s="339"/>
      <c r="P192" s="340"/>
      <c r="Q192" s="341"/>
      <c r="R192" s="341"/>
      <c r="S192" s="341">
        <f ca="1">IF(NOT(ISERROR(MATCH(R192,_xlfn.ANCHORARRAY(H203),0))),Q205&amp;"Por favor no seleccionar los criterios de impacto",R192)</f>
        <v>0</v>
      </c>
      <c r="T192" s="340"/>
      <c r="U192" s="341"/>
      <c r="V192" s="327"/>
      <c r="W192" s="233">
        <v>2</v>
      </c>
      <c r="X192" s="208" t="s">
        <v>1086</v>
      </c>
      <c r="Y192" s="230" t="str">
        <f t="shared" si="488"/>
        <v>Probabilidad</v>
      </c>
      <c r="Z192" s="185" t="s">
        <v>208</v>
      </c>
      <c r="AA192" s="185" t="s">
        <v>216</v>
      </c>
      <c r="AB192" s="186" t="str">
        <f t="shared" ref="AB192:AB228" si="525">IF(AND(Z192="Preventivo",AA192="Automático"),"50%",IF(AND(Z192="Preventivo",AA192="Manual"),"40%",IF(AND(Z192="Detectivo",AA192="Automático"),"40%",IF(AND(Z192="Detectivo",AA192="Manual"),"30%",IF(AND(Z192="Correctivo",AA192="Automático"),"35%",IF(AND(Z192="Correctivo",AA192="Manual"),"25%",""))))))</f>
        <v>40%</v>
      </c>
      <c r="AC192" s="185" t="s">
        <v>219</v>
      </c>
      <c r="AD192" s="185" t="s">
        <v>224</v>
      </c>
      <c r="AE192" s="185" t="s">
        <v>228</v>
      </c>
      <c r="AF192" s="187">
        <f t="shared" ref="AF192:AF194" si="526">IFERROR(IF(AND(Y191="Probabilidad",Y192="Probabilidad"),(AH191-(+AH191*AB192)),IF(Y192="Probabilidad",(Q191-(+Q191*AB192)),IF(Y192="Impacto",AH191,""))),"")</f>
        <v>0.216</v>
      </c>
      <c r="AG192" s="188" t="str">
        <f t="shared" si="490"/>
        <v>Baja</v>
      </c>
      <c r="AH192" s="186">
        <f t="shared" si="491"/>
        <v>0.216</v>
      </c>
      <c r="AI192" s="188" t="str">
        <f t="shared" ca="1" si="492"/>
        <v>Mayor</v>
      </c>
      <c r="AJ192" s="186">
        <f t="shared" ref="AJ192" ca="1" si="527">IFERROR(IF(AND(Y191="Impacto",Y192="Impacto"),(AJ191-(+AJ191*AB192)),IF(Y192="Impacto",(U191-(+U191*AB192)),IF(Y192="Probabilidad",AJ191,""))),"")</f>
        <v>0.8</v>
      </c>
      <c r="AK192" s="189" t="str">
        <f t="shared" ca="1" si="494"/>
        <v>Alto</v>
      </c>
      <c r="AL192" s="185" t="s">
        <v>262</v>
      </c>
      <c r="AM192" s="356"/>
      <c r="AN192" s="359"/>
      <c r="AO192" s="358"/>
      <c r="AP192" s="357"/>
      <c r="AQ192" s="359"/>
      <c r="AR192" s="360"/>
    </row>
    <row r="193" spans="1:44" s="191" customFormat="1" ht="132" customHeight="1" thickTop="1" thickBot="1" x14ac:dyDescent="0.3">
      <c r="A193" s="328"/>
      <c r="B193" s="329"/>
      <c r="C193" s="333"/>
      <c r="D193" s="335"/>
      <c r="E193" s="335"/>
      <c r="F193" s="336"/>
      <c r="G193" s="336"/>
      <c r="H193" s="337"/>
      <c r="I193" s="338"/>
      <c r="J193" s="338"/>
      <c r="K193" s="338"/>
      <c r="L193" s="338"/>
      <c r="M193" s="349"/>
      <c r="N193" s="333"/>
      <c r="O193" s="339"/>
      <c r="P193" s="340"/>
      <c r="Q193" s="341"/>
      <c r="R193" s="341"/>
      <c r="S193" s="341">
        <f ca="1">IF(NOT(ISERROR(MATCH(R193,_xlfn.ANCHORARRAY(H204),0))),#REF!&amp;"Por favor no seleccionar los criterios de impacto",R193)</f>
        <v>0</v>
      </c>
      <c r="T193" s="340"/>
      <c r="U193" s="341"/>
      <c r="V193" s="327"/>
      <c r="W193" s="233">
        <v>3</v>
      </c>
      <c r="X193" s="208" t="s">
        <v>1087</v>
      </c>
      <c r="Y193" s="230" t="str">
        <f t="shared" si="488"/>
        <v>Probabilidad</v>
      </c>
      <c r="Z193" s="185" t="s">
        <v>208</v>
      </c>
      <c r="AA193" s="185" t="s">
        <v>216</v>
      </c>
      <c r="AB193" s="186" t="str">
        <f t="shared" si="525"/>
        <v>40%</v>
      </c>
      <c r="AC193" s="185" t="s">
        <v>219</v>
      </c>
      <c r="AD193" s="185" t="s">
        <v>224</v>
      </c>
      <c r="AE193" s="185" t="s">
        <v>228</v>
      </c>
      <c r="AF193" s="187">
        <f t="shared" si="526"/>
        <v>0.12959999999999999</v>
      </c>
      <c r="AG193" s="188" t="str">
        <f t="shared" si="490"/>
        <v>Muy Baja</v>
      </c>
      <c r="AH193" s="186">
        <f t="shared" si="491"/>
        <v>0.12959999999999999</v>
      </c>
      <c r="AI193" s="188" t="str">
        <f t="shared" ca="1" si="492"/>
        <v>Mayor</v>
      </c>
      <c r="AJ193" s="186">
        <f t="shared" ref="AJ193:AJ194" ca="1" si="528">IFERROR(IF(AND(Y192="Impacto",Y193="Impacto"),(AJ192-(+AJ192*AB193)),IF(AND(Y192="Probabilidad",Y193="Impacto"),(AJ191-(+AJ191*AB193)),IF(Y193="Probabilidad",AJ192,""))),"")</f>
        <v>0.8</v>
      </c>
      <c r="AK193" s="189" t="str">
        <f t="shared" ca="1" si="494"/>
        <v>Alto</v>
      </c>
      <c r="AL193" s="185" t="s">
        <v>262</v>
      </c>
      <c r="AM193" s="356"/>
      <c r="AN193" s="359"/>
      <c r="AO193" s="358"/>
      <c r="AP193" s="357"/>
      <c r="AQ193" s="359"/>
      <c r="AR193" s="360"/>
    </row>
    <row r="194" spans="1:44" s="191" customFormat="1" ht="321.75" customHeight="1" thickTop="1" thickBot="1" x14ac:dyDescent="0.3">
      <c r="A194" s="328"/>
      <c r="B194" s="329"/>
      <c r="C194" s="333"/>
      <c r="D194" s="335"/>
      <c r="E194" s="335"/>
      <c r="F194" s="336"/>
      <c r="G194" s="336"/>
      <c r="H194" s="337"/>
      <c r="I194" s="338"/>
      <c r="J194" s="338"/>
      <c r="K194" s="338"/>
      <c r="L194" s="338"/>
      <c r="M194" s="349"/>
      <c r="N194" s="333"/>
      <c r="O194" s="339"/>
      <c r="P194" s="340"/>
      <c r="Q194" s="341"/>
      <c r="R194" s="341"/>
      <c r="S194" s="341">
        <f ca="1">IF(NOT(ISERROR(MATCH(R194,_xlfn.ANCHORARRAY(H205),0))),#REF!&amp;"Por favor no seleccionar los criterios de impacto",R194)</f>
        <v>0</v>
      </c>
      <c r="T194" s="340"/>
      <c r="U194" s="341"/>
      <c r="V194" s="327"/>
      <c r="W194" s="233">
        <v>4</v>
      </c>
      <c r="X194" s="207" t="s">
        <v>1108</v>
      </c>
      <c r="Y194" s="230" t="str">
        <f t="shared" si="488"/>
        <v>Probabilidad</v>
      </c>
      <c r="Z194" s="185" t="s">
        <v>210</v>
      </c>
      <c r="AA194" s="185" t="s">
        <v>216</v>
      </c>
      <c r="AB194" s="186" t="str">
        <f t="shared" si="525"/>
        <v>30%</v>
      </c>
      <c r="AC194" s="185" t="s">
        <v>219</v>
      </c>
      <c r="AD194" s="185" t="s">
        <v>224</v>
      </c>
      <c r="AE194" s="185" t="s">
        <v>228</v>
      </c>
      <c r="AF194" s="187">
        <f t="shared" si="526"/>
        <v>9.0719999999999995E-2</v>
      </c>
      <c r="AG194" s="188" t="str">
        <f t="shared" si="490"/>
        <v>Muy Baja</v>
      </c>
      <c r="AH194" s="186">
        <f t="shared" si="491"/>
        <v>9.0719999999999995E-2</v>
      </c>
      <c r="AI194" s="188" t="str">
        <f t="shared" ca="1" si="492"/>
        <v>Mayor</v>
      </c>
      <c r="AJ194" s="186">
        <f t="shared" ca="1" si="528"/>
        <v>0.8</v>
      </c>
      <c r="AK194" s="189" t="str">
        <f t="shared" ca="1" si="494"/>
        <v>Alto</v>
      </c>
      <c r="AL194" s="185" t="s">
        <v>262</v>
      </c>
      <c r="AM194" s="356"/>
      <c r="AN194" s="359"/>
      <c r="AO194" s="358"/>
      <c r="AP194" s="357"/>
      <c r="AQ194" s="359"/>
      <c r="AR194" s="360"/>
    </row>
    <row r="195" spans="1:44" s="191" customFormat="1" ht="213" customHeight="1" thickTop="1" thickBot="1" x14ac:dyDescent="0.3">
      <c r="A195" s="328">
        <v>76</v>
      </c>
      <c r="B195" s="329" t="s">
        <v>837</v>
      </c>
      <c r="C195" s="333" t="s">
        <v>277</v>
      </c>
      <c r="D195" s="335" t="s">
        <v>980</v>
      </c>
      <c r="E195" s="333" t="s">
        <v>240</v>
      </c>
      <c r="F195" s="351" t="s">
        <v>663</v>
      </c>
      <c r="G195" s="351" t="s">
        <v>838</v>
      </c>
      <c r="H195" s="350" t="s">
        <v>1169</v>
      </c>
      <c r="I195" s="338" t="s">
        <v>474</v>
      </c>
      <c r="J195" s="338" t="s">
        <v>474</v>
      </c>
      <c r="K195" s="338" t="s">
        <v>474</v>
      </c>
      <c r="L195" s="338" t="s">
        <v>474</v>
      </c>
      <c r="M195" s="333" t="s">
        <v>239</v>
      </c>
      <c r="N195" s="333"/>
      <c r="O195" s="339">
        <v>1500</v>
      </c>
      <c r="P195" s="340" t="str">
        <f t="shared" si="505"/>
        <v>Alta</v>
      </c>
      <c r="Q195" s="341">
        <f t="shared" si="506"/>
        <v>0.8</v>
      </c>
      <c r="R195" s="341" t="s">
        <v>184</v>
      </c>
      <c r="S195" s="341" t="str">
        <f ca="1">IF(NOT(ISERROR(MATCH(R195,'Tabla Impacto'!$B$221:$B$223,0))),'Tabla Impacto'!$F$223&amp;"Por favor no seleccionar los criterios de impacto(Afectación Económica o presupuestal y Pérdida Reputacional)",R195)</f>
        <v>El riesgo afecta la imagen de alguna área de la organización</v>
      </c>
      <c r="T195" s="340" t="str">
        <f ca="1">+IF(OR(S195='[1]Tabla Impacto'!$C$11,S195='[1]Tabla Impacto'!$D$11),"Leve",IF(OR(S195='[1]Tabla Impacto'!$C$12,S195='[1]Tabla Impacto'!$D$12),"Menor",IF(OR(S195='[1]Tabla Impacto'!$C$13,S195='[1]Tabla Impacto'!$D$13),"Moderado",IF(OR(S195='[1]Tabla Impacto'!$C$14,S195='[1]Tabla Impacto'!$D$14),"Mayor",IF(OR(S195='[1]Tabla Impacto'!$C$15,S195='[1]Tabla Impacto'!$D$15),"Catastrófico","")))))</f>
        <v>Leve</v>
      </c>
      <c r="U195" s="341">
        <f t="shared" ref="U195" ca="1" si="529">IF(T195="","",IF(T195="Leve",0.2,IF(T195="Menor",0.4,IF(T195="Moderado",0.6,IF(T195="Mayor",0.8,IF(T195="Catastrófico",1,))))))</f>
        <v>0.2</v>
      </c>
      <c r="V195" s="327" t="str">
        <f t="shared" ref="V195" ca="1" si="530">IF(OR(AND(P195="Muy Baja",T195="Leve"),AND(P195="Muy Baja",T195="Menor"),AND(P195="Baja",T195="Leve")),"Bajo",IF(OR(AND(P195="Muy baja",T195="Moderado"),AND(P195="Baja",T195="Menor"),AND(P195="Baja",T195="Moderado"),AND(P195="Media",T195="Leve"),AND(P195="Media",T195="Menor"),AND(P195="Media",T195="Moderado"),AND(P195="Alta",T195="Leve"),AND(P195="Alta",T195="Menor")),"Moderado",IF(OR(AND(P195="Muy Baja",T195="Mayor"),AND(P195="Baja",T195="Mayor"),AND(P195="Media",T195="Mayor"),AND(P195="Alta",T195="Moderado"),AND(P195="Alta",T195="Mayor"),AND(P195="Muy Alta",T195="Leve"),AND(P195="Muy Alta",T195="Menor"),AND(P195="Muy Alta",T195="Moderado"),AND(P195="Muy Alta",T195="Mayor")),"Alto",IF(OR(AND(P195="Muy Baja",T195="Catastrófico"),AND(P195="Baja",T195="Catastrófico"),AND(P195="Media",T195="Catastrófico"),AND(P195="Alta",T195="Catastrófico"),AND(P195="Muy Alta",T195="Catastrófico")),"Extremo",""))))</f>
        <v>Moderado</v>
      </c>
      <c r="W195" s="233">
        <v>1</v>
      </c>
      <c r="X195" s="210" t="s">
        <v>1088</v>
      </c>
      <c r="Y195" s="230" t="str">
        <f t="shared" si="488"/>
        <v>Probabilidad</v>
      </c>
      <c r="Z195" s="185" t="s">
        <v>208</v>
      </c>
      <c r="AA195" s="185" t="s">
        <v>216</v>
      </c>
      <c r="AB195" s="186" t="str">
        <f t="shared" si="525"/>
        <v>40%</v>
      </c>
      <c r="AC195" s="185" t="s">
        <v>219</v>
      </c>
      <c r="AD195" s="185" t="s">
        <v>224</v>
      </c>
      <c r="AE195" s="185" t="s">
        <v>228</v>
      </c>
      <c r="AF195" s="187">
        <f t="shared" ref="AF195" si="531">IFERROR(IF(Y195="Probabilidad",(Q195-(+Q195*AB195)),IF(Y195="Impacto",Q195,"")),"")</f>
        <v>0.48</v>
      </c>
      <c r="AG195" s="188" t="str">
        <f t="shared" si="490"/>
        <v>Media</v>
      </c>
      <c r="AH195" s="186">
        <f t="shared" si="491"/>
        <v>0.48</v>
      </c>
      <c r="AI195" s="188" t="str">
        <f t="shared" ca="1" si="492"/>
        <v>Leve</v>
      </c>
      <c r="AJ195" s="186">
        <f t="shared" ref="AJ195" ca="1" si="532">IFERROR(IF(Y195="Impacto",(U195-(+U195*AB195)),IF(Y195="Probabilidad",U195,"")),"")</f>
        <v>0.2</v>
      </c>
      <c r="AK195" s="189" t="str">
        <f t="shared" ca="1" si="494"/>
        <v>Moderado</v>
      </c>
      <c r="AL195" s="185" t="s">
        <v>255</v>
      </c>
      <c r="AM195" s="227"/>
      <c r="AN195" s="230"/>
      <c r="AO195" s="228"/>
      <c r="AP195" s="228"/>
      <c r="AQ195" s="227"/>
      <c r="AR195" s="229"/>
    </row>
    <row r="196" spans="1:44" s="191" customFormat="1" ht="184.5" customHeight="1" thickTop="1" thickBot="1" x14ac:dyDescent="0.3">
      <c r="A196" s="328"/>
      <c r="B196" s="329"/>
      <c r="C196" s="333"/>
      <c r="D196" s="335"/>
      <c r="E196" s="333"/>
      <c r="F196" s="351"/>
      <c r="G196" s="351"/>
      <c r="H196" s="350"/>
      <c r="I196" s="338"/>
      <c r="J196" s="338"/>
      <c r="K196" s="338"/>
      <c r="L196" s="338"/>
      <c r="M196" s="333"/>
      <c r="N196" s="333"/>
      <c r="O196" s="339"/>
      <c r="P196" s="340"/>
      <c r="Q196" s="341"/>
      <c r="R196" s="341"/>
      <c r="S196" s="341">
        <f ca="1">IF(NOT(ISERROR(MATCH(R196,_xlfn.ANCHORARRAY(H206),0))),Q208&amp;"Por favor no seleccionar los criterios de impacto",R196)</f>
        <v>0</v>
      </c>
      <c r="T196" s="340"/>
      <c r="U196" s="341"/>
      <c r="V196" s="327"/>
      <c r="W196" s="233">
        <v>2</v>
      </c>
      <c r="X196" s="207" t="s">
        <v>1089</v>
      </c>
      <c r="Y196" s="230" t="str">
        <f t="shared" si="488"/>
        <v>Probabilidad</v>
      </c>
      <c r="Z196" s="185" t="s">
        <v>208</v>
      </c>
      <c r="AA196" s="185" t="s">
        <v>216</v>
      </c>
      <c r="AB196" s="186" t="str">
        <f t="shared" si="525"/>
        <v>40%</v>
      </c>
      <c r="AC196" s="185" t="s">
        <v>219</v>
      </c>
      <c r="AD196" s="185" t="s">
        <v>224</v>
      </c>
      <c r="AE196" s="185" t="s">
        <v>228</v>
      </c>
      <c r="AF196" s="187">
        <f t="shared" ref="AF196" si="533">IFERROR(IF(AND(Y195="Probabilidad",Y196="Probabilidad"),(AH195-(+AH195*AB196)),IF(Y196="Probabilidad",(Q195-(+Q195*AB196)),IF(Y196="Impacto",AH195,""))),"")</f>
        <v>0.28799999999999998</v>
      </c>
      <c r="AG196" s="188" t="str">
        <f t="shared" si="490"/>
        <v>Baja</v>
      </c>
      <c r="AH196" s="186">
        <f t="shared" si="491"/>
        <v>0.28799999999999998</v>
      </c>
      <c r="AI196" s="188" t="str">
        <f t="shared" ca="1" si="492"/>
        <v>Leve</v>
      </c>
      <c r="AJ196" s="186">
        <f t="shared" ref="AJ196" ca="1" si="534">IFERROR(IF(AND(Y195="Impacto",Y196="Impacto"),(AJ195-(+AJ195*AB196)),IF(Y196="Impacto",(U195-(+U195*AB196)),IF(Y196="Probabilidad",AJ195,""))),"")</f>
        <v>0.2</v>
      </c>
      <c r="AK196" s="189" t="str">
        <f t="shared" ca="1" si="494"/>
        <v>Bajo</v>
      </c>
      <c r="AL196" s="185" t="s">
        <v>255</v>
      </c>
      <c r="AM196" s="227"/>
      <c r="AN196" s="230"/>
      <c r="AO196" s="228"/>
      <c r="AP196" s="228"/>
      <c r="AQ196" s="227"/>
      <c r="AR196" s="229"/>
    </row>
    <row r="197" spans="1:44" s="191" customFormat="1" ht="197.25" customHeight="1" thickTop="1" thickBot="1" x14ac:dyDescent="0.3">
      <c r="A197" s="328">
        <v>77</v>
      </c>
      <c r="B197" s="329" t="s">
        <v>952</v>
      </c>
      <c r="C197" s="333" t="s">
        <v>277</v>
      </c>
      <c r="D197" s="333" t="s">
        <v>981</v>
      </c>
      <c r="E197" s="333" t="s">
        <v>240</v>
      </c>
      <c r="F197" s="351" t="s">
        <v>957</v>
      </c>
      <c r="G197" s="351" t="s">
        <v>954</v>
      </c>
      <c r="H197" s="350" t="s">
        <v>955</v>
      </c>
      <c r="I197" s="338" t="s">
        <v>474</v>
      </c>
      <c r="J197" s="338" t="s">
        <v>474</v>
      </c>
      <c r="K197" s="338" t="s">
        <v>474</v>
      </c>
      <c r="L197" s="338" t="s">
        <v>474</v>
      </c>
      <c r="M197" s="333" t="s">
        <v>466</v>
      </c>
      <c r="N197" s="333"/>
      <c r="O197" s="339">
        <v>52</v>
      </c>
      <c r="P197" s="340" t="str">
        <f t="shared" ref="P197" si="535">IF(O197&lt;=0,"",IF(O197&lt;=2,"Muy Baja",IF(O197&lt;=24,"Baja",IF(O197&lt;=500,"Media",IF(O197&lt;=5000,"Alta","Muy Alta")))))</f>
        <v>Media</v>
      </c>
      <c r="Q197" s="341">
        <f t="shared" ref="Q197" si="536">IF(P197="","",IF(P197="Muy Baja",0.2,IF(P197="Baja",0.4,IF(P197="Media",0.6,IF(P197="Alta",0.8,IF(P197="Muy Alta",1,))))))</f>
        <v>0.6</v>
      </c>
      <c r="R197" s="341" t="s">
        <v>189</v>
      </c>
      <c r="S197" s="341" t="str">
        <f ca="1">IF(NOT(ISERROR(MATCH(R197,'Tabla Impacto'!$B$221:$B$223,0))),'Tabla Impacto'!$F$223&amp;"Por favor no seleccionar los criterios de impacto(Afectación Económica o presupuestal y Pérdida Reputacional)",R197)</f>
        <v xml:space="preserve">Entre 50 y 100 SMLMV </v>
      </c>
      <c r="T197" s="340" t="str">
        <f ca="1">+IF(OR(S197='[1]Tabla Impacto'!$C$11,S197='[1]Tabla Impacto'!$D$11),"Leve",IF(OR(S197='[1]Tabla Impacto'!$C$12,S197='[1]Tabla Impacto'!$D$12),"Menor",IF(OR(S197='[1]Tabla Impacto'!$C$13,S197='[1]Tabla Impacto'!$D$13),"Moderado",IF(OR(S197='[1]Tabla Impacto'!$C$14,S197='[1]Tabla Impacto'!$D$14),"Mayor",IF(OR(S197='[1]Tabla Impacto'!$C$15,S197='[1]Tabla Impacto'!$D$15),"Catastrófico","")))))</f>
        <v>Moderado</v>
      </c>
      <c r="U197" s="341">
        <f t="shared" ref="U197" ca="1" si="537">IF(T197="","",IF(T197="Leve",0.2,IF(T197="Menor",0.4,IF(T197="Moderado",0.6,IF(T197="Mayor",0.8,IF(T197="Catastrófico",1,))))))</f>
        <v>0.6</v>
      </c>
      <c r="V197" s="327" t="str">
        <f t="shared" ref="V197" ca="1" si="538">IF(OR(AND(P197="Muy Baja",T197="Leve"),AND(P197="Muy Baja",T197="Menor"),AND(P197="Baja",T197="Leve")),"Bajo",IF(OR(AND(P197="Muy baja",T197="Moderado"),AND(P197="Baja",T197="Menor"),AND(P197="Baja",T197="Moderado"),AND(P197="Media",T197="Leve"),AND(P197="Media",T197="Menor"),AND(P197="Media",T197="Moderado"),AND(P197="Alta",T197="Leve"),AND(P197="Alta",T197="Menor")),"Moderado",IF(OR(AND(P197="Muy Baja",T197="Mayor"),AND(P197="Baja",T197="Mayor"),AND(P197="Media",T197="Mayor"),AND(P197="Alta",T197="Moderado"),AND(P197="Alta",T197="Mayor"),AND(P197="Muy Alta",T197="Leve"),AND(P197="Muy Alta",T197="Menor"),AND(P197="Muy Alta",T197="Moderado"),AND(P197="Muy Alta",T197="Mayor")),"Alto",IF(OR(AND(P197="Muy Baja",T197="Catastrófico"),AND(P197="Baja",T197="Catastrófico"),AND(P197="Media",T197="Catastrófico"),AND(P197="Alta",T197="Catastrófico"),AND(P197="Muy Alta",T197="Catastrófico")),"Extremo",""))))</f>
        <v>Moderado</v>
      </c>
      <c r="W197" s="233">
        <v>1</v>
      </c>
      <c r="X197" s="207" t="s">
        <v>1054</v>
      </c>
      <c r="Y197" s="230" t="str">
        <f t="shared" si="488"/>
        <v>Probabilidad</v>
      </c>
      <c r="Z197" s="185" t="s">
        <v>208</v>
      </c>
      <c r="AA197" s="185" t="s">
        <v>216</v>
      </c>
      <c r="AB197" s="186" t="str">
        <f t="shared" si="525"/>
        <v>40%</v>
      </c>
      <c r="AC197" s="185" t="s">
        <v>219</v>
      </c>
      <c r="AD197" s="185" t="s">
        <v>224</v>
      </c>
      <c r="AE197" s="185" t="s">
        <v>228</v>
      </c>
      <c r="AF197" s="187">
        <f>IFERROR(IF(Y197="Probabilidad",(Q197-(+Q197*AB197)),IF(Y197="Impacto",Q197,"")),"")</f>
        <v>0.36</v>
      </c>
      <c r="AG197" s="188" t="str">
        <f t="shared" ref="AG197:AG199" si="539">IFERROR(IF(AF197="","",IF(AF197&lt;=0.2,"Muy Baja",IF(AF197&lt;=0.4,"Baja",IF(AF197&lt;=0.6,"Media",IF(AF197&lt;=0.8,"Alta","Muy Alta"))))),"")</f>
        <v>Baja</v>
      </c>
      <c r="AH197" s="186">
        <f t="shared" ref="AH197:AH199" si="540">+AF197</f>
        <v>0.36</v>
      </c>
      <c r="AI197" s="188" t="str">
        <f t="shared" ref="AI197:AI199" ca="1" si="541">IFERROR(IF(AJ197="","",IF(AJ197&lt;=0.2,"Leve",IF(AJ197&lt;=0.4,"Menor",IF(AJ197&lt;=0.6,"Moderado",IF(AJ197&lt;=0.8,"Mayor","Catastrófico"))))),"")</f>
        <v>Moderado</v>
      </c>
      <c r="AJ197" s="186">
        <f t="shared" ref="AJ197" ca="1" si="542">IFERROR(IF(Y197="Impacto",(U197-(+U197*AB197)),IF(Y197="Probabilidad",U197,"")),"")</f>
        <v>0.6</v>
      </c>
      <c r="AK197" s="189" t="str">
        <f t="shared" ref="AK197:AK199" ca="1" si="543">IFERROR(IF(OR(AND(AG197="Muy Baja",AI197="Leve"),AND(AG197="Muy Baja",AI197="Menor"),AND(AG197="Baja",AI197="Leve")),"Bajo",IF(OR(AND(AG197="Muy baja",AI197="Moderado"),AND(AG197="Baja",AI197="Menor"),AND(AG197="Baja",AI197="Moderado"),AND(AG197="Media",AI197="Leve"),AND(AG197="Media",AI197="Menor"),AND(AG197="Media",AI197="Moderado"),AND(AG197="Alta",AI197="Leve"),AND(AG197="Alta",AI197="Menor")),"Moderado",IF(OR(AND(AG197="Muy Baja",AI197="Mayor"),AND(AG197="Baja",AI197="Mayor"),AND(AG197="Media",AI197="Mayor"),AND(AG197="Alta",AI197="Moderado"),AND(AG197="Alta",AI197="Mayor"),AND(AG197="Muy Alta",AI197="Leve"),AND(AG197="Muy Alta",AI197="Menor"),AND(AG197="Muy Alta",AI197="Moderado"),AND(AG197="Muy Alta",AI197="Mayor")),"Alto",IF(OR(AND(AG197="Muy Baja",AI197="Catastrófico"),AND(AG197="Baja",AI197="Catastrófico"),AND(AG197="Media",AI197="Catastrófico"),AND(AG197="Alta",AI197="Catastrófico"),AND(AG197="Muy Alta",AI197="Catastrófico")),"Extremo","")))),"")</f>
        <v>Moderado</v>
      </c>
      <c r="AL197" s="185" t="s">
        <v>255</v>
      </c>
      <c r="AM197" s="227"/>
      <c r="AN197" s="230"/>
      <c r="AO197" s="228"/>
      <c r="AP197" s="228"/>
      <c r="AQ197" s="227"/>
      <c r="AR197" s="229"/>
    </row>
    <row r="198" spans="1:44" s="191" customFormat="1" ht="197.25" customHeight="1" thickTop="1" thickBot="1" x14ac:dyDescent="0.3">
      <c r="A198" s="328"/>
      <c r="B198" s="329"/>
      <c r="C198" s="333"/>
      <c r="D198" s="333"/>
      <c r="E198" s="333"/>
      <c r="F198" s="351"/>
      <c r="G198" s="351"/>
      <c r="H198" s="350"/>
      <c r="I198" s="338"/>
      <c r="J198" s="338"/>
      <c r="K198" s="338"/>
      <c r="L198" s="338"/>
      <c r="M198" s="333"/>
      <c r="N198" s="333"/>
      <c r="O198" s="339"/>
      <c r="P198" s="340"/>
      <c r="Q198" s="341"/>
      <c r="R198" s="341"/>
      <c r="S198" s="341">
        <f ca="1">IF(NOT(ISERROR(MATCH(R198,_xlfn.ANCHORARRAY(H210),0))),Q212&amp;"Por favor no seleccionar los criterios de impacto",R198)</f>
        <v>0</v>
      </c>
      <c r="T198" s="340"/>
      <c r="U198" s="341"/>
      <c r="V198" s="327"/>
      <c r="W198" s="233">
        <v>2</v>
      </c>
      <c r="X198" s="207" t="s">
        <v>1055</v>
      </c>
      <c r="Y198" s="230" t="str">
        <f t="shared" si="488"/>
        <v>Probabilidad</v>
      </c>
      <c r="Z198" s="185" t="s">
        <v>208</v>
      </c>
      <c r="AA198" s="185" t="s">
        <v>216</v>
      </c>
      <c r="AB198" s="186" t="str">
        <f t="shared" si="525"/>
        <v>40%</v>
      </c>
      <c r="AC198" s="185" t="s">
        <v>219</v>
      </c>
      <c r="AD198" s="185" t="s">
        <v>224</v>
      </c>
      <c r="AE198" s="185" t="s">
        <v>228</v>
      </c>
      <c r="AF198" s="187">
        <f t="shared" ref="AF198" si="544">IFERROR(IF(AND(Y197="Probabilidad",Y198="Probabilidad"),(AH197-(+AH197*AB198)),IF(Y198="Probabilidad",(Q197-(+Q197*AB198)),IF(Y198="Impacto",AH197,""))),"")</f>
        <v>0.216</v>
      </c>
      <c r="AG198" s="188" t="str">
        <f t="shared" si="539"/>
        <v>Baja</v>
      </c>
      <c r="AH198" s="186">
        <f t="shared" si="540"/>
        <v>0.216</v>
      </c>
      <c r="AI198" s="188" t="str">
        <f t="shared" ca="1" si="541"/>
        <v>Moderado</v>
      </c>
      <c r="AJ198" s="186">
        <f t="shared" ref="AJ198" ca="1" si="545">IFERROR(IF(AND(Y197="Impacto",Y198="Impacto"),(AJ197-(+AJ197*AB198)),IF(Y198="Impacto",(U197-(+U197*AB198)),IF(Y198="Probabilidad",AJ197,""))),"")</f>
        <v>0.6</v>
      </c>
      <c r="AK198" s="189" t="str">
        <f t="shared" ca="1" si="543"/>
        <v>Moderado</v>
      </c>
      <c r="AL198" s="185" t="s">
        <v>255</v>
      </c>
      <c r="AM198" s="227"/>
      <c r="AN198" s="230"/>
      <c r="AO198" s="228"/>
      <c r="AP198" s="228"/>
      <c r="AQ198" s="227"/>
      <c r="AR198" s="229"/>
    </row>
    <row r="199" spans="1:44" s="191" customFormat="1" ht="197.25" customHeight="1" thickTop="1" thickBot="1" x14ac:dyDescent="0.3">
      <c r="A199" s="328"/>
      <c r="B199" s="329"/>
      <c r="C199" s="333"/>
      <c r="D199" s="333"/>
      <c r="E199" s="333"/>
      <c r="F199" s="351"/>
      <c r="G199" s="351"/>
      <c r="H199" s="350"/>
      <c r="I199" s="338"/>
      <c r="J199" s="338"/>
      <c r="K199" s="338"/>
      <c r="L199" s="338"/>
      <c r="M199" s="333"/>
      <c r="N199" s="333"/>
      <c r="O199" s="339"/>
      <c r="P199" s="340"/>
      <c r="Q199" s="341"/>
      <c r="R199" s="341"/>
      <c r="S199" s="341">
        <f ca="1">IF(NOT(ISERROR(MATCH(R199,_xlfn.ANCHORARRAY(H211),0))),Q213&amp;"Por favor no seleccionar los criterios de impacto",R199)</f>
        <v>0</v>
      </c>
      <c r="T199" s="340"/>
      <c r="U199" s="341"/>
      <c r="V199" s="327"/>
      <c r="W199" s="233">
        <v>3</v>
      </c>
      <c r="X199" s="207" t="s">
        <v>1056</v>
      </c>
      <c r="Y199" s="230" t="str">
        <f t="shared" si="488"/>
        <v>Probabilidad</v>
      </c>
      <c r="Z199" s="185" t="s">
        <v>208</v>
      </c>
      <c r="AA199" s="185" t="s">
        <v>216</v>
      </c>
      <c r="AB199" s="186" t="str">
        <f t="shared" si="525"/>
        <v>40%</v>
      </c>
      <c r="AC199" s="185" t="s">
        <v>219</v>
      </c>
      <c r="AD199" s="185" t="s">
        <v>224</v>
      </c>
      <c r="AE199" s="185" t="s">
        <v>228</v>
      </c>
      <c r="AF199" s="187">
        <f>IFERROR(IF(AND(Y198="Probabilidad",Y199="Probabilidad"),(AH198-(+AH198*AB199)),IF(Y199="Probabilidad",(Q197-(+Q197*AB199)),IF(Y199="Impacto",AH198,""))),"")</f>
        <v>0.12959999999999999</v>
      </c>
      <c r="AG199" s="188" t="str">
        <f t="shared" si="539"/>
        <v>Muy Baja</v>
      </c>
      <c r="AH199" s="186">
        <f t="shared" si="540"/>
        <v>0.12959999999999999</v>
      </c>
      <c r="AI199" s="188" t="str">
        <f t="shared" ca="1" si="541"/>
        <v>Moderado</v>
      </c>
      <c r="AJ199" s="186">
        <f t="shared" ref="AJ199" ca="1" si="546">IFERROR(IF(AND(Y198="Impacto",Y199="Impacto"),(AJ198-(+AJ198*AB199)),IF(AND(Y198="Probabilidad",Y199="Impacto"),(AJ197-(+AJ197*AB199)),IF(Y199="Probabilidad",AJ198,""))),"")</f>
        <v>0.6</v>
      </c>
      <c r="AK199" s="189" t="str">
        <f t="shared" ca="1" si="543"/>
        <v>Moderado</v>
      </c>
      <c r="AL199" s="185" t="s">
        <v>255</v>
      </c>
      <c r="AM199" s="227"/>
      <c r="AN199" s="230"/>
      <c r="AO199" s="228"/>
      <c r="AP199" s="228"/>
      <c r="AQ199" s="227"/>
      <c r="AR199" s="229"/>
    </row>
    <row r="200" spans="1:44" s="191" customFormat="1" ht="178.5" customHeight="1" thickTop="1" thickBot="1" x14ac:dyDescent="0.3">
      <c r="A200" s="328">
        <v>78</v>
      </c>
      <c r="B200" s="329" t="s">
        <v>953</v>
      </c>
      <c r="C200" s="333" t="s">
        <v>277</v>
      </c>
      <c r="D200" s="333" t="s">
        <v>956</v>
      </c>
      <c r="E200" s="333" t="s">
        <v>240</v>
      </c>
      <c r="F200" s="351" t="s">
        <v>957</v>
      </c>
      <c r="G200" s="351" t="s">
        <v>1098</v>
      </c>
      <c r="H200" s="350" t="s">
        <v>988</v>
      </c>
      <c r="I200" s="338" t="s">
        <v>474</v>
      </c>
      <c r="J200" s="338" t="s">
        <v>474</v>
      </c>
      <c r="K200" s="338" t="s">
        <v>474</v>
      </c>
      <c r="L200" s="338" t="s">
        <v>474</v>
      </c>
      <c r="M200" s="333" t="s">
        <v>466</v>
      </c>
      <c r="N200" s="333"/>
      <c r="O200" s="339">
        <v>365</v>
      </c>
      <c r="P200" s="340" t="str">
        <f t="shared" ref="P200" si="547">IF(O200&lt;=0,"",IF(O200&lt;=2,"Muy Baja",IF(O200&lt;=24,"Baja",IF(O200&lt;=500,"Media",IF(O200&lt;=5000,"Alta","Muy Alta")))))</f>
        <v>Media</v>
      </c>
      <c r="Q200" s="341">
        <f t="shared" ref="Q200" si="548">IF(P200="","",IF(P200="Muy Baja",0.2,IF(P200="Baja",0.4,IF(P200="Media",0.6,IF(P200="Alta",0.8,IF(P200="Muy Alta",1,))))))</f>
        <v>0.6</v>
      </c>
      <c r="R200" s="341" t="s">
        <v>189</v>
      </c>
      <c r="S200" s="341" t="str">
        <f ca="1">IF(NOT(ISERROR(MATCH(R200,'Tabla Impacto'!$B$221:$B$223,0))),'Tabla Impacto'!$F$223&amp;"Por favor no seleccionar los criterios de impacto(Afectación Económica o presupuestal y Pérdida Reputacional)",R200)</f>
        <v xml:space="preserve">Entre 50 y 100 SMLMV </v>
      </c>
      <c r="T200" s="340" t="str">
        <f ca="1">+IF(OR(S200='[1]Tabla Impacto'!$C$11,S200='[1]Tabla Impacto'!$D$11),"Leve",IF(OR(S200='[1]Tabla Impacto'!$C$12,S200='[1]Tabla Impacto'!$D$12),"Menor",IF(OR(S200='[1]Tabla Impacto'!$C$13,S200='[1]Tabla Impacto'!$D$13),"Moderado",IF(OR(S200='[1]Tabla Impacto'!$C$14,S200='[1]Tabla Impacto'!$D$14),"Mayor",IF(OR(S200='[1]Tabla Impacto'!$C$15,S200='[1]Tabla Impacto'!$D$15),"Catastrófico","")))))</f>
        <v>Moderado</v>
      </c>
      <c r="U200" s="341">
        <f t="shared" ref="U200" ca="1" si="549">IF(T200="","",IF(T200="Leve",0.2,IF(T200="Menor",0.4,IF(T200="Moderado",0.6,IF(T200="Mayor",0.8,IF(T200="Catastrófico",1,))))))</f>
        <v>0.6</v>
      </c>
      <c r="V200" s="327" t="str">
        <f t="shared" ref="V200" ca="1" si="550">IF(OR(AND(P200="Muy Baja",T200="Leve"),AND(P200="Muy Baja",T200="Menor"),AND(P200="Baja",T200="Leve")),"Bajo",IF(OR(AND(P200="Muy baja",T200="Moderado"),AND(P200="Baja",T200="Menor"),AND(P200="Baja",T200="Moderado"),AND(P200="Media",T200="Leve"),AND(P200="Media",T200="Menor"),AND(P200="Media",T200="Moderado"),AND(P200="Alta",T200="Leve"),AND(P200="Alta",T200="Menor")),"Moderado",IF(OR(AND(P200="Muy Baja",T200="Mayor"),AND(P200="Baja",T200="Mayor"),AND(P200="Media",T200="Mayor"),AND(P200="Alta",T200="Moderado"),AND(P200="Alta",T200="Mayor"),AND(P200="Muy Alta",T200="Leve"),AND(P200="Muy Alta",T200="Menor"),AND(P200="Muy Alta",T200="Moderado"),AND(P200="Muy Alta",T200="Mayor")),"Alto",IF(OR(AND(P200="Muy Baja",T200="Catastrófico"),AND(P200="Baja",T200="Catastrófico"),AND(P200="Media",T200="Catastrófico"),AND(P200="Alta",T200="Catastrófico"),AND(P200="Muy Alta",T200="Catastrófico")),"Extremo",""))))</f>
        <v>Moderado</v>
      </c>
      <c r="W200" s="233">
        <v>1</v>
      </c>
      <c r="X200" s="207" t="s">
        <v>1057</v>
      </c>
      <c r="Y200" s="230" t="str">
        <f t="shared" si="488"/>
        <v>Probabilidad</v>
      </c>
      <c r="Z200" s="185" t="s">
        <v>208</v>
      </c>
      <c r="AA200" s="185" t="s">
        <v>216</v>
      </c>
      <c r="AB200" s="186" t="str">
        <f t="shared" si="525"/>
        <v>40%</v>
      </c>
      <c r="AC200" s="185" t="s">
        <v>219</v>
      </c>
      <c r="AD200" s="185" t="s">
        <v>224</v>
      </c>
      <c r="AE200" s="185" t="s">
        <v>228</v>
      </c>
      <c r="AF200" s="187">
        <f>IFERROR(IF(Y200="Probabilidad",(Q200-(+Q200*AB200)),IF(Y200="Impacto",Q200,"")),"")</f>
        <v>0.36</v>
      </c>
      <c r="AG200" s="188" t="str">
        <f t="shared" ref="AG200:AG202" si="551">IFERROR(IF(AF200="","",IF(AF200&lt;=0.2,"Muy Baja",IF(AF200&lt;=0.4,"Baja",IF(AF200&lt;=0.6,"Media",IF(AF200&lt;=0.8,"Alta","Muy Alta"))))),"")</f>
        <v>Baja</v>
      </c>
      <c r="AH200" s="186">
        <f t="shared" ref="AH200:AH202" si="552">+AF200</f>
        <v>0.36</v>
      </c>
      <c r="AI200" s="188" t="str">
        <f t="shared" ref="AI200:AI202" ca="1" si="553">IFERROR(IF(AJ200="","",IF(AJ200&lt;=0.2,"Leve",IF(AJ200&lt;=0.4,"Menor",IF(AJ200&lt;=0.6,"Moderado",IF(AJ200&lt;=0.8,"Mayor","Catastrófico"))))),"")</f>
        <v>Moderado</v>
      </c>
      <c r="AJ200" s="186">
        <f t="shared" ref="AJ200" ca="1" si="554">IFERROR(IF(Y200="Impacto",(U200-(+U200*AB200)),IF(Y200="Probabilidad",U200,"")),"")</f>
        <v>0.6</v>
      </c>
      <c r="AK200" s="189" t="str">
        <f t="shared" ref="AK200:AK202" ca="1" si="555">IFERROR(IF(OR(AND(AG200="Muy Baja",AI200="Leve"),AND(AG200="Muy Baja",AI200="Menor"),AND(AG200="Baja",AI200="Leve")),"Bajo",IF(OR(AND(AG200="Muy baja",AI200="Moderado"),AND(AG200="Baja",AI200="Menor"),AND(AG200="Baja",AI200="Moderado"),AND(AG200="Media",AI200="Leve"),AND(AG200="Media",AI200="Menor"),AND(AG200="Media",AI200="Moderado"),AND(AG200="Alta",AI200="Leve"),AND(AG200="Alta",AI200="Menor")),"Moderado",IF(OR(AND(AG200="Muy Baja",AI200="Mayor"),AND(AG200="Baja",AI200="Mayor"),AND(AG200="Media",AI200="Mayor"),AND(AG200="Alta",AI200="Moderado"),AND(AG200="Alta",AI200="Mayor"),AND(AG200="Muy Alta",AI200="Leve"),AND(AG200="Muy Alta",AI200="Menor"),AND(AG200="Muy Alta",AI200="Moderado"),AND(AG200="Muy Alta",AI200="Mayor")),"Alto",IF(OR(AND(AG200="Muy Baja",AI200="Catastrófico"),AND(AG200="Baja",AI200="Catastrófico"),AND(AG200="Media",AI200="Catastrófico"),AND(AG200="Alta",AI200="Catastrófico"),AND(AG200="Muy Alta",AI200="Catastrófico")),"Extremo","")))),"")</f>
        <v>Moderado</v>
      </c>
      <c r="AL200" s="185" t="s">
        <v>255</v>
      </c>
      <c r="AM200" s="227"/>
      <c r="AN200" s="230"/>
      <c r="AO200" s="228"/>
      <c r="AP200" s="228"/>
      <c r="AQ200" s="227"/>
      <c r="AR200" s="229"/>
    </row>
    <row r="201" spans="1:44" s="191" customFormat="1" ht="220.5" customHeight="1" thickTop="1" thickBot="1" x14ac:dyDescent="0.3">
      <c r="A201" s="328"/>
      <c r="B201" s="329"/>
      <c r="C201" s="333"/>
      <c r="D201" s="333"/>
      <c r="E201" s="333"/>
      <c r="F201" s="351"/>
      <c r="G201" s="351"/>
      <c r="H201" s="350"/>
      <c r="I201" s="338"/>
      <c r="J201" s="338"/>
      <c r="K201" s="338"/>
      <c r="L201" s="338"/>
      <c r="M201" s="333"/>
      <c r="N201" s="333"/>
      <c r="O201" s="339"/>
      <c r="P201" s="340"/>
      <c r="Q201" s="341"/>
      <c r="R201" s="341"/>
      <c r="S201" s="341">
        <f ca="1">IF(NOT(ISERROR(MATCH(R201,_xlfn.ANCHORARRAY(H214),0))),Q216&amp;"Por favor no seleccionar los criterios de impacto",R201)</f>
        <v>0</v>
      </c>
      <c r="T201" s="340"/>
      <c r="U201" s="341"/>
      <c r="V201" s="327"/>
      <c r="W201" s="233">
        <v>2</v>
      </c>
      <c r="X201" s="207" t="s">
        <v>1058</v>
      </c>
      <c r="Y201" s="230" t="str">
        <f t="shared" si="488"/>
        <v>Probabilidad</v>
      </c>
      <c r="Z201" s="185" t="s">
        <v>208</v>
      </c>
      <c r="AA201" s="185" t="s">
        <v>216</v>
      </c>
      <c r="AB201" s="186" t="str">
        <f t="shared" si="525"/>
        <v>40%</v>
      </c>
      <c r="AC201" s="185" t="s">
        <v>219</v>
      </c>
      <c r="AD201" s="185" t="s">
        <v>224</v>
      </c>
      <c r="AE201" s="185" t="s">
        <v>228</v>
      </c>
      <c r="AF201" s="187">
        <f>IFERROR(IF(AND(Y200="Probabilidad",Y201="Probabilidad"),(AH200-(+AH200*AB201)),IF(Y201="Probabilidad",(Q200-(+Q200*AB201)),IF(Y201="Impacto",AH200,""))),"")</f>
        <v>0.216</v>
      </c>
      <c r="AG201" s="188" t="str">
        <f t="shared" si="551"/>
        <v>Baja</v>
      </c>
      <c r="AH201" s="186">
        <f t="shared" si="552"/>
        <v>0.216</v>
      </c>
      <c r="AI201" s="188" t="str">
        <f t="shared" ca="1" si="553"/>
        <v>Moderado</v>
      </c>
      <c r="AJ201" s="186">
        <f t="shared" ref="AJ201" ca="1" si="556">IFERROR(IF(AND(Y200="Impacto",Y201="Impacto"),(AJ200-(+AJ200*AB201)),IF(Y201="Impacto",(U200-(+U200*AB201)),IF(Y201="Probabilidad",AJ200,""))),"")</f>
        <v>0.6</v>
      </c>
      <c r="AK201" s="189" t="str">
        <f t="shared" ca="1" si="555"/>
        <v>Moderado</v>
      </c>
      <c r="AL201" s="185" t="s">
        <v>255</v>
      </c>
      <c r="AM201" s="227"/>
      <c r="AN201" s="230"/>
      <c r="AO201" s="228"/>
      <c r="AP201" s="228"/>
      <c r="AQ201" s="227"/>
      <c r="AR201" s="229"/>
    </row>
    <row r="202" spans="1:44" s="191" customFormat="1" ht="148.5" customHeight="1" thickTop="1" thickBot="1" x14ac:dyDescent="0.3">
      <c r="A202" s="328"/>
      <c r="B202" s="329"/>
      <c r="C202" s="333"/>
      <c r="D202" s="333"/>
      <c r="E202" s="333"/>
      <c r="F202" s="351"/>
      <c r="G202" s="351"/>
      <c r="H202" s="350"/>
      <c r="I202" s="338"/>
      <c r="J202" s="338"/>
      <c r="K202" s="338"/>
      <c r="L202" s="338"/>
      <c r="M202" s="333"/>
      <c r="N202" s="333"/>
      <c r="O202" s="339"/>
      <c r="P202" s="340"/>
      <c r="Q202" s="341"/>
      <c r="R202" s="341"/>
      <c r="S202" s="341">
        <f ca="1">IF(NOT(ISERROR(MATCH(R202,_xlfn.ANCHORARRAY(H215),0))),Q217&amp;"Por favor no seleccionar los criterios de impacto",R202)</f>
        <v>0</v>
      </c>
      <c r="T202" s="340"/>
      <c r="U202" s="341"/>
      <c r="V202" s="327"/>
      <c r="W202" s="233">
        <v>3</v>
      </c>
      <c r="X202" s="207" t="s">
        <v>1059</v>
      </c>
      <c r="Y202" s="230" t="str">
        <f t="shared" si="488"/>
        <v>Probabilidad</v>
      </c>
      <c r="Z202" s="185" t="s">
        <v>208</v>
      </c>
      <c r="AA202" s="185" t="s">
        <v>216</v>
      </c>
      <c r="AB202" s="186" t="str">
        <f t="shared" si="525"/>
        <v>40%</v>
      </c>
      <c r="AC202" s="185" t="s">
        <v>219</v>
      </c>
      <c r="AD202" s="185" t="s">
        <v>224</v>
      </c>
      <c r="AE202" s="185" t="s">
        <v>228</v>
      </c>
      <c r="AF202" s="187">
        <f>IFERROR(IF(AND(Y201="Probabilidad",Y202="Probabilidad"),(AH201-(+AH201*AB202)),IF(Y202="Probabilidad",(Q200-(+Q200*AB202)),IF(Y202="Impacto",AH201,""))),"")</f>
        <v>0.12959999999999999</v>
      </c>
      <c r="AG202" s="188" t="str">
        <f t="shared" si="551"/>
        <v>Muy Baja</v>
      </c>
      <c r="AH202" s="186">
        <f t="shared" si="552"/>
        <v>0.12959999999999999</v>
      </c>
      <c r="AI202" s="188" t="str">
        <f t="shared" ca="1" si="553"/>
        <v>Moderado</v>
      </c>
      <c r="AJ202" s="186">
        <f t="shared" ref="AJ202" ca="1" si="557">IFERROR(IF(AND(Y201="Impacto",Y202="Impacto"),(AJ201-(+AJ201*AB202)),IF(AND(Y201="Probabilidad",Y202="Impacto"),(AJ200-(+AJ200*AB202)),IF(Y202="Probabilidad",AJ201,""))),"")</f>
        <v>0.6</v>
      </c>
      <c r="AK202" s="189" t="str">
        <f t="shared" ca="1" si="555"/>
        <v>Moderado</v>
      </c>
      <c r="AL202" s="185" t="s">
        <v>255</v>
      </c>
      <c r="AM202" s="227"/>
      <c r="AN202" s="230"/>
      <c r="AO202" s="228"/>
      <c r="AP202" s="228"/>
      <c r="AQ202" s="227"/>
      <c r="AR202" s="229"/>
    </row>
    <row r="203" spans="1:44" s="191" customFormat="1" ht="204" customHeight="1" thickTop="1" thickBot="1" x14ac:dyDescent="0.3">
      <c r="A203" s="328">
        <v>79</v>
      </c>
      <c r="B203" s="329" t="s">
        <v>839</v>
      </c>
      <c r="C203" s="333" t="s">
        <v>278</v>
      </c>
      <c r="D203" s="335" t="s">
        <v>840</v>
      </c>
      <c r="E203" s="333" t="s">
        <v>240</v>
      </c>
      <c r="F203" s="351" t="s">
        <v>841</v>
      </c>
      <c r="G203" s="351" t="s">
        <v>842</v>
      </c>
      <c r="H203" s="350" t="s">
        <v>1170</v>
      </c>
      <c r="I203" s="338" t="s">
        <v>474</v>
      </c>
      <c r="J203" s="338" t="s">
        <v>474</v>
      </c>
      <c r="K203" s="338" t="s">
        <v>474</v>
      </c>
      <c r="L203" s="338" t="s">
        <v>474</v>
      </c>
      <c r="M203" s="333" t="s">
        <v>469</v>
      </c>
      <c r="N203" s="333"/>
      <c r="O203" s="339">
        <v>1</v>
      </c>
      <c r="P203" s="340" t="str">
        <f t="shared" ref="P203:P234" si="558">IF(O203&lt;=0,"",IF(O203&lt;=2,"Muy Baja",IF(O203&lt;=24,"Baja",IF(O203&lt;=500,"Media",IF(O203&lt;=5000,"Alta","Muy Alta")))))</f>
        <v>Muy Baja</v>
      </c>
      <c r="Q203" s="341">
        <f t="shared" ref="Q203:Q234" si="559">IF(P203="","",IF(P203="Muy Baja",0.2,IF(P203="Baja",0.4,IF(P203="Media",0.6,IF(P203="Alta",0.8,IF(P203="Muy Alta",1,))))))</f>
        <v>0.2</v>
      </c>
      <c r="R203" s="341" t="s">
        <v>192</v>
      </c>
      <c r="S203" s="341" t="str">
        <f ca="1">IF(NOT(ISERROR(MATCH(R203,'Tabla Impacto'!$B$221:$B$223,0))),'Tabla Impacto'!$F$223&amp;"Por favor no seleccionar los criterios de impacto(Afectación Económica o presupuestal y Pérdida Reputacional)",R203)</f>
        <v xml:space="preserve">Entre 100 y 500 SMLMV </v>
      </c>
      <c r="T203" s="340" t="str">
        <f ca="1">+IF(OR(S203='[1]Tabla Impacto'!$C$11,S203='[1]Tabla Impacto'!$D$11),"Leve",IF(OR(S203='[1]Tabla Impacto'!$C$12,S203='[1]Tabla Impacto'!$D$12),"Menor",IF(OR(S203='[1]Tabla Impacto'!$C$13,S203='[1]Tabla Impacto'!$D$13),"Moderado",IF(OR(S203='[1]Tabla Impacto'!$C$14,S203='[1]Tabla Impacto'!$D$14),"Mayor",IF(OR(S203='[1]Tabla Impacto'!$C$15,S203='[1]Tabla Impacto'!$D$15),"Catastrófico","")))))</f>
        <v>Mayor</v>
      </c>
      <c r="U203" s="341">
        <f t="shared" ref="U203" ca="1" si="560">IF(T203="","",IF(T203="Leve",0.2,IF(T203="Menor",0.4,IF(T203="Moderado",0.6,IF(T203="Mayor",0.8,IF(T203="Catastrófico",1,))))))</f>
        <v>0.8</v>
      </c>
      <c r="V203" s="327" t="str">
        <f t="shared" ref="V203" ca="1" si="561">IF(OR(AND(P203="Muy Baja",T203="Leve"),AND(P203="Muy Baja",T203="Menor"),AND(P203="Baja",T203="Leve")),"Bajo",IF(OR(AND(P203="Muy baja",T203="Moderado"),AND(P203="Baja",T203="Menor"),AND(P203="Baja",T203="Moderado"),AND(P203="Media",T203="Leve"),AND(P203="Media",T203="Menor"),AND(P203="Media",T203="Moderado"),AND(P203="Alta",T203="Leve"),AND(P203="Alta",T203="Menor")),"Moderado",IF(OR(AND(P203="Muy Baja",T203="Mayor"),AND(P203="Baja",T203="Mayor"),AND(P203="Media",T203="Mayor"),AND(P203="Alta",T203="Moderado"),AND(P203="Alta",T203="Mayor"),AND(P203="Muy Alta",T203="Leve"),AND(P203="Muy Alta",T203="Menor"),AND(P203="Muy Alta",T203="Moderado"),AND(P203="Muy Alta",T203="Mayor")),"Alto",IF(OR(AND(P203="Muy Baja",T203="Catastrófico"),AND(P203="Baja",T203="Catastrófico"),AND(P203="Media",T203="Catastrófico"),AND(P203="Alta",T203="Catastrófico"),AND(P203="Muy Alta",T203="Catastrófico")),"Extremo",""))))</f>
        <v>Alto</v>
      </c>
      <c r="W203" s="233">
        <v>1</v>
      </c>
      <c r="X203" s="207" t="s">
        <v>1060</v>
      </c>
      <c r="Y203" s="230" t="str">
        <f t="shared" si="488"/>
        <v>Probabilidad</v>
      </c>
      <c r="Z203" s="185" t="s">
        <v>208</v>
      </c>
      <c r="AA203" s="185" t="s">
        <v>216</v>
      </c>
      <c r="AB203" s="186" t="str">
        <f t="shared" si="525"/>
        <v>40%</v>
      </c>
      <c r="AC203" s="185" t="s">
        <v>219</v>
      </c>
      <c r="AD203" s="185" t="s">
        <v>224</v>
      </c>
      <c r="AE203" s="185" t="s">
        <v>228</v>
      </c>
      <c r="AF203" s="187">
        <f t="shared" ref="AF203" si="562">IFERROR(IF(Y203="Probabilidad",(Q203-(+Q203*AB203)),IF(Y203="Impacto",Q203,"")),"")</f>
        <v>0.12</v>
      </c>
      <c r="AG203" s="188" t="str">
        <f t="shared" si="490"/>
        <v>Muy Baja</v>
      </c>
      <c r="AH203" s="186">
        <f t="shared" si="491"/>
        <v>0.12</v>
      </c>
      <c r="AI203" s="188" t="str">
        <f t="shared" ca="1" si="492"/>
        <v>Mayor</v>
      </c>
      <c r="AJ203" s="186">
        <f t="shared" ref="AJ203" ca="1" si="563">IFERROR(IF(Y203="Impacto",(U203-(+U203*AB203)),IF(Y203="Probabilidad",U203,"")),"")</f>
        <v>0.8</v>
      </c>
      <c r="AK203" s="189" t="str">
        <f t="shared" ca="1" si="494"/>
        <v>Alto</v>
      </c>
      <c r="AL203" s="185" t="s">
        <v>262</v>
      </c>
      <c r="AM203" s="333" t="s">
        <v>844</v>
      </c>
      <c r="AN203" s="339" t="s">
        <v>845</v>
      </c>
      <c r="AO203" s="353">
        <v>45777</v>
      </c>
      <c r="AP203" s="353" t="s">
        <v>535</v>
      </c>
      <c r="AQ203" s="333" t="s">
        <v>846</v>
      </c>
      <c r="AR203" s="354" t="s">
        <v>259</v>
      </c>
    </row>
    <row r="204" spans="1:44" s="191" customFormat="1" ht="165" customHeight="1" thickTop="1" thickBot="1" x14ac:dyDescent="0.3">
      <c r="A204" s="328"/>
      <c r="B204" s="329"/>
      <c r="C204" s="333"/>
      <c r="D204" s="335"/>
      <c r="E204" s="333"/>
      <c r="F204" s="351"/>
      <c r="G204" s="351"/>
      <c r="H204" s="350"/>
      <c r="I204" s="338"/>
      <c r="J204" s="338"/>
      <c r="K204" s="338"/>
      <c r="L204" s="338"/>
      <c r="M204" s="333"/>
      <c r="N204" s="333"/>
      <c r="O204" s="339"/>
      <c r="P204" s="340"/>
      <c r="Q204" s="341"/>
      <c r="R204" s="341"/>
      <c r="S204" s="341">
        <f ca="1">IF(NOT(ISERROR(MATCH(R204,_xlfn.ANCHORARRAY(H210),0))),Q212&amp;"Por favor no seleccionar los criterios de impacto",R204)</f>
        <v>0</v>
      </c>
      <c r="T204" s="340"/>
      <c r="U204" s="341"/>
      <c r="V204" s="327"/>
      <c r="W204" s="233">
        <v>2</v>
      </c>
      <c r="X204" s="207" t="s">
        <v>1061</v>
      </c>
      <c r="Y204" s="230" t="str">
        <f t="shared" si="488"/>
        <v>Probabilidad</v>
      </c>
      <c r="Z204" s="185" t="s">
        <v>208</v>
      </c>
      <c r="AA204" s="185" t="s">
        <v>216</v>
      </c>
      <c r="AB204" s="186" t="str">
        <f t="shared" si="525"/>
        <v>40%</v>
      </c>
      <c r="AC204" s="185" t="s">
        <v>219</v>
      </c>
      <c r="AD204" s="185" t="s">
        <v>224</v>
      </c>
      <c r="AE204" s="185" t="s">
        <v>228</v>
      </c>
      <c r="AF204" s="187">
        <f t="shared" ref="AF204:AF205" si="564">IFERROR(IF(AND(Y203="Probabilidad",Y204="Probabilidad"),(AH203-(+AH203*AB204)),IF(Y204="Probabilidad",(Q203-(+Q203*AB204)),IF(Y204="Impacto",AH203,""))),"")</f>
        <v>7.1999999999999995E-2</v>
      </c>
      <c r="AG204" s="188" t="str">
        <f t="shared" si="490"/>
        <v>Muy Baja</v>
      </c>
      <c r="AH204" s="186">
        <f t="shared" si="491"/>
        <v>7.1999999999999995E-2</v>
      </c>
      <c r="AI204" s="188" t="str">
        <f t="shared" ca="1" si="492"/>
        <v>Mayor</v>
      </c>
      <c r="AJ204" s="186">
        <f t="shared" ref="AJ204" ca="1" si="565">IFERROR(IF(AND(Y203="Impacto",Y204="Impacto"),(AJ203-(+AJ203*AB204)),IF(Y204="Impacto",(U203-(+U203*AB204)),IF(Y204="Probabilidad",AJ203,""))),"")</f>
        <v>0.8</v>
      </c>
      <c r="AK204" s="189" t="str">
        <f t="shared" ca="1" si="494"/>
        <v>Alto</v>
      </c>
      <c r="AL204" s="185" t="s">
        <v>262</v>
      </c>
      <c r="AM204" s="333"/>
      <c r="AN204" s="339"/>
      <c r="AO204" s="353"/>
      <c r="AP204" s="353"/>
      <c r="AQ204" s="333"/>
      <c r="AR204" s="354"/>
    </row>
    <row r="205" spans="1:44" s="191" customFormat="1" ht="159" customHeight="1" thickTop="1" thickBot="1" x14ac:dyDescent="0.3">
      <c r="A205" s="328"/>
      <c r="B205" s="329"/>
      <c r="C205" s="333"/>
      <c r="D205" s="335"/>
      <c r="E205" s="333"/>
      <c r="F205" s="351"/>
      <c r="G205" s="351"/>
      <c r="H205" s="350"/>
      <c r="I205" s="338"/>
      <c r="J205" s="338"/>
      <c r="K205" s="338"/>
      <c r="L205" s="338"/>
      <c r="M205" s="333"/>
      <c r="N205" s="333"/>
      <c r="O205" s="339"/>
      <c r="P205" s="340"/>
      <c r="Q205" s="341"/>
      <c r="R205" s="341"/>
      <c r="S205" s="341">
        <f ca="1">IF(NOT(ISERROR(MATCH(R205,_xlfn.ANCHORARRAY(H211),0))),Q213&amp;"Por favor no seleccionar los criterios de impacto",R205)</f>
        <v>0</v>
      </c>
      <c r="T205" s="340"/>
      <c r="U205" s="341"/>
      <c r="V205" s="327"/>
      <c r="W205" s="233">
        <v>3</v>
      </c>
      <c r="X205" s="207" t="s">
        <v>843</v>
      </c>
      <c r="Y205" s="230" t="str">
        <f t="shared" si="488"/>
        <v>Probabilidad</v>
      </c>
      <c r="Z205" s="185" t="s">
        <v>208</v>
      </c>
      <c r="AA205" s="185" t="s">
        <v>216</v>
      </c>
      <c r="AB205" s="186" t="str">
        <f t="shared" si="525"/>
        <v>40%</v>
      </c>
      <c r="AC205" s="185" t="s">
        <v>219</v>
      </c>
      <c r="AD205" s="185" t="s">
        <v>224</v>
      </c>
      <c r="AE205" s="185" t="s">
        <v>228</v>
      </c>
      <c r="AF205" s="187">
        <f t="shared" si="564"/>
        <v>4.3199999999999995E-2</v>
      </c>
      <c r="AG205" s="188" t="str">
        <f t="shared" si="490"/>
        <v>Muy Baja</v>
      </c>
      <c r="AH205" s="186">
        <f t="shared" si="491"/>
        <v>4.3199999999999995E-2</v>
      </c>
      <c r="AI205" s="188" t="str">
        <f t="shared" ca="1" si="492"/>
        <v>Mayor</v>
      </c>
      <c r="AJ205" s="186">
        <f t="shared" ref="AJ205" ca="1" si="566">IFERROR(IF(AND(Y204="Impacto",Y205="Impacto"),(AJ204-(+AJ204*AB205)),IF(AND(Y204="Probabilidad",Y205="Impacto"),(AJ203-(+AJ203*AB205)),IF(Y205="Probabilidad",AJ204,""))),"")</f>
        <v>0.8</v>
      </c>
      <c r="AK205" s="189" t="str">
        <f t="shared" ca="1" si="494"/>
        <v>Alto</v>
      </c>
      <c r="AL205" s="185" t="s">
        <v>262</v>
      </c>
      <c r="AM205" s="333"/>
      <c r="AN205" s="339"/>
      <c r="AO205" s="353"/>
      <c r="AP205" s="353"/>
      <c r="AQ205" s="333"/>
      <c r="AR205" s="354"/>
    </row>
    <row r="206" spans="1:44" s="191" customFormat="1" ht="111.75" customHeight="1" thickTop="1" thickBot="1" x14ac:dyDescent="0.3">
      <c r="A206" s="328">
        <v>80</v>
      </c>
      <c r="B206" s="329" t="s">
        <v>847</v>
      </c>
      <c r="C206" s="333" t="s">
        <v>278</v>
      </c>
      <c r="D206" s="335" t="s">
        <v>848</v>
      </c>
      <c r="E206" s="333" t="s">
        <v>240</v>
      </c>
      <c r="F206" s="351" t="s">
        <v>849</v>
      </c>
      <c r="G206" s="351" t="s">
        <v>850</v>
      </c>
      <c r="H206" s="350" t="s">
        <v>1171</v>
      </c>
      <c r="I206" s="338" t="s">
        <v>474</v>
      </c>
      <c r="J206" s="338" t="s">
        <v>474</v>
      </c>
      <c r="K206" s="338" t="s">
        <v>474</v>
      </c>
      <c r="L206" s="338" t="s">
        <v>474</v>
      </c>
      <c r="M206" s="333" t="s">
        <v>239</v>
      </c>
      <c r="N206" s="333"/>
      <c r="O206" s="339">
        <v>365</v>
      </c>
      <c r="P206" s="340" t="str">
        <f t="shared" si="558"/>
        <v>Media</v>
      </c>
      <c r="Q206" s="341">
        <f t="shared" si="559"/>
        <v>0.6</v>
      </c>
      <c r="R206" s="341" t="s">
        <v>189</v>
      </c>
      <c r="S206" s="341" t="str">
        <f ca="1">IF(NOT(ISERROR(MATCH(R206,'Tabla Impacto'!$B$221:$B$223,0))),'Tabla Impacto'!$F$223&amp;"Por favor no seleccionar los criterios de impacto(Afectación Económica o presupuestal y Pérdida Reputacional)",R206)</f>
        <v xml:space="preserve">Entre 50 y 100 SMLMV </v>
      </c>
      <c r="T206" s="340" t="str">
        <f ca="1">+IF(OR(S206='[1]Tabla Impacto'!$C$11,S206='[1]Tabla Impacto'!$D$11),"Leve",IF(OR(S206='[1]Tabla Impacto'!$C$12,S206='[1]Tabla Impacto'!$D$12),"Menor",IF(OR(S206='[1]Tabla Impacto'!$C$13,S206='[1]Tabla Impacto'!$D$13),"Moderado",IF(OR(S206='[1]Tabla Impacto'!$C$14,S206='[1]Tabla Impacto'!$D$14),"Mayor",IF(OR(S206='[1]Tabla Impacto'!$C$15,S206='[1]Tabla Impacto'!$D$15),"Catastrófico","")))))</f>
        <v>Moderado</v>
      </c>
      <c r="U206" s="341">
        <f t="shared" ref="U206" ca="1" si="567">IF(T206="","",IF(T206="Leve",0.2,IF(T206="Menor",0.4,IF(T206="Moderado",0.6,IF(T206="Mayor",0.8,IF(T206="Catastrófico",1,))))))</f>
        <v>0.6</v>
      </c>
      <c r="V206" s="327" t="str">
        <f t="shared" ref="V206" ca="1" si="568">IF(OR(AND(P206="Muy Baja",T206="Leve"),AND(P206="Muy Baja",T206="Menor"),AND(P206="Baja",T206="Leve")),"Bajo",IF(OR(AND(P206="Muy baja",T206="Moderado"),AND(P206="Baja",T206="Menor"),AND(P206="Baja",T206="Moderado"),AND(P206="Media",T206="Leve"),AND(P206="Media",T206="Menor"),AND(P206="Media",T206="Moderado"),AND(P206="Alta",T206="Leve"),AND(P206="Alta",T206="Menor")),"Moderado",IF(OR(AND(P206="Muy Baja",T206="Mayor"),AND(P206="Baja",T206="Mayor"),AND(P206="Media",T206="Mayor"),AND(P206="Alta",T206="Moderado"),AND(P206="Alta",T206="Mayor"),AND(P206="Muy Alta",T206="Leve"),AND(P206="Muy Alta",T206="Menor"),AND(P206="Muy Alta",T206="Moderado"),AND(P206="Muy Alta",T206="Mayor")),"Alto",IF(OR(AND(P206="Muy Baja",T206="Catastrófico"),AND(P206="Baja",T206="Catastrófico"),AND(P206="Media",T206="Catastrófico"),AND(P206="Alta",T206="Catastrófico"),AND(P206="Muy Alta",T206="Catastrófico")),"Extremo",""))))</f>
        <v>Moderado</v>
      </c>
      <c r="W206" s="233">
        <v>1</v>
      </c>
      <c r="X206" s="207" t="s">
        <v>851</v>
      </c>
      <c r="Y206" s="230" t="str">
        <f t="shared" si="488"/>
        <v>Probabilidad</v>
      </c>
      <c r="Z206" s="185" t="s">
        <v>208</v>
      </c>
      <c r="AA206" s="185" t="s">
        <v>216</v>
      </c>
      <c r="AB206" s="186" t="str">
        <f t="shared" si="525"/>
        <v>40%</v>
      </c>
      <c r="AC206" s="185" t="s">
        <v>219</v>
      </c>
      <c r="AD206" s="185" t="s">
        <v>224</v>
      </c>
      <c r="AE206" s="185" t="s">
        <v>228</v>
      </c>
      <c r="AF206" s="187">
        <f t="shared" ref="AF206" si="569">IFERROR(IF(Y206="Probabilidad",(Q206-(+Q206*AB206)),IF(Y206="Impacto",Q206,"")),"")</f>
        <v>0.36</v>
      </c>
      <c r="AG206" s="188" t="str">
        <f t="shared" si="490"/>
        <v>Baja</v>
      </c>
      <c r="AH206" s="186">
        <f t="shared" si="491"/>
        <v>0.36</v>
      </c>
      <c r="AI206" s="188" t="str">
        <f t="shared" ca="1" si="492"/>
        <v>Moderado</v>
      </c>
      <c r="AJ206" s="186">
        <f t="shared" ref="AJ206" ca="1" si="570">IFERROR(IF(Y206="Impacto",(U206-(+U206*AB206)),IF(Y206="Probabilidad",U206,"")),"")</f>
        <v>0.6</v>
      </c>
      <c r="AK206" s="189" t="str">
        <f t="shared" ca="1" si="494"/>
        <v>Moderado</v>
      </c>
      <c r="AL206" s="185" t="s">
        <v>255</v>
      </c>
      <c r="AM206" s="227"/>
      <c r="AN206" s="230"/>
      <c r="AO206" s="228"/>
      <c r="AP206" s="228"/>
      <c r="AQ206" s="227"/>
      <c r="AR206" s="229"/>
    </row>
    <row r="207" spans="1:44" s="191" customFormat="1" ht="104.25" customHeight="1" thickTop="1" thickBot="1" x14ac:dyDescent="0.3">
      <c r="A207" s="328"/>
      <c r="B207" s="329"/>
      <c r="C207" s="333"/>
      <c r="D207" s="335"/>
      <c r="E207" s="333"/>
      <c r="F207" s="351"/>
      <c r="G207" s="351"/>
      <c r="H207" s="350"/>
      <c r="I207" s="338"/>
      <c r="J207" s="338"/>
      <c r="K207" s="338"/>
      <c r="L207" s="338"/>
      <c r="M207" s="333"/>
      <c r="N207" s="333"/>
      <c r="O207" s="339"/>
      <c r="P207" s="340"/>
      <c r="Q207" s="341"/>
      <c r="R207" s="341"/>
      <c r="S207" s="341">
        <f ca="1">IF(NOT(ISERROR(MATCH(R207,_xlfn.ANCHORARRAY(H214),0))),Q216&amp;"Por favor no seleccionar los criterios de impacto",R207)</f>
        <v>0</v>
      </c>
      <c r="T207" s="340"/>
      <c r="U207" s="341"/>
      <c r="V207" s="327"/>
      <c r="W207" s="233">
        <v>2</v>
      </c>
      <c r="X207" s="207" t="s">
        <v>852</v>
      </c>
      <c r="Y207" s="230" t="str">
        <f t="shared" si="488"/>
        <v>Probabilidad</v>
      </c>
      <c r="Z207" s="185" t="s">
        <v>208</v>
      </c>
      <c r="AA207" s="185" t="s">
        <v>216</v>
      </c>
      <c r="AB207" s="186" t="str">
        <f t="shared" si="525"/>
        <v>40%</v>
      </c>
      <c r="AC207" s="185" t="s">
        <v>219</v>
      </c>
      <c r="AD207" s="185" t="s">
        <v>224</v>
      </c>
      <c r="AE207" s="185" t="s">
        <v>228</v>
      </c>
      <c r="AF207" s="187">
        <f t="shared" ref="AF207:AF209" si="571">IFERROR(IF(AND(Y206="Probabilidad",Y207="Probabilidad"),(AH206-(+AH206*AB207)),IF(Y207="Probabilidad",(Q206-(+Q206*AB207)),IF(Y207="Impacto",AH206,""))),"")</f>
        <v>0.216</v>
      </c>
      <c r="AG207" s="188" t="str">
        <f t="shared" si="490"/>
        <v>Baja</v>
      </c>
      <c r="AH207" s="186">
        <f t="shared" si="491"/>
        <v>0.216</v>
      </c>
      <c r="AI207" s="188" t="str">
        <f t="shared" ca="1" si="492"/>
        <v>Moderado</v>
      </c>
      <c r="AJ207" s="186">
        <f t="shared" ref="AJ207" ca="1" si="572">IFERROR(IF(AND(Y206="Impacto",Y207="Impacto"),(AJ206-(+AJ206*AB207)),IF(Y207="Impacto",(U206-(+U206*AB207)),IF(Y207="Probabilidad",AJ206,""))),"")</f>
        <v>0.6</v>
      </c>
      <c r="AK207" s="189" t="str">
        <f t="shared" ca="1" si="494"/>
        <v>Moderado</v>
      </c>
      <c r="AL207" s="185" t="s">
        <v>255</v>
      </c>
      <c r="AM207" s="227"/>
      <c r="AN207" s="230"/>
      <c r="AO207" s="228"/>
      <c r="AP207" s="228"/>
      <c r="AQ207" s="227"/>
      <c r="AR207" s="229"/>
    </row>
    <row r="208" spans="1:44" s="191" customFormat="1" ht="110.25" thickTop="1" thickBot="1" x14ac:dyDescent="0.3">
      <c r="A208" s="328"/>
      <c r="B208" s="329"/>
      <c r="C208" s="333"/>
      <c r="D208" s="335"/>
      <c r="E208" s="333"/>
      <c r="F208" s="351"/>
      <c r="G208" s="351"/>
      <c r="H208" s="350"/>
      <c r="I208" s="338"/>
      <c r="J208" s="338"/>
      <c r="K208" s="338"/>
      <c r="L208" s="338"/>
      <c r="M208" s="333"/>
      <c r="N208" s="333"/>
      <c r="O208" s="339"/>
      <c r="P208" s="340"/>
      <c r="Q208" s="341"/>
      <c r="R208" s="341"/>
      <c r="S208" s="341">
        <f ca="1">IF(NOT(ISERROR(MATCH(R208,_xlfn.ANCHORARRAY(H215),0))),Q217&amp;"Por favor no seleccionar los criterios de impacto",R208)</f>
        <v>0</v>
      </c>
      <c r="T208" s="340"/>
      <c r="U208" s="341"/>
      <c r="V208" s="327"/>
      <c r="W208" s="233">
        <v>3</v>
      </c>
      <c r="X208" s="207" t="s">
        <v>853</v>
      </c>
      <c r="Y208" s="230" t="str">
        <f t="shared" si="488"/>
        <v>Probabilidad</v>
      </c>
      <c r="Z208" s="185" t="s">
        <v>208</v>
      </c>
      <c r="AA208" s="185" t="s">
        <v>216</v>
      </c>
      <c r="AB208" s="186" t="str">
        <f t="shared" si="525"/>
        <v>40%</v>
      </c>
      <c r="AC208" s="185" t="s">
        <v>219</v>
      </c>
      <c r="AD208" s="185" t="s">
        <v>224</v>
      </c>
      <c r="AE208" s="185" t="s">
        <v>228</v>
      </c>
      <c r="AF208" s="187">
        <f t="shared" si="571"/>
        <v>0.12959999999999999</v>
      </c>
      <c r="AG208" s="188" t="str">
        <f t="shared" si="490"/>
        <v>Muy Baja</v>
      </c>
      <c r="AH208" s="186">
        <f t="shared" si="491"/>
        <v>0.12959999999999999</v>
      </c>
      <c r="AI208" s="188" t="str">
        <f t="shared" ca="1" si="492"/>
        <v>Moderado</v>
      </c>
      <c r="AJ208" s="186">
        <f t="shared" ref="AJ208:AJ209" ca="1" si="573">IFERROR(IF(AND(Y207="Impacto",Y208="Impacto"),(AJ207-(+AJ207*AB208)),IF(AND(Y207="Probabilidad",Y208="Impacto"),(AJ206-(+AJ206*AB208)),IF(Y208="Probabilidad",AJ207,""))),"")</f>
        <v>0.6</v>
      </c>
      <c r="AK208" s="189" t="str">
        <f t="shared" ca="1" si="494"/>
        <v>Moderado</v>
      </c>
      <c r="AL208" s="185" t="s">
        <v>255</v>
      </c>
      <c r="AM208" s="227"/>
      <c r="AN208" s="230"/>
      <c r="AO208" s="228"/>
      <c r="AP208" s="228"/>
      <c r="AQ208" s="227"/>
      <c r="AR208" s="229"/>
    </row>
    <row r="209" spans="1:44" s="191" customFormat="1" ht="110.25" thickTop="1" thickBot="1" x14ac:dyDescent="0.3">
      <c r="A209" s="328"/>
      <c r="B209" s="329"/>
      <c r="C209" s="333"/>
      <c r="D209" s="335"/>
      <c r="E209" s="333"/>
      <c r="F209" s="351"/>
      <c r="G209" s="351"/>
      <c r="H209" s="350"/>
      <c r="I209" s="338"/>
      <c r="J209" s="338"/>
      <c r="K209" s="338"/>
      <c r="L209" s="338"/>
      <c r="M209" s="333"/>
      <c r="N209" s="333"/>
      <c r="O209" s="339"/>
      <c r="P209" s="340"/>
      <c r="Q209" s="341"/>
      <c r="R209" s="341"/>
      <c r="S209" s="341">
        <f ca="1">IF(NOT(ISERROR(MATCH(R209,_xlfn.ANCHORARRAY(H216),0))),Q218&amp;"Por favor no seleccionar los criterios de impacto",R209)</f>
        <v>0</v>
      </c>
      <c r="T209" s="340"/>
      <c r="U209" s="341"/>
      <c r="V209" s="327"/>
      <c r="W209" s="233">
        <v>4</v>
      </c>
      <c r="X209" s="207" t="s">
        <v>854</v>
      </c>
      <c r="Y209" s="230" t="str">
        <f t="shared" si="488"/>
        <v>Probabilidad</v>
      </c>
      <c r="Z209" s="185" t="s">
        <v>208</v>
      </c>
      <c r="AA209" s="185" t="s">
        <v>216</v>
      </c>
      <c r="AB209" s="186" t="str">
        <f t="shared" si="525"/>
        <v>40%</v>
      </c>
      <c r="AC209" s="185" t="s">
        <v>219</v>
      </c>
      <c r="AD209" s="185" t="s">
        <v>224</v>
      </c>
      <c r="AE209" s="185" t="s">
        <v>228</v>
      </c>
      <c r="AF209" s="187">
        <f t="shared" si="571"/>
        <v>7.7759999999999996E-2</v>
      </c>
      <c r="AG209" s="188" t="str">
        <f t="shared" si="490"/>
        <v>Muy Baja</v>
      </c>
      <c r="AH209" s="186">
        <f t="shared" si="491"/>
        <v>7.7759999999999996E-2</v>
      </c>
      <c r="AI209" s="188" t="str">
        <f t="shared" ca="1" si="492"/>
        <v>Moderado</v>
      </c>
      <c r="AJ209" s="186">
        <f t="shared" ca="1" si="573"/>
        <v>0.6</v>
      </c>
      <c r="AK209" s="189" t="str">
        <f t="shared" ca="1" si="494"/>
        <v>Moderado</v>
      </c>
      <c r="AL209" s="185" t="s">
        <v>255</v>
      </c>
      <c r="AM209" s="227"/>
      <c r="AN209" s="230"/>
      <c r="AO209" s="228"/>
      <c r="AP209" s="228"/>
      <c r="AQ209" s="227"/>
      <c r="AR209" s="229"/>
    </row>
    <row r="210" spans="1:44" s="191" customFormat="1" ht="129.75" thickTop="1" thickBot="1" x14ac:dyDescent="0.3">
      <c r="A210" s="328">
        <v>81</v>
      </c>
      <c r="B210" s="329" t="s">
        <v>855</v>
      </c>
      <c r="C210" s="333" t="s">
        <v>278</v>
      </c>
      <c r="D210" s="335" t="s">
        <v>856</v>
      </c>
      <c r="E210" s="333" t="s">
        <v>240</v>
      </c>
      <c r="F210" s="351" t="s">
        <v>849</v>
      </c>
      <c r="G210" s="351" t="s">
        <v>857</v>
      </c>
      <c r="H210" s="350" t="s">
        <v>1172</v>
      </c>
      <c r="I210" s="338" t="s">
        <v>474</v>
      </c>
      <c r="J210" s="338" t="s">
        <v>474</v>
      </c>
      <c r="K210" s="338" t="s">
        <v>474</v>
      </c>
      <c r="L210" s="338" t="s">
        <v>474</v>
      </c>
      <c r="M210" s="333" t="s">
        <v>239</v>
      </c>
      <c r="N210" s="333"/>
      <c r="O210" s="339">
        <v>365</v>
      </c>
      <c r="P210" s="340" t="str">
        <f t="shared" si="558"/>
        <v>Media</v>
      </c>
      <c r="Q210" s="341">
        <f t="shared" si="559"/>
        <v>0.6</v>
      </c>
      <c r="R210" s="341" t="s">
        <v>192</v>
      </c>
      <c r="S210" s="341" t="str">
        <f ca="1">IF(NOT(ISERROR(MATCH(R210,'Tabla Impacto'!$B$221:$B$223,0))),'Tabla Impacto'!$F$223&amp;"Por favor no seleccionar los criterios de impacto(Afectación Económica o presupuestal y Pérdida Reputacional)",R210)</f>
        <v xml:space="preserve">Entre 100 y 500 SMLMV </v>
      </c>
      <c r="T210" s="340" t="str">
        <f ca="1">+IF(OR(S210='[1]Tabla Impacto'!$C$11,S210='[1]Tabla Impacto'!$D$11),"Leve",IF(OR(S210='[1]Tabla Impacto'!$C$12,S210='[1]Tabla Impacto'!$D$12),"Menor",IF(OR(S210='[1]Tabla Impacto'!$C$13,S210='[1]Tabla Impacto'!$D$13),"Moderado",IF(OR(S210='[1]Tabla Impacto'!$C$14,S210='[1]Tabla Impacto'!$D$14),"Mayor",IF(OR(S210='[1]Tabla Impacto'!$C$15,S210='[1]Tabla Impacto'!$D$15),"Catastrófico","")))))</f>
        <v>Mayor</v>
      </c>
      <c r="U210" s="341">
        <f t="shared" ref="U210" ca="1" si="574">IF(T210="","",IF(T210="Leve",0.2,IF(T210="Menor",0.4,IF(T210="Moderado",0.6,IF(T210="Mayor",0.8,IF(T210="Catastrófico",1,))))))</f>
        <v>0.8</v>
      </c>
      <c r="V210" s="327" t="str">
        <f t="shared" ref="V210" ca="1" si="575">IF(OR(AND(P210="Muy Baja",T210="Leve"),AND(P210="Muy Baja",T210="Menor"),AND(P210="Baja",T210="Leve")),"Bajo",IF(OR(AND(P210="Muy baja",T210="Moderado"),AND(P210="Baja",T210="Menor"),AND(P210="Baja",T210="Moderado"),AND(P210="Media",T210="Leve"),AND(P210="Media",T210="Menor"),AND(P210="Media",T210="Moderado"),AND(P210="Alta",T210="Leve"),AND(P210="Alta",T210="Menor")),"Moderado",IF(OR(AND(P210="Muy Baja",T210="Mayor"),AND(P210="Baja",T210="Mayor"),AND(P210="Media",T210="Mayor"),AND(P210="Alta",T210="Moderado"),AND(P210="Alta",T210="Mayor"),AND(P210="Muy Alta",T210="Leve"),AND(P210="Muy Alta",T210="Menor"),AND(P210="Muy Alta",T210="Moderado"),AND(P210="Muy Alta",T210="Mayor")),"Alto",IF(OR(AND(P210="Muy Baja",T210="Catastrófico"),AND(P210="Baja",T210="Catastrófico"),AND(P210="Media",T210="Catastrófico"),AND(P210="Alta",T210="Catastrófico"),AND(P210="Muy Alta",T210="Catastrófico")),"Extremo",""))))</f>
        <v>Alto</v>
      </c>
      <c r="W210" s="233">
        <v>1</v>
      </c>
      <c r="X210" s="207" t="s">
        <v>858</v>
      </c>
      <c r="Y210" s="230" t="str">
        <f t="shared" si="488"/>
        <v>Probabilidad</v>
      </c>
      <c r="Z210" s="185" t="s">
        <v>210</v>
      </c>
      <c r="AA210" s="185" t="s">
        <v>216</v>
      </c>
      <c r="AB210" s="186" t="str">
        <f t="shared" si="525"/>
        <v>30%</v>
      </c>
      <c r="AC210" s="185" t="s">
        <v>219</v>
      </c>
      <c r="AD210" s="185" t="s">
        <v>224</v>
      </c>
      <c r="AE210" s="185" t="s">
        <v>228</v>
      </c>
      <c r="AF210" s="187">
        <f t="shared" ref="AF210" si="576">IFERROR(IF(Y210="Probabilidad",(Q210-(+Q210*AB210)),IF(Y210="Impacto",Q210,"")),"")</f>
        <v>0.42</v>
      </c>
      <c r="AG210" s="188" t="str">
        <f t="shared" si="490"/>
        <v>Media</v>
      </c>
      <c r="AH210" s="186">
        <f t="shared" si="491"/>
        <v>0.42</v>
      </c>
      <c r="AI210" s="188" t="str">
        <f t="shared" ca="1" si="492"/>
        <v>Mayor</v>
      </c>
      <c r="AJ210" s="186">
        <f t="shared" ref="AJ210" ca="1" si="577">IFERROR(IF(Y210="Impacto",(U210-(+U210*AB210)),IF(Y210="Probabilidad",U210,"")),"")</f>
        <v>0.8</v>
      </c>
      <c r="AK210" s="189" t="str">
        <f t="shared" ca="1" si="494"/>
        <v>Alto</v>
      </c>
      <c r="AL210" s="185" t="s">
        <v>262</v>
      </c>
      <c r="AM210" s="227"/>
      <c r="AN210" s="230"/>
      <c r="AO210" s="228"/>
      <c r="AP210" s="228"/>
      <c r="AQ210" s="227"/>
      <c r="AR210" s="229"/>
    </row>
    <row r="211" spans="1:44" s="191" customFormat="1" ht="129.75" thickTop="1" thickBot="1" x14ac:dyDescent="0.3">
      <c r="A211" s="328"/>
      <c r="B211" s="329"/>
      <c r="C211" s="333"/>
      <c r="D211" s="335"/>
      <c r="E211" s="333"/>
      <c r="F211" s="351"/>
      <c r="G211" s="351"/>
      <c r="H211" s="350"/>
      <c r="I211" s="338"/>
      <c r="J211" s="338"/>
      <c r="K211" s="338"/>
      <c r="L211" s="338"/>
      <c r="M211" s="333"/>
      <c r="N211" s="333"/>
      <c r="O211" s="339"/>
      <c r="P211" s="340"/>
      <c r="Q211" s="341"/>
      <c r="R211" s="341"/>
      <c r="S211" s="341">
        <f ca="1">IF(NOT(ISERROR(MATCH(R211,_xlfn.ANCHORARRAY(H219),0))),#REF!&amp;"Por favor no seleccionar los criterios de impacto",R211)</f>
        <v>0</v>
      </c>
      <c r="T211" s="340"/>
      <c r="U211" s="341"/>
      <c r="V211" s="327"/>
      <c r="W211" s="233">
        <v>2</v>
      </c>
      <c r="X211" s="207" t="s">
        <v>859</v>
      </c>
      <c r="Y211" s="230" t="str">
        <f t="shared" si="488"/>
        <v>Probabilidad</v>
      </c>
      <c r="Z211" s="185" t="s">
        <v>210</v>
      </c>
      <c r="AA211" s="185" t="s">
        <v>216</v>
      </c>
      <c r="AB211" s="186" t="str">
        <f t="shared" si="525"/>
        <v>30%</v>
      </c>
      <c r="AC211" s="185" t="s">
        <v>219</v>
      </c>
      <c r="AD211" s="185" t="s">
        <v>224</v>
      </c>
      <c r="AE211" s="185" t="s">
        <v>228</v>
      </c>
      <c r="AF211" s="187">
        <f t="shared" ref="AF211:AF213" si="578">IFERROR(IF(AND(Y210="Probabilidad",Y211="Probabilidad"),(AH210-(+AH210*AB211)),IF(Y211="Probabilidad",(Q210-(+Q210*AB211)),IF(Y211="Impacto",AH210,""))),"")</f>
        <v>0.29399999999999998</v>
      </c>
      <c r="AG211" s="188" t="str">
        <f t="shared" si="490"/>
        <v>Baja</v>
      </c>
      <c r="AH211" s="186">
        <f t="shared" si="491"/>
        <v>0.29399999999999998</v>
      </c>
      <c r="AI211" s="188" t="str">
        <f t="shared" ca="1" si="492"/>
        <v>Mayor</v>
      </c>
      <c r="AJ211" s="186">
        <f t="shared" ref="AJ211" ca="1" si="579">IFERROR(IF(AND(Y210="Impacto",Y211="Impacto"),(AJ210-(+AJ210*AB211)),IF(Y211="Impacto",(U210-(+U210*AB211)),IF(Y211="Probabilidad",AJ210,""))),"")</f>
        <v>0.8</v>
      </c>
      <c r="AK211" s="189" t="str">
        <f t="shared" ca="1" si="494"/>
        <v>Alto</v>
      </c>
      <c r="AL211" s="185" t="s">
        <v>262</v>
      </c>
      <c r="AM211" s="227"/>
      <c r="AN211" s="230"/>
      <c r="AO211" s="228"/>
      <c r="AP211" s="228"/>
      <c r="AQ211" s="227"/>
      <c r="AR211" s="229"/>
    </row>
    <row r="212" spans="1:44" s="191" customFormat="1" ht="129.75" thickTop="1" thickBot="1" x14ac:dyDescent="0.3">
      <c r="A212" s="328"/>
      <c r="B212" s="329"/>
      <c r="C212" s="333"/>
      <c r="D212" s="335"/>
      <c r="E212" s="333"/>
      <c r="F212" s="351"/>
      <c r="G212" s="351"/>
      <c r="H212" s="350"/>
      <c r="I212" s="338"/>
      <c r="J212" s="338"/>
      <c r="K212" s="338"/>
      <c r="L212" s="338"/>
      <c r="M212" s="333"/>
      <c r="N212" s="333"/>
      <c r="O212" s="339"/>
      <c r="P212" s="340"/>
      <c r="Q212" s="341"/>
      <c r="R212" s="341"/>
      <c r="S212" s="341">
        <f ca="1">IF(NOT(ISERROR(MATCH(R212,_xlfn.ANCHORARRAY(H220),0))),#REF!&amp;"Por favor no seleccionar los criterios de impacto",R212)</f>
        <v>0</v>
      </c>
      <c r="T212" s="340"/>
      <c r="U212" s="341"/>
      <c r="V212" s="327"/>
      <c r="W212" s="233">
        <v>3</v>
      </c>
      <c r="X212" s="207" t="s">
        <v>860</v>
      </c>
      <c r="Y212" s="230" t="str">
        <f t="shared" si="488"/>
        <v>Probabilidad</v>
      </c>
      <c r="Z212" s="185" t="s">
        <v>208</v>
      </c>
      <c r="AA212" s="185" t="s">
        <v>216</v>
      </c>
      <c r="AB212" s="186" t="str">
        <f t="shared" si="525"/>
        <v>40%</v>
      </c>
      <c r="AC212" s="185" t="s">
        <v>219</v>
      </c>
      <c r="AD212" s="185" t="s">
        <v>224</v>
      </c>
      <c r="AE212" s="185" t="s">
        <v>228</v>
      </c>
      <c r="AF212" s="187">
        <f t="shared" si="578"/>
        <v>0.1764</v>
      </c>
      <c r="AG212" s="188" t="str">
        <f t="shared" si="490"/>
        <v>Muy Baja</v>
      </c>
      <c r="AH212" s="186">
        <f t="shared" si="491"/>
        <v>0.1764</v>
      </c>
      <c r="AI212" s="188" t="str">
        <f t="shared" ca="1" si="492"/>
        <v>Mayor</v>
      </c>
      <c r="AJ212" s="186">
        <f t="shared" ref="AJ212:AJ213" ca="1" si="580">IFERROR(IF(AND(Y211="Impacto",Y212="Impacto"),(AJ211-(+AJ211*AB212)),IF(AND(Y211="Probabilidad",Y212="Impacto"),(AJ210-(+AJ210*AB212)),IF(Y212="Probabilidad",AJ211,""))),"")</f>
        <v>0.8</v>
      </c>
      <c r="AK212" s="189" t="str">
        <f t="shared" ca="1" si="494"/>
        <v>Alto</v>
      </c>
      <c r="AL212" s="185" t="s">
        <v>262</v>
      </c>
      <c r="AM212" s="227"/>
      <c r="AN212" s="230"/>
      <c r="AO212" s="228"/>
      <c r="AP212" s="228"/>
      <c r="AQ212" s="227"/>
      <c r="AR212" s="229"/>
    </row>
    <row r="213" spans="1:44" s="191" customFormat="1" ht="117" customHeight="1" thickTop="1" thickBot="1" x14ac:dyDescent="0.3">
      <c r="A213" s="328"/>
      <c r="B213" s="329"/>
      <c r="C213" s="333"/>
      <c r="D213" s="335"/>
      <c r="E213" s="333"/>
      <c r="F213" s="351"/>
      <c r="G213" s="351"/>
      <c r="H213" s="350"/>
      <c r="I213" s="338"/>
      <c r="J213" s="338"/>
      <c r="K213" s="338"/>
      <c r="L213" s="338"/>
      <c r="M213" s="333"/>
      <c r="N213" s="333"/>
      <c r="O213" s="339"/>
      <c r="P213" s="340"/>
      <c r="Q213" s="341"/>
      <c r="R213" s="341"/>
      <c r="S213" s="341">
        <f ca="1">IF(NOT(ISERROR(MATCH(R213,_xlfn.ANCHORARRAY(#REF!),0))),#REF!&amp;"Por favor no seleccionar los criterios de impacto",R213)</f>
        <v>0</v>
      </c>
      <c r="T213" s="340"/>
      <c r="U213" s="341"/>
      <c r="V213" s="327"/>
      <c r="W213" s="233">
        <v>4</v>
      </c>
      <c r="X213" s="207" t="s">
        <v>861</v>
      </c>
      <c r="Y213" s="230" t="str">
        <f t="shared" si="488"/>
        <v>Impacto</v>
      </c>
      <c r="Z213" s="185" t="s">
        <v>212</v>
      </c>
      <c r="AA213" s="185" t="s">
        <v>216</v>
      </c>
      <c r="AB213" s="186" t="str">
        <f t="shared" si="525"/>
        <v>25%</v>
      </c>
      <c r="AC213" s="185" t="s">
        <v>219</v>
      </c>
      <c r="AD213" s="185" t="s">
        <v>224</v>
      </c>
      <c r="AE213" s="185" t="s">
        <v>228</v>
      </c>
      <c r="AF213" s="187">
        <f t="shared" si="578"/>
        <v>0.1764</v>
      </c>
      <c r="AG213" s="188" t="str">
        <f t="shared" si="490"/>
        <v>Muy Baja</v>
      </c>
      <c r="AH213" s="186">
        <f t="shared" si="491"/>
        <v>0.1764</v>
      </c>
      <c r="AI213" s="188" t="str">
        <f t="shared" ca="1" si="492"/>
        <v>Moderado</v>
      </c>
      <c r="AJ213" s="186">
        <f t="shared" ca="1" si="580"/>
        <v>0.60000000000000009</v>
      </c>
      <c r="AK213" s="189" t="str">
        <f t="shared" ca="1" si="494"/>
        <v>Moderado</v>
      </c>
      <c r="AL213" s="185" t="s">
        <v>255</v>
      </c>
      <c r="AM213" s="227"/>
      <c r="AN213" s="230"/>
      <c r="AO213" s="228"/>
      <c r="AP213" s="228"/>
      <c r="AQ213" s="227"/>
      <c r="AR213" s="229"/>
    </row>
    <row r="214" spans="1:44" s="191" customFormat="1" ht="95.25" customHeight="1" thickTop="1" thickBot="1" x14ac:dyDescent="0.3">
      <c r="A214" s="328">
        <v>82</v>
      </c>
      <c r="B214" s="329" t="s">
        <v>862</v>
      </c>
      <c r="C214" s="333" t="s">
        <v>278</v>
      </c>
      <c r="D214" s="335" t="s">
        <v>863</v>
      </c>
      <c r="E214" s="333" t="s">
        <v>236</v>
      </c>
      <c r="F214" s="351" t="s">
        <v>864</v>
      </c>
      <c r="G214" s="351" t="s">
        <v>865</v>
      </c>
      <c r="H214" s="350" t="s">
        <v>1173</v>
      </c>
      <c r="I214" s="338" t="s">
        <v>474</v>
      </c>
      <c r="J214" s="338" t="s">
        <v>474</v>
      </c>
      <c r="K214" s="338" t="s">
        <v>474</v>
      </c>
      <c r="L214" s="338" t="s">
        <v>474</v>
      </c>
      <c r="M214" s="333" t="s">
        <v>469</v>
      </c>
      <c r="N214" s="333"/>
      <c r="O214" s="339">
        <v>365</v>
      </c>
      <c r="P214" s="340" t="str">
        <f t="shared" si="558"/>
        <v>Media</v>
      </c>
      <c r="Q214" s="341">
        <f t="shared" si="559"/>
        <v>0.6</v>
      </c>
      <c r="R214" s="341" t="s">
        <v>189</v>
      </c>
      <c r="S214" s="341" t="str">
        <f ca="1">IF(NOT(ISERROR(MATCH(R214,'Tabla Impacto'!$B$221:$B$223,0))),'Tabla Impacto'!$F$223&amp;"Por favor no seleccionar los criterios de impacto(Afectación Económica o presupuestal y Pérdida Reputacional)",R214)</f>
        <v xml:space="preserve">Entre 50 y 100 SMLMV </v>
      </c>
      <c r="T214" s="340" t="str">
        <f ca="1">+IF(OR(S214='[1]Tabla Impacto'!$C$11,S214='[1]Tabla Impacto'!$D$11),"Leve",IF(OR(S214='[1]Tabla Impacto'!$C$12,S214='[1]Tabla Impacto'!$D$12),"Menor",IF(OR(S214='[1]Tabla Impacto'!$C$13,S214='[1]Tabla Impacto'!$D$13),"Moderado",IF(OR(S214='[1]Tabla Impacto'!$C$14,S214='[1]Tabla Impacto'!$D$14),"Mayor",IF(OR(S214='[1]Tabla Impacto'!$C$15,S214='[1]Tabla Impacto'!$D$15),"Catastrófico","")))))</f>
        <v>Moderado</v>
      </c>
      <c r="U214" s="341">
        <f t="shared" ref="U214" ca="1" si="581">IF(T214="","",IF(T214="Leve",0.2,IF(T214="Menor",0.4,IF(T214="Moderado",0.6,IF(T214="Mayor",0.8,IF(T214="Catastrófico",1,))))))</f>
        <v>0.6</v>
      </c>
      <c r="V214" s="327" t="str">
        <f t="shared" ref="V214" ca="1" si="582">IF(OR(AND(P214="Muy Baja",T214="Leve"),AND(P214="Muy Baja",T214="Menor"),AND(P214="Baja",T214="Leve")),"Bajo",IF(OR(AND(P214="Muy baja",T214="Moderado"),AND(P214="Baja",T214="Menor"),AND(P214="Baja",T214="Moderado"),AND(P214="Media",T214="Leve"),AND(P214="Media",T214="Menor"),AND(P214="Media",T214="Moderado"),AND(P214="Alta",T214="Leve"),AND(P214="Alta",T214="Menor")),"Moderado",IF(OR(AND(P214="Muy Baja",T214="Mayor"),AND(P214="Baja",T214="Mayor"),AND(P214="Media",T214="Mayor"),AND(P214="Alta",T214="Moderado"),AND(P214="Alta",T214="Mayor"),AND(P214="Muy Alta",T214="Leve"),AND(P214="Muy Alta",T214="Menor"),AND(P214="Muy Alta",T214="Moderado"),AND(P214="Muy Alta",T214="Mayor")),"Alto",IF(OR(AND(P214="Muy Baja",T214="Catastrófico"),AND(P214="Baja",T214="Catastrófico"),AND(P214="Media",T214="Catastrófico"),AND(P214="Alta",T214="Catastrófico"),AND(P214="Muy Alta",T214="Catastrófico")),"Extremo",""))))</f>
        <v>Moderado</v>
      </c>
      <c r="W214" s="233">
        <v>1</v>
      </c>
      <c r="X214" s="207" t="s">
        <v>866</v>
      </c>
      <c r="Y214" s="230" t="str">
        <f t="shared" si="488"/>
        <v>Probabilidad</v>
      </c>
      <c r="Z214" s="185" t="s">
        <v>208</v>
      </c>
      <c r="AA214" s="185" t="s">
        <v>216</v>
      </c>
      <c r="AB214" s="186" t="str">
        <f t="shared" si="525"/>
        <v>40%</v>
      </c>
      <c r="AC214" s="185" t="s">
        <v>219</v>
      </c>
      <c r="AD214" s="185" t="s">
        <v>224</v>
      </c>
      <c r="AE214" s="185" t="s">
        <v>228</v>
      </c>
      <c r="AF214" s="187">
        <f t="shared" ref="AF214" si="583">IFERROR(IF(Y214="Probabilidad",(Q214-(+Q214*AB214)),IF(Y214="Impacto",Q214,"")),"")</f>
        <v>0.36</v>
      </c>
      <c r="AG214" s="188" t="str">
        <f t="shared" si="490"/>
        <v>Baja</v>
      </c>
      <c r="AH214" s="186">
        <f t="shared" si="491"/>
        <v>0.36</v>
      </c>
      <c r="AI214" s="188" t="str">
        <f t="shared" ca="1" si="492"/>
        <v>Moderado</v>
      </c>
      <c r="AJ214" s="186">
        <f t="shared" ref="AJ214" ca="1" si="584">IFERROR(IF(Y214="Impacto",(U214-(+U214*AB214)),IF(Y214="Probabilidad",U214,"")),"")</f>
        <v>0.6</v>
      </c>
      <c r="AK214" s="189" t="str">
        <f t="shared" ca="1" si="494"/>
        <v>Moderado</v>
      </c>
      <c r="AL214" s="185" t="s">
        <v>255</v>
      </c>
      <c r="AM214" s="227"/>
      <c r="AN214" s="230"/>
      <c r="AO214" s="228"/>
      <c r="AP214" s="228"/>
      <c r="AQ214" s="227"/>
      <c r="AR214" s="229"/>
    </row>
    <row r="215" spans="1:44" s="191" customFormat="1" ht="126.75" thickTop="1" thickBot="1" x14ac:dyDescent="0.3">
      <c r="A215" s="328"/>
      <c r="B215" s="329"/>
      <c r="C215" s="333"/>
      <c r="D215" s="335"/>
      <c r="E215" s="333"/>
      <c r="F215" s="351"/>
      <c r="G215" s="351"/>
      <c r="H215" s="350"/>
      <c r="I215" s="338"/>
      <c r="J215" s="338"/>
      <c r="K215" s="338"/>
      <c r="L215" s="338"/>
      <c r="M215" s="333"/>
      <c r="N215" s="333"/>
      <c r="O215" s="339"/>
      <c r="P215" s="340"/>
      <c r="Q215" s="341"/>
      <c r="R215" s="341"/>
      <c r="S215" s="341">
        <f ca="1">IF(NOT(ISERROR(MATCH(R215,_xlfn.ANCHORARRAY(H221),0))),Q223&amp;"Por favor no seleccionar los criterios de impacto",R215)</f>
        <v>0</v>
      </c>
      <c r="T215" s="340"/>
      <c r="U215" s="341"/>
      <c r="V215" s="327"/>
      <c r="W215" s="233">
        <v>2</v>
      </c>
      <c r="X215" s="207" t="s">
        <v>867</v>
      </c>
      <c r="Y215" s="230" t="str">
        <f t="shared" si="488"/>
        <v>Probabilidad</v>
      </c>
      <c r="Z215" s="185" t="s">
        <v>210</v>
      </c>
      <c r="AA215" s="185" t="s">
        <v>216</v>
      </c>
      <c r="AB215" s="186" t="str">
        <f t="shared" si="525"/>
        <v>30%</v>
      </c>
      <c r="AC215" s="185" t="s">
        <v>222</v>
      </c>
      <c r="AD215" s="185" t="s">
        <v>224</v>
      </c>
      <c r="AE215" s="185" t="s">
        <v>228</v>
      </c>
      <c r="AF215" s="187">
        <f t="shared" ref="AF215:AF218" si="585">IFERROR(IF(AND(Y214="Probabilidad",Y215="Probabilidad"),(AH214-(+AH214*AB215)),IF(Y215="Probabilidad",(Q214-(+Q214*AB215)),IF(Y215="Impacto",AH214,""))),"")</f>
        <v>0.252</v>
      </c>
      <c r="AG215" s="188" t="str">
        <f t="shared" si="490"/>
        <v>Baja</v>
      </c>
      <c r="AH215" s="186">
        <f t="shared" si="491"/>
        <v>0.252</v>
      </c>
      <c r="AI215" s="188" t="str">
        <f t="shared" ca="1" si="492"/>
        <v>Moderado</v>
      </c>
      <c r="AJ215" s="186">
        <f t="shared" ref="AJ215" ca="1" si="586">IFERROR(IF(AND(Y214="Impacto",Y215="Impacto"),(AJ214-(+AJ214*AB215)),IF(Y215="Impacto",(U214-(+U214*AB215)),IF(Y215="Probabilidad",AJ214,""))),"")</f>
        <v>0.6</v>
      </c>
      <c r="AK215" s="189" t="str">
        <f t="shared" ca="1" si="494"/>
        <v>Moderado</v>
      </c>
      <c r="AL215" s="185" t="s">
        <v>255</v>
      </c>
      <c r="AM215" s="227"/>
      <c r="AN215" s="230"/>
      <c r="AO215" s="228"/>
      <c r="AP215" s="228"/>
      <c r="AQ215" s="227"/>
      <c r="AR215" s="229"/>
    </row>
    <row r="216" spans="1:44" s="191" customFormat="1" ht="110.25" thickTop="1" thickBot="1" x14ac:dyDescent="0.3">
      <c r="A216" s="328"/>
      <c r="B216" s="329"/>
      <c r="C216" s="333"/>
      <c r="D216" s="335"/>
      <c r="E216" s="333"/>
      <c r="F216" s="351"/>
      <c r="G216" s="351"/>
      <c r="H216" s="350"/>
      <c r="I216" s="338"/>
      <c r="J216" s="338"/>
      <c r="K216" s="338"/>
      <c r="L216" s="338"/>
      <c r="M216" s="333"/>
      <c r="N216" s="333"/>
      <c r="O216" s="339"/>
      <c r="P216" s="340"/>
      <c r="Q216" s="341"/>
      <c r="R216" s="341"/>
      <c r="S216" s="341">
        <f ca="1">IF(NOT(ISERROR(MATCH(R216,_xlfn.ANCHORARRAY(H222),0))),#REF!&amp;"Por favor no seleccionar los criterios de impacto",R216)</f>
        <v>0</v>
      </c>
      <c r="T216" s="340"/>
      <c r="U216" s="341"/>
      <c r="V216" s="327"/>
      <c r="W216" s="233">
        <v>3</v>
      </c>
      <c r="X216" s="207" t="s">
        <v>868</v>
      </c>
      <c r="Y216" s="230" t="str">
        <f t="shared" si="488"/>
        <v>Probabilidad</v>
      </c>
      <c r="Z216" s="185" t="s">
        <v>208</v>
      </c>
      <c r="AA216" s="185" t="s">
        <v>216</v>
      </c>
      <c r="AB216" s="186" t="str">
        <f t="shared" si="525"/>
        <v>40%</v>
      </c>
      <c r="AC216" s="185" t="s">
        <v>219</v>
      </c>
      <c r="AD216" s="185" t="s">
        <v>224</v>
      </c>
      <c r="AE216" s="185" t="s">
        <v>228</v>
      </c>
      <c r="AF216" s="187">
        <f t="shared" si="585"/>
        <v>0.1512</v>
      </c>
      <c r="AG216" s="188" t="str">
        <f t="shared" si="490"/>
        <v>Muy Baja</v>
      </c>
      <c r="AH216" s="186">
        <f t="shared" si="491"/>
        <v>0.1512</v>
      </c>
      <c r="AI216" s="188" t="str">
        <f t="shared" ca="1" si="492"/>
        <v>Moderado</v>
      </c>
      <c r="AJ216" s="186">
        <f t="shared" ref="AJ216:AJ218" ca="1" si="587">IFERROR(IF(AND(Y215="Impacto",Y216="Impacto"),(AJ215-(+AJ215*AB216)),IF(AND(Y215="Probabilidad",Y216="Impacto"),(AJ214-(+AJ214*AB216)),IF(Y216="Probabilidad",AJ215,""))),"")</f>
        <v>0.6</v>
      </c>
      <c r="AK216" s="189" t="str">
        <f t="shared" ca="1" si="494"/>
        <v>Moderado</v>
      </c>
      <c r="AL216" s="185" t="s">
        <v>255</v>
      </c>
      <c r="AM216" s="227"/>
      <c r="AN216" s="230"/>
      <c r="AO216" s="228"/>
      <c r="AP216" s="228"/>
      <c r="AQ216" s="227"/>
      <c r="AR216" s="229"/>
    </row>
    <row r="217" spans="1:44" s="191" customFormat="1" ht="110.25" thickTop="1" thickBot="1" x14ac:dyDescent="0.3">
      <c r="A217" s="328"/>
      <c r="B217" s="329"/>
      <c r="C217" s="333"/>
      <c r="D217" s="335"/>
      <c r="E217" s="333"/>
      <c r="F217" s="351"/>
      <c r="G217" s="351"/>
      <c r="H217" s="350"/>
      <c r="I217" s="338"/>
      <c r="J217" s="338"/>
      <c r="K217" s="338"/>
      <c r="L217" s="338"/>
      <c r="M217" s="333"/>
      <c r="N217" s="333"/>
      <c r="O217" s="339"/>
      <c r="P217" s="340"/>
      <c r="Q217" s="341"/>
      <c r="R217" s="341"/>
      <c r="S217" s="341">
        <f ca="1">IF(NOT(ISERROR(MATCH(R217,_xlfn.ANCHORARRAY(H223),0))),#REF!&amp;"Por favor no seleccionar los criterios de impacto",R217)</f>
        <v>0</v>
      </c>
      <c r="T217" s="340"/>
      <c r="U217" s="341"/>
      <c r="V217" s="327"/>
      <c r="W217" s="233">
        <v>4</v>
      </c>
      <c r="X217" s="207" t="s">
        <v>869</v>
      </c>
      <c r="Y217" s="230" t="str">
        <f t="shared" si="488"/>
        <v>Probabilidad</v>
      </c>
      <c r="Z217" s="185" t="s">
        <v>208</v>
      </c>
      <c r="AA217" s="185" t="s">
        <v>216</v>
      </c>
      <c r="AB217" s="186" t="str">
        <f t="shared" si="525"/>
        <v>40%</v>
      </c>
      <c r="AC217" s="185" t="s">
        <v>219</v>
      </c>
      <c r="AD217" s="185" t="s">
        <v>224</v>
      </c>
      <c r="AE217" s="185" t="s">
        <v>228</v>
      </c>
      <c r="AF217" s="187">
        <f t="shared" si="585"/>
        <v>9.0719999999999995E-2</v>
      </c>
      <c r="AG217" s="188" t="str">
        <f t="shared" si="490"/>
        <v>Muy Baja</v>
      </c>
      <c r="AH217" s="186">
        <f t="shared" si="491"/>
        <v>9.0719999999999995E-2</v>
      </c>
      <c r="AI217" s="188" t="str">
        <f t="shared" ca="1" si="492"/>
        <v>Moderado</v>
      </c>
      <c r="AJ217" s="186">
        <f t="shared" ca="1" si="587"/>
        <v>0.6</v>
      </c>
      <c r="AK217" s="189" t="str">
        <f t="shared" ca="1" si="494"/>
        <v>Moderado</v>
      </c>
      <c r="AL217" s="185" t="s">
        <v>255</v>
      </c>
      <c r="AM217" s="227"/>
      <c r="AN217" s="230"/>
      <c r="AO217" s="228"/>
      <c r="AP217" s="228"/>
      <c r="AQ217" s="227"/>
      <c r="AR217" s="229"/>
    </row>
    <row r="218" spans="1:44" s="191" customFormat="1" ht="110.25" thickTop="1" thickBot="1" x14ac:dyDescent="0.3">
      <c r="A218" s="328"/>
      <c r="B218" s="329"/>
      <c r="C218" s="333"/>
      <c r="D218" s="335"/>
      <c r="E218" s="333"/>
      <c r="F218" s="351"/>
      <c r="G218" s="351"/>
      <c r="H218" s="350"/>
      <c r="I218" s="338"/>
      <c r="J218" s="338"/>
      <c r="K218" s="338"/>
      <c r="L218" s="338"/>
      <c r="M218" s="333"/>
      <c r="N218" s="333"/>
      <c r="O218" s="339"/>
      <c r="P218" s="340"/>
      <c r="Q218" s="341"/>
      <c r="R218" s="341"/>
      <c r="S218" s="341">
        <f ca="1">IF(NOT(ISERROR(MATCH(R218,_xlfn.ANCHORARRAY(#REF!),0))),#REF!&amp;"Por favor no seleccionar los criterios de impacto",R218)</f>
        <v>0</v>
      </c>
      <c r="T218" s="340"/>
      <c r="U218" s="341"/>
      <c r="V218" s="327"/>
      <c r="W218" s="233">
        <v>5</v>
      </c>
      <c r="X218" s="207" t="s">
        <v>870</v>
      </c>
      <c r="Y218" s="230" t="str">
        <f t="shared" si="488"/>
        <v>Probabilidad</v>
      </c>
      <c r="Z218" s="185" t="s">
        <v>208</v>
      </c>
      <c r="AA218" s="185" t="s">
        <v>216</v>
      </c>
      <c r="AB218" s="186" t="str">
        <f t="shared" si="525"/>
        <v>40%</v>
      </c>
      <c r="AC218" s="185" t="s">
        <v>219</v>
      </c>
      <c r="AD218" s="185" t="s">
        <v>224</v>
      </c>
      <c r="AE218" s="185" t="s">
        <v>228</v>
      </c>
      <c r="AF218" s="187">
        <f t="shared" si="585"/>
        <v>5.4431999999999994E-2</v>
      </c>
      <c r="AG218" s="188" t="str">
        <f t="shared" si="490"/>
        <v>Muy Baja</v>
      </c>
      <c r="AH218" s="186">
        <f t="shared" si="491"/>
        <v>5.4431999999999994E-2</v>
      </c>
      <c r="AI218" s="188" t="str">
        <f t="shared" ca="1" si="492"/>
        <v>Moderado</v>
      </c>
      <c r="AJ218" s="186">
        <f t="shared" ca="1" si="587"/>
        <v>0.6</v>
      </c>
      <c r="AK218" s="189" t="str">
        <f t="shared" ca="1" si="494"/>
        <v>Moderado</v>
      </c>
      <c r="AL218" s="185" t="s">
        <v>255</v>
      </c>
      <c r="AM218" s="227"/>
      <c r="AN218" s="230"/>
      <c r="AO218" s="228"/>
      <c r="AP218" s="228"/>
      <c r="AQ218" s="227"/>
      <c r="AR218" s="229"/>
    </row>
    <row r="219" spans="1:44" s="191" customFormat="1" ht="133.5" customHeight="1" thickTop="1" thickBot="1" x14ac:dyDescent="0.3">
      <c r="A219" s="328">
        <v>83</v>
      </c>
      <c r="B219" s="329" t="s">
        <v>871</v>
      </c>
      <c r="C219" s="333" t="s">
        <v>278</v>
      </c>
      <c r="D219" s="335" t="s">
        <v>872</v>
      </c>
      <c r="E219" s="333" t="s">
        <v>236</v>
      </c>
      <c r="F219" s="351" t="s">
        <v>873</v>
      </c>
      <c r="G219" s="351" t="s">
        <v>857</v>
      </c>
      <c r="H219" s="350" t="s">
        <v>1174</v>
      </c>
      <c r="I219" s="338" t="s">
        <v>474</v>
      </c>
      <c r="J219" s="338" t="s">
        <v>474</v>
      </c>
      <c r="K219" s="338" t="s">
        <v>474</v>
      </c>
      <c r="L219" s="338" t="s">
        <v>474</v>
      </c>
      <c r="M219" s="333" t="s">
        <v>239</v>
      </c>
      <c r="N219" s="333"/>
      <c r="O219" s="339">
        <v>365</v>
      </c>
      <c r="P219" s="340" t="str">
        <f t="shared" si="558"/>
        <v>Media</v>
      </c>
      <c r="Q219" s="341">
        <f t="shared" si="559"/>
        <v>0.6</v>
      </c>
      <c r="R219" s="341" t="s">
        <v>189</v>
      </c>
      <c r="S219" s="341" t="str">
        <f ca="1">IF(NOT(ISERROR(MATCH(R219,'Tabla Impacto'!$B$221:$B$223,0))),'Tabla Impacto'!$F$223&amp;"Por favor no seleccionar los criterios de impacto(Afectación Económica o presupuestal y Pérdida Reputacional)",R219)</f>
        <v xml:space="preserve">Entre 50 y 100 SMLMV </v>
      </c>
      <c r="T219" s="340" t="str">
        <f ca="1">+IF(OR(S219='[1]Tabla Impacto'!$C$11,S219='[1]Tabla Impacto'!$D$11),"Leve",IF(OR(S219='[1]Tabla Impacto'!$C$12,S219='[1]Tabla Impacto'!$D$12),"Menor",IF(OR(S219='[1]Tabla Impacto'!$C$13,S219='[1]Tabla Impacto'!$D$13),"Moderado",IF(OR(S219='[1]Tabla Impacto'!$C$14,S219='[1]Tabla Impacto'!$D$14),"Mayor",IF(OR(S219='[1]Tabla Impacto'!$C$15,S219='[1]Tabla Impacto'!$D$15),"Catastrófico","")))))</f>
        <v>Moderado</v>
      </c>
      <c r="U219" s="341">
        <f t="shared" ref="U219" ca="1" si="588">IF(T219="","",IF(T219="Leve",0.2,IF(T219="Menor",0.4,IF(T219="Moderado",0.6,IF(T219="Mayor",0.8,IF(T219="Catastrófico",1,))))))</f>
        <v>0.6</v>
      </c>
      <c r="V219" s="327" t="str">
        <f t="shared" ref="V219" ca="1" si="589">IF(OR(AND(P219="Muy Baja",T219="Leve"),AND(P219="Muy Baja",T219="Menor"),AND(P219="Baja",T219="Leve")),"Bajo",IF(OR(AND(P219="Muy baja",T219="Moderado"),AND(P219="Baja",T219="Menor"),AND(P219="Baja",T219="Moderado"),AND(P219="Media",T219="Leve"),AND(P219="Media",T219="Menor"),AND(P219="Media",T219="Moderado"),AND(P219="Alta",T219="Leve"),AND(P219="Alta",T219="Menor")),"Moderado",IF(OR(AND(P219="Muy Baja",T219="Mayor"),AND(P219="Baja",T219="Mayor"),AND(P219="Media",T219="Mayor"),AND(P219="Alta",T219="Moderado"),AND(P219="Alta",T219="Mayor"),AND(P219="Muy Alta",T219="Leve"),AND(P219="Muy Alta",T219="Menor"),AND(P219="Muy Alta",T219="Moderado"),AND(P219="Muy Alta",T219="Mayor")),"Alto",IF(OR(AND(P219="Muy Baja",T219="Catastrófico"),AND(P219="Baja",T219="Catastrófico"),AND(P219="Media",T219="Catastrófico"),AND(P219="Alta",T219="Catastrófico"),AND(P219="Muy Alta",T219="Catastrófico")),"Extremo",""))))</f>
        <v>Moderado</v>
      </c>
      <c r="W219" s="233">
        <v>1</v>
      </c>
      <c r="X219" s="207" t="s">
        <v>874</v>
      </c>
      <c r="Y219" s="230" t="str">
        <f t="shared" si="488"/>
        <v>Probabilidad</v>
      </c>
      <c r="Z219" s="185" t="s">
        <v>208</v>
      </c>
      <c r="AA219" s="185" t="s">
        <v>216</v>
      </c>
      <c r="AB219" s="186" t="str">
        <f t="shared" si="525"/>
        <v>40%</v>
      </c>
      <c r="AC219" s="185" t="s">
        <v>219</v>
      </c>
      <c r="AD219" s="185" t="s">
        <v>224</v>
      </c>
      <c r="AE219" s="185" t="s">
        <v>228</v>
      </c>
      <c r="AF219" s="187">
        <f t="shared" ref="AF219" si="590">IFERROR(IF(Y219="Probabilidad",(Q219-(+Q219*AB219)),IF(Y219="Impacto",Q219,"")),"")</f>
        <v>0.36</v>
      </c>
      <c r="AG219" s="188" t="str">
        <f t="shared" si="490"/>
        <v>Baja</v>
      </c>
      <c r="AH219" s="186">
        <f t="shared" si="491"/>
        <v>0.36</v>
      </c>
      <c r="AI219" s="188" t="str">
        <f t="shared" ca="1" si="492"/>
        <v>Moderado</v>
      </c>
      <c r="AJ219" s="186">
        <f t="shared" ref="AJ219" ca="1" si="591">IFERROR(IF(Y219="Impacto",(U219-(+U219*AB219)),IF(Y219="Probabilidad",U219,"")),"")</f>
        <v>0.6</v>
      </c>
      <c r="AK219" s="189" t="str">
        <f t="shared" ca="1" si="494"/>
        <v>Moderado</v>
      </c>
      <c r="AL219" s="185" t="s">
        <v>255</v>
      </c>
      <c r="AM219" s="227"/>
      <c r="AN219" s="230"/>
      <c r="AO219" s="228"/>
      <c r="AP219" s="228"/>
      <c r="AQ219" s="227"/>
      <c r="AR219" s="229"/>
    </row>
    <row r="220" spans="1:44" s="191" customFormat="1" ht="133.5" customHeight="1" thickTop="1" thickBot="1" x14ac:dyDescent="0.3">
      <c r="A220" s="328"/>
      <c r="B220" s="329"/>
      <c r="C220" s="333"/>
      <c r="D220" s="335"/>
      <c r="E220" s="333"/>
      <c r="F220" s="351"/>
      <c r="G220" s="351"/>
      <c r="H220" s="350"/>
      <c r="I220" s="338"/>
      <c r="J220" s="338"/>
      <c r="K220" s="338"/>
      <c r="L220" s="338"/>
      <c r="M220" s="333"/>
      <c r="N220" s="333"/>
      <c r="O220" s="339"/>
      <c r="P220" s="340"/>
      <c r="Q220" s="341"/>
      <c r="R220" s="341"/>
      <c r="S220" s="341">
        <f ca="1">IF(NOT(ISERROR(MATCH(R220,_xlfn.ANCHORARRAY(H224),0))),Q226&amp;"Por favor no seleccionar los criterios de impacto",R220)</f>
        <v>0</v>
      </c>
      <c r="T220" s="340"/>
      <c r="U220" s="341"/>
      <c r="V220" s="327"/>
      <c r="W220" s="233">
        <v>2</v>
      </c>
      <c r="X220" s="207" t="s">
        <v>875</v>
      </c>
      <c r="Y220" s="230" t="str">
        <f t="shared" ref="Y220:Y249" si="592">IF(OR(Z220="Preventivo",Z220="Detectivo"),"Probabilidad",IF(Z220="Correctivo","Impacto",""))</f>
        <v>Probabilidad</v>
      </c>
      <c r="Z220" s="185" t="s">
        <v>208</v>
      </c>
      <c r="AA220" s="185" t="s">
        <v>216</v>
      </c>
      <c r="AB220" s="186" t="str">
        <f t="shared" si="525"/>
        <v>40%</v>
      </c>
      <c r="AC220" s="185" t="s">
        <v>219</v>
      </c>
      <c r="AD220" s="185" t="s">
        <v>224</v>
      </c>
      <c r="AE220" s="185" t="s">
        <v>228</v>
      </c>
      <c r="AF220" s="187">
        <f t="shared" ref="AF220" si="593">IFERROR(IF(AND(Y219="Probabilidad",Y220="Probabilidad"),(AH219-(+AH219*AB220)),IF(Y220="Probabilidad",(Q219-(+Q219*AB220)),IF(Y220="Impacto",AH219,""))),"")</f>
        <v>0.216</v>
      </c>
      <c r="AG220" s="188" t="str">
        <f t="shared" ref="AG220:AG249" si="594">IFERROR(IF(AF220="","",IF(AF220&lt;=0.2,"Muy Baja",IF(AF220&lt;=0.4,"Baja",IF(AF220&lt;=0.6,"Media",IF(AF220&lt;=0.8,"Alta","Muy Alta"))))),"")</f>
        <v>Baja</v>
      </c>
      <c r="AH220" s="186">
        <f t="shared" ref="AH220:AH249" si="595">+AF220</f>
        <v>0.216</v>
      </c>
      <c r="AI220" s="188" t="str">
        <f t="shared" ref="AI220:AI249" ca="1" si="596">IFERROR(IF(AJ220="","",IF(AJ220&lt;=0.2,"Leve",IF(AJ220&lt;=0.4,"Menor",IF(AJ220&lt;=0.6,"Moderado",IF(AJ220&lt;=0.8,"Mayor","Catastrófico"))))),"")</f>
        <v>Moderado</v>
      </c>
      <c r="AJ220" s="186">
        <f t="shared" ref="AJ220" ca="1" si="597">IFERROR(IF(AND(Y219="Impacto",Y220="Impacto"),(AJ219-(+AJ219*AB220)),IF(Y220="Impacto",(U219-(+U219*AB220)),IF(Y220="Probabilidad",AJ219,""))),"")</f>
        <v>0.6</v>
      </c>
      <c r="AK220" s="189" t="str">
        <f t="shared" ref="AK220:AK249" ca="1" si="598">IFERROR(IF(OR(AND(AG220="Muy Baja",AI220="Leve"),AND(AG220="Muy Baja",AI220="Menor"),AND(AG220="Baja",AI220="Leve")),"Bajo",IF(OR(AND(AG220="Muy baja",AI220="Moderado"),AND(AG220="Baja",AI220="Menor"),AND(AG220="Baja",AI220="Moderado"),AND(AG220="Media",AI220="Leve"),AND(AG220="Media",AI220="Menor"),AND(AG220="Media",AI220="Moderado"),AND(AG220="Alta",AI220="Leve"),AND(AG220="Alta",AI220="Menor")),"Moderado",IF(OR(AND(AG220="Muy Baja",AI220="Mayor"),AND(AG220="Baja",AI220="Mayor"),AND(AG220="Media",AI220="Mayor"),AND(AG220="Alta",AI220="Moderado"),AND(AG220="Alta",AI220="Mayor"),AND(AG220="Muy Alta",AI220="Leve"),AND(AG220="Muy Alta",AI220="Menor"),AND(AG220="Muy Alta",AI220="Moderado"),AND(AG220="Muy Alta",AI220="Mayor")),"Alto",IF(OR(AND(AG220="Muy Baja",AI220="Catastrófico"),AND(AG220="Baja",AI220="Catastrófico"),AND(AG220="Media",AI220="Catastrófico"),AND(AG220="Alta",AI220="Catastrófico"),AND(AG220="Muy Alta",AI220="Catastrófico")),"Extremo","")))),"")</f>
        <v>Moderado</v>
      </c>
      <c r="AL220" s="185" t="s">
        <v>255</v>
      </c>
      <c r="AM220" s="227"/>
      <c r="AN220" s="230"/>
      <c r="AO220" s="228"/>
      <c r="AP220" s="228"/>
      <c r="AQ220" s="227"/>
      <c r="AR220" s="229"/>
    </row>
    <row r="221" spans="1:44" s="191" customFormat="1" ht="100.5" customHeight="1" thickTop="1" thickBot="1" x14ac:dyDescent="0.3">
      <c r="A221" s="328">
        <v>84</v>
      </c>
      <c r="B221" s="329" t="s">
        <v>876</v>
      </c>
      <c r="C221" s="333" t="s">
        <v>278</v>
      </c>
      <c r="D221" s="335" t="s">
        <v>877</v>
      </c>
      <c r="E221" s="333" t="s">
        <v>236</v>
      </c>
      <c r="F221" s="351" t="s">
        <v>878</v>
      </c>
      <c r="G221" s="351" t="s">
        <v>1099</v>
      </c>
      <c r="H221" s="350" t="s">
        <v>1175</v>
      </c>
      <c r="I221" s="338" t="s">
        <v>474</v>
      </c>
      <c r="J221" s="338" t="s">
        <v>474</v>
      </c>
      <c r="K221" s="338" t="s">
        <v>474</v>
      </c>
      <c r="L221" s="338" t="s">
        <v>474</v>
      </c>
      <c r="M221" s="333" t="s">
        <v>468</v>
      </c>
      <c r="N221" s="333"/>
      <c r="O221" s="339">
        <v>500</v>
      </c>
      <c r="P221" s="340" t="str">
        <f t="shared" si="558"/>
        <v>Media</v>
      </c>
      <c r="Q221" s="341">
        <f t="shared" si="559"/>
        <v>0.6</v>
      </c>
      <c r="R221" s="341" t="s">
        <v>189</v>
      </c>
      <c r="S221" s="341" t="str">
        <f ca="1">IF(NOT(ISERROR(MATCH(R221,'Tabla Impacto'!$B$221:$B$223,0))),'Tabla Impacto'!$F$223&amp;"Por favor no seleccionar los criterios de impacto(Afectación Económica o presupuestal y Pérdida Reputacional)",R221)</f>
        <v xml:space="preserve">Entre 50 y 100 SMLMV </v>
      </c>
      <c r="T221" s="340" t="str">
        <f ca="1">+IF(OR(S221='[1]Tabla Impacto'!$C$11,S221='[1]Tabla Impacto'!$D$11),"Leve",IF(OR(S221='[1]Tabla Impacto'!$C$12,S221='[1]Tabla Impacto'!$D$12),"Menor",IF(OR(S221='[1]Tabla Impacto'!$C$13,S221='[1]Tabla Impacto'!$D$13),"Moderado",IF(OR(S221='[1]Tabla Impacto'!$C$14,S221='[1]Tabla Impacto'!$D$14),"Mayor",IF(OR(S221='[1]Tabla Impacto'!$C$15,S221='[1]Tabla Impacto'!$D$15),"Catastrófico","")))))</f>
        <v>Moderado</v>
      </c>
      <c r="U221" s="341">
        <f t="shared" ref="U221" ca="1" si="599">IF(T221="","",IF(T221="Leve",0.2,IF(T221="Menor",0.4,IF(T221="Moderado",0.6,IF(T221="Mayor",0.8,IF(T221="Catastrófico",1,))))))</f>
        <v>0.6</v>
      </c>
      <c r="V221" s="327" t="str">
        <f t="shared" ref="V221" ca="1" si="600">IF(OR(AND(P221="Muy Baja",T221="Leve"),AND(P221="Muy Baja",T221="Menor"),AND(P221="Baja",T221="Leve")),"Bajo",IF(OR(AND(P221="Muy baja",T221="Moderado"),AND(P221="Baja",T221="Menor"),AND(P221="Baja",T221="Moderado"),AND(P221="Media",T221="Leve"),AND(P221="Media",T221="Menor"),AND(P221="Media",T221="Moderado"),AND(P221="Alta",T221="Leve"),AND(P221="Alta",T221="Menor")),"Moderado",IF(OR(AND(P221="Muy Baja",T221="Mayor"),AND(P221="Baja",T221="Mayor"),AND(P221="Media",T221="Mayor"),AND(P221="Alta",T221="Moderado"),AND(P221="Alta",T221="Mayor"),AND(P221="Muy Alta",T221="Leve"),AND(P221="Muy Alta",T221="Menor"),AND(P221="Muy Alta",T221="Moderado"),AND(P221="Muy Alta",T221="Mayor")),"Alto",IF(OR(AND(P221="Muy Baja",T221="Catastrófico"),AND(P221="Baja",T221="Catastrófico"),AND(P221="Media",T221="Catastrófico"),AND(P221="Alta",T221="Catastrófico"),AND(P221="Muy Alta",T221="Catastrófico")),"Extremo",""))))</f>
        <v>Moderado</v>
      </c>
      <c r="W221" s="233">
        <v>1</v>
      </c>
      <c r="X221" s="207" t="s">
        <v>879</v>
      </c>
      <c r="Y221" s="230" t="str">
        <f t="shared" si="592"/>
        <v>Probabilidad</v>
      </c>
      <c r="Z221" s="185" t="s">
        <v>208</v>
      </c>
      <c r="AA221" s="185" t="s">
        <v>216</v>
      </c>
      <c r="AB221" s="186" t="str">
        <f t="shared" si="525"/>
        <v>40%</v>
      </c>
      <c r="AC221" s="185" t="s">
        <v>219</v>
      </c>
      <c r="AD221" s="185" t="s">
        <v>224</v>
      </c>
      <c r="AE221" s="185" t="s">
        <v>228</v>
      </c>
      <c r="AF221" s="187">
        <f t="shared" ref="AF221" si="601">IFERROR(IF(Y221="Probabilidad",(Q221-(+Q221*AB221)),IF(Y221="Impacto",Q221,"")),"")</f>
        <v>0.36</v>
      </c>
      <c r="AG221" s="188" t="str">
        <f t="shared" si="594"/>
        <v>Baja</v>
      </c>
      <c r="AH221" s="186">
        <f t="shared" si="595"/>
        <v>0.36</v>
      </c>
      <c r="AI221" s="188" t="str">
        <f t="shared" ca="1" si="596"/>
        <v>Moderado</v>
      </c>
      <c r="AJ221" s="186">
        <f t="shared" ref="AJ221" ca="1" si="602">IFERROR(IF(Y221="Impacto",(U221-(+U221*AB221)),IF(Y221="Probabilidad",U221,"")),"")</f>
        <v>0.6</v>
      </c>
      <c r="AK221" s="189" t="str">
        <f t="shared" ca="1" si="598"/>
        <v>Moderado</v>
      </c>
      <c r="AL221" s="185" t="s">
        <v>255</v>
      </c>
      <c r="AM221" s="227"/>
      <c r="AN221" s="230"/>
      <c r="AO221" s="228"/>
      <c r="AP221" s="228"/>
      <c r="AQ221" s="227"/>
      <c r="AR221" s="229"/>
    </row>
    <row r="222" spans="1:44" s="191" customFormat="1" ht="98.25" customHeight="1" thickTop="1" thickBot="1" x14ac:dyDescent="0.3">
      <c r="A222" s="328"/>
      <c r="B222" s="329"/>
      <c r="C222" s="333"/>
      <c r="D222" s="335"/>
      <c r="E222" s="333"/>
      <c r="F222" s="351"/>
      <c r="G222" s="351"/>
      <c r="H222" s="350"/>
      <c r="I222" s="338"/>
      <c r="J222" s="338"/>
      <c r="K222" s="338"/>
      <c r="L222" s="338"/>
      <c r="M222" s="333"/>
      <c r="N222" s="333"/>
      <c r="O222" s="339"/>
      <c r="P222" s="340"/>
      <c r="Q222" s="341"/>
      <c r="R222" s="341"/>
      <c r="S222" s="341">
        <f ca="1">IF(NOT(ISERROR(MATCH(R222,_xlfn.ANCHORARRAY(H229),0))),Q231&amp;"Por favor no seleccionar los criterios de impacto",R222)</f>
        <v>0</v>
      </c>
      <c r="T222" s="340"/>
      <c r="U222" s="341"/>
      <c r="V222" s="327"/>
      <c r="W222" s="233">
        <v>2</v>
      </c>
      <c r="X222" s="207" t="s">
        <v>880</v>
      </c>
      <c r="Y222" s="230" t="str">
        <f t="shared" si="592"/>
        <v>Probabilidad</v>
      </c>
      <c r="Z222" s="185" t="s">
        <v>208</v>
      </c>
      <c r="AA222" s="185" t="s">
        <v>216</v>
      </c>
      <c r="AB222" s="186" t="str">
        <f t="shared" si="525"/>
        <v>40%</v>
      </c>
      <c r="AC222" s="185" t="s">
        <v>219</v>
      </c>
      <c r="AD222" s="185" t="s">
        <v>224</v>
      </c>
      <c r="AE222" s="185" t="s">
        <v>228</v>
      </c>
      <c r="AF222" s="187">
        <f t="shared" ref="AF222:AF223" si="603">IFERROR(IF(AND(Y221="Probabilidad",Y222="Probabilidad"),(AH221-(+AH221*AB222)),IF(Y222="Probabilidad",(Q221-(+Q221*AB222)),IF(Y222="Impacto",AH221,""))),"")</f>
        <v>0.216</v>
      </c>
      <c r="AG222" s="188" t="str">
        <f t="shared" si="594"/>
        <v>Baja</v>
      </c>
      <c r="AH222" s="186">
        <f t="shared" si="595"/>
        <v>0.216</v>
      </c>
      <c r="AI222" s="188" t="str">
        <f t="shared" ca="1" si="596"/>
        <v>Moderado</v>
      </c>
      <c r="AJ222" s="186">
        <f t="shared" ref="AJ222" ca="1" si="604">IFERROR(IF(AND(Y221="Impacto",Y222="Impacto"),(AJ221-(+AJ221*AB222)),IF(Y222="Impacto",(U221-(+U221*AB222)),IF(Y222="Probabilidad",AJ221,""))),"")</f>
        <v>0.6</v>
      </c>
      <c r="AK222" s="189" t="str">
        <f t="shared" ca="1" si="598"/>
        <v>Moderado</v>
      </c>
      <c r="AL222" s="185" t="s">
        <v>255</v>
      </c>
      <c r="AM222" s="227"/>
      <c r="AN222" s="230"/>
      <c r="AO222" s="228"/>
      <c r="AP222" s="228"/>
      <c r="AQ222" s="227"/>
      <c r="AR222" s="229"/>
    </row>
    <row r="223" spans="1:44" s="191" customFormat="1" ht="110.25" thickTop="1" thickBot="1" x14ac:dyDescent="0.3">
      <c r="A223" s="328"/>
      <c r="B223" s="329"/>
      <c r="C223" s="333"/>
      <c r="D223" s="335"/>
      <c r="E223" s="333"/>
      <c r="F223" s="351"/>
      <c r="G223" s="351"/>
      <c r="H223" s="350"/>
      <c r="I223" s="338"/>
      <c r="J223" s="338"/>
      <c r="K223" s="338"/>
      <c r="L223" s="338"/>
      <c r="M223" s="333"/>
      <c r="N223" s="333"/>
      <c r="O223" s="339"/>
      <c r="P223" s="340"/>
      <c r="Q223" s="341"/>
      <c r="R223" s="341"/>
      <c r="S223" s="341">
        <f ca="1">IF(NOT(ISERROR(MATCH(R223,_xlfn.ANCHORARRAY(H230),0))),Q232&amp;"Por favor no seleccionar los criterios de impacto",R223)</f>
        <v>0</v>
      </c>
      <c r="T223" s="340"/>
      <c r="U223" s="341"/>
      <c r="V223" s="327"/>
      <c r="W223" s="233">
        <v>3</v>
      </c>
      <c r="X223" s="207" t="s">
        <v>881</v>
      </c>
      <c r="Y223" s="230" t="str">
        <f t="shared" si="592"/>
        <v>Probabilidad</v>
      </c>
      <c r="Z223" s="185" t="s">
        <v>208</v>
      </c>
      <c r="AA223" s="185" t="s">
        <v>216</v>
      </c>
      <c r="AB223" s="186" t="str">
        <f t="shared" si="525"/>
        <v>40%</v>
      </c>
      <c r="AC223" s="185" t="s">
        <v>219</v>
      </c>
      <c r="AD223" s="185" t="s">
        <v>224</v>
      </c>
      <c r="AE223" s="185" t="s">
        <v>228</v>
      </c>
      <c r="AF223" s="187">
        <f t="shared" si="603"/>
        <v>0.12959999999999999</v>
      </c>
      <c r="AG223" s="188" t="str">
        <f t="shared" si="594"/>
        <v>Muy Baja</v>
      </c>
      <c r="AH223" s="186">
        <f t="shared" si="595"/>
        <v>0.12959999999999999</v>
      </c>
      <c r="AI223" s="188" t="str">
        <f t="shared" ca="1" si="596"/>
        <v>Moderado</v>
      </c>
      <c r="AJ223" s="186">
        <f t="shared" ref="AJ223" ca="1" si="605">IFERROR(IF(AND(Y222="Impacto",Y223="Impacto"),(AJ222-(+AJ222*AB223)),IF(AND(Y222="Probabilidad",Y223="Impacto"),(AJ221-(+AJ221*AB223)),IF(Y223="Probabilidad",AJ222,""))),"")</f>
        <v>0.6</v>
      </c>
      <c r="AK223" s="189" t="str">
        <f t="shared" ca="1" si="598"/>
        <v>Moderado</v>
      </c>
      <c r="AL223" s="185" t="s">
        <v>255</v>
      </c>
      <c r="AM223" s="227"/>
      <c r="AN223" s="230"/>
      <c r="AO223" s="228"/>
      <c r="AP223" s="228"/>
      <c r="AQ223" s="227"/>
      <c r="AR223" s="229"/>
    </row>
    <row r="224" spans="1:44" s="191" customFormat="1" ht="110.25" thickTop="1" thickBot="1" x14ac:dyDescent="0.3">
      <c r="A224" s="328">
        <v>85</v>
      </c>
      <c r="B224" s="329" t="s">
        <v>882</v>
      </c>
      <c r="C224" s="333" t="s">
        <v>278</v>
      </c>
      <c r="D224" s="335" t="s">
        <v>883</v>
      </c>
      <c r="E224" s="333" t="s">
        <v>236</v>
      </c>
      <c r="F224" s="351" t="s">
        <v>884</v>
      </c>
      <c r="G224" s="351" t="s">
        <v>885</v>
      </c>
      <c r="H224" s="350" t="s">
        <v>1176</v>
      </c>
      <c r="I224" s="338" t="s">
        <v>474</v>
      </c>
      <c r="J224" s="338" t="s">
        <v>474</v>
      </c>
      <c r="K224" s="338" t="s">
        <v>474</v>
      </c>
      <c r="L224" s="338" t="s">
        <v>474</v>
      </c>
      <c r="M224" s="333" t="s">
        <v>468</v>
      </c>
      <c r="N224" s="333"/>
      <c r="O224" s="339">
        <v>12</v>
      </c>
      <c r="P224" s="340" t="str">
        <f t="shared" si="558"/>
        <v>Baja</v>
      </c>
      <c r="Q224" s="341">
        <f t="shared" si="559"/>
        <v>0.4</v>
      </c>
      <c r="R224" s="341" t="s">
        <v>189</v>
      </c>
      <c r="S224" s="341" t="str">
        <f ca="1">IF(NOT(ISERROR(MATCH(R224,'Tabla Impacto'!$B$221:$B$223,0))),'Tabla Impacto'!$F$223&amp;"Por favor no seleccionar los criterios de impacto(Afectación Económica o presupuestal y Pérdida Reputacional)",R224)</f>
        <v xml:space="preserve">Entre 50 y 100 SMLMV </v>
      </c>
      <c r="T224" s="340" t="str">
        <f ca="1">+IF(OR(S224='[1]Tabla Impacto'!$C$11,S224='[1]Tabla Impacto'!$D$11),"Leve",IF(OR(S224='[1]Tabla Impacto'!$C$12,S224='[1]Tabla Impacto'!$D$12),"Menor",IF(OR(S224='[1]Tabla Impacto'!$C$13,S224='[1]Tabla Impacto'!$D$13),"Moderado",IF(OR(S224='[1]Tabla Impacto'!$C$14,S224='[1]Tabla Impacto'!$D$14),"Mayor",IF(OR(S224='[1]Tabla Impacto'!$C$15,S224='[1]Tabla Impacto'!$D$15),"Catastrófico","")))))</f>
        <v>Moderado</v>
      </c>
      <c r="U224" s="341">
        <f t="shared" ref="U224" ca="1" si="606">IF(T224="","",IF(T224="Leve",0.2,IF(T224="Menor",0.4,IF(T224="Moderado",0.6,IF(T224="Mayor",0.8,IF(T224="Catastrófico",1,))))))</f>
        <v>0.6</v>
      </c>
      <c r="V224" s="327" t="str">
        <f t="shared" ref="V224" ca="1" si="607">IF(OR(AND(P224="Muy Baja",T224="Leve"),AND(P224="Muy Baja",T224="Menor"),AND(P224="Baja",T224="Leve")),"Bajo",IF(OR(AND(P224="Muy baja",T224="Moderado"),AND(P224="Baja",T224="Menor"),AND(P224="Baja",T224="Moderado"),AND(P224="Media",T224="Leve"),AND(P224="Media",T224="Menor"),AND(P224="Media",T224="Moderado"),AND(P224="Alta",T224="Leve"),AND(P224="Alta",T224="Menor")),"Moderado",IF(OR(AND(P224="Muy Baja",T224="Mayor"),AND(P224="Baja",T224="Mayor"),AND(P224="Media",T224="Mayor"),AND(P224="Alta",T224="Moderado"),AND(P224="Alta",T224="Mayor"),AND(P224="Muy Alta",T224="Leve"),AND(P224="Muy Alta",T224="Menor"),AND(P224="Muy Alta",T224="Moderado"),AND(P224="Muy Alta",T224="Mayor")),"Alto",IF(OR(AND(P224="Muy Baja",T224="Catastrófico"),AND(P224="Baja",T224="Catastrófico"),AND(P224="Media",T224="Catastrófico"),AND(P224="Alta",T224="Catastrófico"),AND(P224="Muy Alta",T224="Catastrófico")),"Extremo",""))))</f>
        <v>Moderado</v>
      </c>
      <c r="W224" s="233">
        <v>1</v>
      </c>
      <c r="X224" s="207" t="s">
        <v>886</v>
      </c>
      <c r="Y224" s="230" t="str">
        <f t="shared" si="592"/>
        <v>Probabilidad</v>
      </c>
      <c r="Z224" s="185" t="s">
        <v>208</v>
      </c>
      <c r="AA224" s="185" t="s">
        <v>216</v>
      </c>
      <c r="AB224" s="186" t="str">
        <f t="shared" si="525"/>
        <v>40%</v>
      </c>
      <c r="AC224" s="185" t="s">
        <v>219</v>
      </c>
      <c r="AD224" s="185" t="s">
        <v>224</v>
      </c>
      <c r="AE224" s="185" t="s">
        <v>228</v>
      </c>
      <c r="AF224" s="187">
        <f t="shared" ref="AF224" si="608">IFERROR(IF(Y224="Probabilidad",(Q224-(+Q224*AB224)),IF(Y224="Impacto",Q224,"")),"")</f>
        <v>0.24</v>
      </c>
      <c r="AG224" s="188" t="str">
        <f t="shared" si="594"/>
        <v>Baja</v>
      </c>
      <c r="AH224" s="186">
        <f t="shared" si="595"/>
        <v>0.24</v>
      </c>
      <c r="AI224" s="188" t="str">
        <f t="shared" ca="1" si="596"/>
        <v>Moderado</v>
      </c>
      <c r="AJ224" s="186">
        <f t="shared" ref="AJ224" ca="1" si="609">IFERROR(IF(Y224="Impacto",(U224-(+U224*AB224)),IF(Y224="Probabilidad",U224,"")),"")</f>
        <v>0.6</v>
      </c>
      <c r="AK224" s="189" t="str">
        <f t="shared" ca="1" si="598"/>
        <v>Moderado</v>
      </c>
      <c r="AL224" s="185" t="s">
        <v>255</v>
      </c>
      <c r="AM224" s="227"/>
      <c r="AN224" s="230"/>
      <c r="AO224" s="228"/>
      <c r="AP224" s="228"/>
      <c r="AQ224" s="227"/>
      <c r="AR224" s="229"/>
    </row>
    <row r="225" spans="1:44" s="191" customFormat="1" ht="136.5" customHeight="1" thickTop="1" thickBot="1" x14ac:dyDescent="0.3">
      <c r="A225" s="328"/>
      <c r="B225" s="329"/>
      <c r="C225" s="333"/>
      <c r="D225" s="335"/>
      <c r="E225" s="333"/>
      <c r="F225" s="351"/>
      <c r="G225" s="351"/>
      <c r="H225" s="350"/>
      <c r="I225" s="338"/>
      <c r="J225" s="338"/>
      <c r="K225" s="338"/>
      <c r="L225" s="338"/>
      <c r="M225" s="333"/>
      <c r="N225" s="333"/>
      <c r="O225" s="339"/>
      <c r="P225" s="340"/>
      <c r="Q225" s="341"/>
      <c r="R225" s="341"/>
      <c r="S225" s="341">
        <f ca="1">IF(NOT(ISERROR(MATCH(R225,_xlfn.ANCHORARRAY(H233),0))),#REF!&amp;"Por favor no seleccionar los criterios de impacto",R225)</f>
        <v>0</v>
      </c>
      <c r="T225" s="340"/>
      <c r="U225" s="341"/>
      <c r="V225" s="327"/>
      <c r="W225" s="233">
        <v>2</v>
      </c>
      <c r="X225" s="207" t="s">
        <v>887</v>
      </c>
      <c r="Y225" s="230" t="str">
        <f t="shared" si="592"/>
        <v>Probabilidad</v>
      </c>
      <c r="Z225" s="185" t="s">
        <v>208</v>
      </c>
      <c r="AA225" s="185" t="s">
        <v>216</v>
      </c>
      <c r="AB225" s="186" t="str">
        <f t="shared" si="525"/>
        <v>40%</v>
      </c>
      <c r="AC225" s="185" t="s">
        <v>219</v>
      </c>
      <c r="AD225" s="185" t="s">
        <v>224</v>
      </c>
      <c r="AE225" s="185" t="s">
        <v>228</v>
      </c>
      <c r="AF225" s="187">
        <f t="shared" ref="AF225:AF228" si="610">IFERROR(IF(AND(Y224="Probabilidad",Y225="Probabilidad"),(AH224-(+AH224*AB225)),IF(Y225="Probabilidad",(Q224-(+Q224*AB225)),IF(Y225="Impacto",AH224,""))),"")</f>
        <v>0.14399999999999999</v>
      </c>
      <c r="AG225" s="188" t="str">
        <f t="shared" si="594"/>
        <v>Muy Baja</v>
      </c>
      <c r="AH225" s="186">
        <f t="shared" si="595"/>
        <v>0.14399999999999999</v>
      </c>
      <c r="AI225" s="188" t="str">
        <f t="shared" ca="1" si="596"/>
        <v>Moderado</v>
      </c>
      <c r="AJ225" s="186">
        <f t="shared" ref="AJ225" ca="1" si="611">IFERROR(IF(AND(Y224="Impacto",Y225="Impacto"),(AJ224-(+AJ224*AB225)),IF(Y225="Impacto",(U224-(+U224*AB225)),IF(Y225="Probabilidad",AJ224,""))),"")</f>
        <v>0.6</v>
      </c>
      <c r="AK225" s="189" t="str">
        <f t="shared" ca="1" si="598"/>
        <v>Moderado</v>
      </c>
      <c r="AL225" s="185" t="s">
        <v>255</v>
      </c>
      <c r="AM225" s="227"/>
      <c r="AN225" s="230"/>
      <c r="AO225" s="228"/>
      <c r="AP225" s="228"/>
      <c r="AQ225" s="227"/>
      <c r="AR225" s="229"/>
    </row>
    <row r="226" spans="1:44" s="191" customFormat="1" ht="123.75" customHeight="1" thickTop="1" thickBot="1" x14ac:dyDescent="0.3">
      <c r="A226" s="328"/>
      <c r="B226" s="329"/>
      <c r="C226" s="333"/>
      <c r="D226" s="335"/>
      <c r="E226" s="333"/>
      <c r="F226" s="351"/>
      <c r="G226" s="351"/>
      <c r="H226" s="350"/>
      <c r="I226" s="338"/>
      <c r="J226" s="338"/>
      <c r="K226" s="338"/>
      <c r="L226" s="338"/>
      <c r="M226" s="333"/>
      <c r="N226" s="333"/>
      <c r="O226" s="339"/>
      <c r="P226" s="340"/>
      <c r="Q226" s="341"/>
      <c r="R226" s="341"/>
      <c r="S226" s="341">
        <f ca="1">IF(NOT(ISERROR(MATCH(R226,_xlfn.ANCHORARRAY(#REF!),0))),#REF!&amp;"Por favor no seleccionar los criterios de impacto",R226)</f>
        <v>0</v>
      </c>
      <c r="T226" s="340"/>
      <c r="U226" s="341"/>
      <c r="V226" s="327"/>
      <c r="W226" s="233">
        <v>3</v>
      </c>
      <c r="X226" s="207" t="s">
        <v>888</v>
      </c>
      <c r="Y226" s="230" t="str">
        <f t="shared" si="592"/>
        <v>Probabilidad</v>
      </c>
      <c r="Z226" s="185" t="s">
        <v>208</v>
      </c>
      <c r="AA226" s="185" t="s">
        <v>216</v>
      </c>
      <c r="AB226" s="186" t="str">
        <f t="shared" si="525"/>
        <v>40%</v>
      </c>
      <c r="AC226" s="185" t="s">
        <v>219</v>
      </c>
      <c r="AD226" s="185" t="s">
        <v>224</v>
      </c>
      <c r="AE226" s="185" t="s">
        <v>228</v>
      </c>
      <c r="AF226" s="187">
        <f t="shared" si="610"/>
        <v>8.6399999999999991E-2</v>
      </c>
      <c r="AG226" s="188" t="str">
        <f t="shared" si="594"/>
        <v>Muy Baja</v>
      </c>
      <c r="AH226" s="186">
        <f t="shared" si="595"/>
        <v>8.6399999999999991E-2</v>
      </c>
      <c r="AI226" s="188" t="str">
        <f t="shared" ca="1" si="596"/>
        <v>Moderado</v>
      </c>
      <c r="AJ226" s="186">
        <f t="shared" ref="AJ226:AJ228" ca="1" si="612">IFERROR(IF(AND(Y225="Impacto",Y226="Impacto"),(AJ225-(+AJ225*AB226)),IF(AND(Y225="Probabilidad",Y226="Impacto"),(AJ224-(+AJ224*AB226)),IF(Y226="Probabilidad",AJ225,""))),"")</f>
        <v>0.6</v>
      </c>
      <c r="AK226" s="189" t="str">
        <f t="shared" ca="1" si="598"/>
        <v>Moderado</v>
      </c>
      <c r="AL226" s="185" t="s">
        <v>255</v>
      </c>
      <c r="AM226" s="227"/>
      <c r="AN226" s="230"/>
      <c r="AO226" s="228"/>
      <c r="AP226" s="228"/>
      <c r="AQ226" s="227"/>
      <c r="AR226" s="229"/>
    </row>
    <row r="227" spans="1:44" s="191" customFormat="1" ht="110.25" thickTop="1" thickBot="1" x14ac:dyDescent="0.3">
      <c r="A227" s="328"/>
      <c r="B227" s="329"/>
      <c r="C227" s="333"/>
      <c r="D227" s="335"/>
      <c r="E227" s="333"/>
      <c r="F227" s="351"/>
      <c r="G227" s="351"/>
      <c r="H227" s="350"/>
      <c r="I227" s="338"/>
      <c r="J227" s="338"/>
      <c r="K227" s="338"/>
      <c r="L227" s="338"/>
      <c r="M227" s="333"/>
      <c r="N227" s="333"/>
      <c r="O227" s="339"/>
      <c r="P227" s="340"/>
      <c r="Q227" s="341"/>
      <c r="R227" s="341"/>
      <c r="S227" s="341">
        <f ca="1">IF(NOT(ISERROR(MATCH(R227,_xlfn.ANCHORARRAY(#REF!),0))),#REF!&amp;"Por favor no seleccionar los criterios de impacto",R227)</f>
        <v>0</v>
      </c>
      <c r="T227" s="340"/>
      <c r="U227" s="341"/>
      <c r="V227" s="327"/>
      <c r="W227" s="233">
        <v>4</v>
      </c>
      <c r="X227" s="207" t="s">
        <v>889</v>
      </c>
      <c r="Y227" s="230" t="str">
        <f t="shared" si="592"/>
        <v>Probabilidad</v>
      </c>
      <c r="Z227" s="185" t="s">
        <v>208</v>
      </c>
      <c r="AA227" s="185" t="s">
        <v>216</v>
      </c>
      <c r="AB227" s="186" t="str">
        <f t="shared" si="525"/>
        <v>40%</v>
      </c>
      <c r="AC227" s="185" t="s">
        <v>219</v>
      </c>
      <c r="AD227" s="185" t="s">
        <v>224</v>
      </c>
      <c r="AE227" s="185" t="s">
        <v>228</v>
      </c>
      <c r="AF227" s="187">
        <f t="shared" si="610"/>
        <v>5.183999999999999E-2</v>
      </c>
      <c r="AG227" s="188" t="str">
        <f t="shared" si="594"/>
        <v>Muy Baja</v>
      </c>
      <c r="AH227" s="186">
        <f t="shared" si="595"/>
        <v>5.183999999999999E-2</v>
      </c>
      <c r="AI227" s="188" t="str">
        <f t="shared" ca="1" si="596"/>
        <v>Moderado</v>
      </c>
      <c r="AJ227" s="186">
        <f t="shared" ca="1" si="612"/>
        <v>0.6</v>
      </c>
      <c r="AK227" s="189" t="str">
        <f t="shared" ca="1" si="598"/>
        <v>Moderado</v>
      </c>
      <c r="AL227" s="185" t="s">
        <v>255</v>
      </c>
      <c r="AM227" s="227"/>
      <c r="AN227" s="230"/>
      <c r="AO227" s="228"/>
      <c r="AP227" s="228"/>
      <c r="AQ227" s="227"/>
      <c r="AR227" s="229"/>
    </row>
    <row r="228" spans="1:44" s="191" customFormat="1" ht="81.75" customHeight="1" thickTop="1" thickBot="1" x14ac:dyDescent="0.3">
      <c r="A228" s="328"/>
      <c r="B228" s="329"/>
      <c r="C228" s="333"/>
      <c r="D228" s="335"/>
      <c r="E228" s="333"/>
      <c r="F228" s="351"/>
      <c r="G228" s="351"/>
      <c r="H228" s="350"/>
      <c r="I228" s="338"/>
      <c r="J228" s="338"/>
      <c r="K228" s="338"/>
      <c r="L228" s="338"/>
      <c r="M228" s="333"/>
      <c r="N228" s="333"/>
      <c r="O228" s="339"/>
      <c r="P228" s="340"/>
      <c r="Q228" s="341"/>
      <c r="R228" s="341"/>
      <c r="S228" s="341">
        <f ca="1">IF(NOT(ISERROR(MATCH(R228,_xlfn.ANCHORARRAY(#REF!),0))),#REF!&amp;"Por favor no seleccionar los criterios de impacto",R228)</f>
        <v>0</v>
      </c>
      <c r="T228" s="340"/>
      <c r="U228" s="341"/>
      <c r="V228" s="327"/>
      <c r="W228" s="233">
        <v>5</v>
      </c>
      <c r="X228" s="207" t="s">
        <v>890</v>
      </c>
      <c r="Y228" s="230" t="str">
        <f t="shared" si="592"/>
        <v>Impacto</v>
      </c>
      <c r="Z228" s="185" t="s">
        <v>212</v>
      </c>
      <c r="AA228" s="185" t="s">
        <v>216</v>
      </c>
      <c r="AB228" s="186" t="str">
        <f t="shared" si="525"/>
        <v>25%</v>
      </c>
      <c r="AC228" s="185" t="s">
        <v>219</v>
      </c>
      <c r="AD228" s="185" t="s">
        <v>224</v>
      </c>
      <c r="AE228" s="185" t="s">
        <v>228</v>
      </c>
      <c r="AF228" s="187">
        <f t="shared" si="610"/>
        <v>5.183999999999999E-2</v>
      </c>
      <c r="AG228" s="188" t="str">
        <f t="shared" si="594"/>
        <v>Muy Baja</v>
      </c>
      <c r="AH228" s="186">
        <f t="shared" si="595"/>
        <v>5.183999999999999E-2</v>
      </c>
      <c r="AI228" s="188" t="str">
        <f t="shared" ca="1" si="596"/>
        <v>Moderado</v>
      </c>
      <c r="AJ228" s="186">
        <f t="shared" ca="1" si="612"/>
        <v>0.44999999999999996</v>
      </c>
      <c r="AK228" s="189" t="str">
        <f t="shared" ca="1" si="598"/>
        <v>Moderado</v>
      </c>
      <c r="AL228" s="185" t="s">
        <v>255</v>
      </c>
      <c r="AM228" s="227"/>
      <c r="AN228" s="230"/>
      <c r="AO228" s="228"/>
      <c r="AP228" s="228"/>
      <c r="AQ228" s="227"/>
      <c r="AR228" s="229"/>
    </row>
    <row r="229" spans="1:44" s="191" customFormat="1" ht="129.75" thickTop="1" thickBot="1" x14ac:dyDescent="0.3">
      <c r="A229" s="328">
        <v>86</v>
      </c>
      <c r="B229" s="329" t="s">
        <v>891</v>
      </c>
      <c r="C229" s="333" t="s">
        <v>278</v>
      </c>
      <c r="D229" s="335" t="s">
        <v>892</v>
      </c>
      <c r="E229" s="333" t="s">
        <v>236</v>
      </c>
      <c r="F229" s="351" t="s">
        <v>893</v>
      </c>
      <c r="G229" s="351" t="s">
        <v>894</v>
      </c>
      <c r="H229" s="350" t="s">
        <v>1193</v>
      </c>
      <c r="I229" s="338" t="s">
        <v>593</v>
      </c>
      <c r="J229" s="338" t="s">
        <v>593</v>
      </c>
      <c r="K229" s="338" t="s">
        <v>593</v>
      </c>
      <c r="L229" s="338" t="s">
        <v>593</v>
      </c>
      <c r="M229" s="349" t="s">
        <v>244</v>
      </c>
      <c r="N229" s="333"/>
      <c r="O229" s="339">
        <v>365</v>
      </c>
      <c r="P229" s="340" t="str">
        <f t="shared" si="558"/>
        <v>Media</v>
      </c>
      <c r="Q229" s="341">
        <f t="shared" si="559"/>
        <v>0.6</v>
      </c>
      <c r="R229" s="341" t="s">
        <v>192</v>
      </c>
      <c r="S229" s="341" t="str">
        <f ca="1">IF(NOT(ISERROR(MATCH(R229,'Tabla Impacto'!$B$221:$B$223,0))),'Tabla Impacto'!$F$223&amp;"Por favor no seleccionar los criterios de impacto(Afectación Económica o presupuestal y Pérdida Reputacional)",R229)</f>
        <v xml:space="preserve">Entre 100 y 500 SMLMV </v>
      </c>
      <c r="T229" s="340" t="str">
        <f ca="1">+IF(OR(S229='[1]Tabla Impacto'!$C$11,S229='[1]Tabla Impacto'!$D$11),"Leve",IF(OR(S229='[1]Tabla Impacto'!$C$12,S229='[1]Tabla Impacto'!$D$12),"Menor",IF(OR(S229='[1]Tabla Impacto'!$C$13,S229='[1]Tabla Impacto'!$D$13),"Moderado",IF(OR(S229='[1]Tabla Impacto'!$C$14,S229='[1]Tabla Impacto'!$D$14),"Mayor",IF(OR(S229='[1]Tabla Impacto'!$C$15,S229='[1]Tabla Impacto'!$D$15),"Catastrófico","")))))</f>
        <v>Mayor</v>
      </c>
      <c r="U229" s="341">
        <f t="shared" ref="U229" ca="1" si="613">IF(T229="","",IF(T229="Leve",0.2,IF(T229="Menor",0.4,IF(T229="Moderado",0.6,IF(T229="Mayor",0.8,IF(T229="Catastrófico",1,))))))</f>
        <v>0.8</v>
      </c>
      <c r="V229" s="327" t="str">
        <f t="shared" ref="V229" ca="1" si="614">IF(OR(AND(P229="Muy Baja",T229="Leve"),AND(P229="Muy Baja",T229="Menor"),AND(P229="Baja",T229="Leve")),"Bajo",IF(OR(AND(P229="Muy baja",T229="Moderado"),AND(P229="Baja",T229="Menor"),AND(P229="Baja",T229="Moderado"),AND(P229="Media",T229="Leve"),AND(P229="Media",T229="Menor"),AND(P229="Media",T229="Moderado"),AND(P229="Alta",T229="Leve"),AND(P229="Alta",T229="Menor")),"Moderado",IF(OR(AND(P229="Muy Baja",T229="Mayor"),AND(P229="Baja",T229="Mayor"),AND(P229="Media",T229="Mayor"),AND(P229="Alta",T229="Moderado"),AND(P229="Alta",T229="Mayor"),AND(P229="Muy Alta",T229="Leve"),AND(P229="Muy Alta",T229="Menor"),AND(P229="Muy Alta",T229="Moderado"),AND(P229="Muy Alta",T229="Mayor")),"Alto",IF(OR(AND(P229="Muy Baja",T229="Catastrófico"),AND(P229="Baja",T229="Catastrófico"),AND(P229="Media",T229="Catastrófico"),AND(P229="Alta",T229="Catastrófico"),AND(P229="Muy Alta",T229="Catastrófico")),"Extremo",""))))</f>
        <v>Alto</v>
      </c>
      <c r="W229" s="233">
        <v>1</v>
      </c>
      <c r="X229" s="207" t="s">
        <v>895</v>
      </c>
      <c r="Y229" s="230" t="str">
        <f t="shared" si="592"/>
        <v>Probabilidad</v>
      </c>
      <c r="Z229" s="185" t="s">
        <v>208</v>
      </c>
      <c r="AA229" s="185" t="s">
        <v>216</v>
      </c>
      <c r="AB229" s="186" t="str">
        <f t="shared" ref="AB229:AB254" si="615">IF(AND(Z229="Preventivo",AA229="Automático"),"50%",IF(AND(Z229="Preventivo",AA229="Manual"),"40%",IF(AND(Z229="Detectivo",AA229="Automático"),"40%",IF(AND(Z229="Detectivo",AA229="Manual"),"30%",IF(AND(Z229="Correctivo",AA229="Automático"),"35%",IF(AND(Z229="Correctivo",AA229="Manual"),"25%",""))))))</f>
        <v>40%</v>
      </c>
      <c r="AC229" s="185" t="s">
        <v>219</v>
      </c>
      <c r="AD229" s="185" t="s">
        <v>224</v>
      </c>
      <c r="AE229" s="185" t="s">
        <v>228</v>
      </c>
      <c r="AF229" s="187">
        <f t="shared" ref="AF229" si="616">IFERROR(IF(Y229="Probabilidad",(Q229-(+Q229*AB229)),IF(Y229="Impacto",Q229,"")),"")</f>
        <v>0.36</v>
      </c>
      <c r="AG229" s="188" t="str">
        <f t="shared" si="594"/>
        <v>Baja</v>
      </c>
      <c r="AH229" s="186">
        <f t="shared" si="595"/>
        <v>0.36</v>
      </c>
      <c r="AI229" s="188" t="str">
        <f t="shared" ca="1" si="596"/>
        <v>Mayor</v>
      </c>
      <c r="AJ229" s="186">
        <f t="shared" ref="AJ229" ca="1" si="617">IFERROR(IF(Y229="Impacto",(U229-(+U229*AB229)),IF(Y229="Probabilidad",U229,"")),"")</f>
        <v>0.8</v>
      </c>
      <c r="AK229" s="189" t="str">
        <f t="shared" ca="1" si="598"/>
        <v>Alto</v>
      </c>
      <c r="AL229" s="185" t="s">
        <v>262</v>
      </c>
      <c r="AM229" s="227"/>
      <c r="AN229" s="230"/>
      <c r="AO229" s="228"/>
      <c r="AP229" s="228"/>
      <c r="AQ229" s="227"/>
      <c r="AR229" s="229"/>
    </row>
    <row r="230" spans="1:44" s="191" customFormat="1" ht="129.75" thickTop="1" thickBot="1" x14ac:dyDescent="0.3">
      <c r="A230" s="328"/>
      <c r="B230" s="329"/>
      <c r="C230" s="333"/>
      <c r="D230" s="335"/>
      <c r="E230" s="333"/>
      <c r="F230" s="351"/>
      <c r="G230" s="351"/>
      <c r="H230" s="350"/>
      <c r="I230" s="338"/>
      <c r="J230" s="338"/>
      <c r="K230" s="338"/>
      <c r="L230" s="338"/>
      <c r="M230" s="349"/>
      <c r="N230" s="333"/>
      <c r="O230" s="339"/>
      <c r="P230" s="340"/>
      <c r="Q230" s="341"/>
      <c r="R230" s="341"/>
      <c r="S230" s="341">
        <f ca="1">IF(NOT(ISERROR(MATCH(R230,_xlfn.ANCHORARRAY(H234),0))),#REF!&amp;"Por favor no seleccionar los criterios de impacto",R230)</f>
        <v>0</v>
      </c>
      <c r="T230" s="340"/>
      <c r="U230" s="341"/>
      <c r="V230" s="327"/>
      <c r="W230" s="233">
        <v>2</v>
      </c>
      <c r="X230" s="207" t="s">
        <v>896</v>
      </c>
      <c r="Y230" s="230" t="str">
        <f t="shared" si="592"/>
        <v>Probabilidad</v>
      </c>
      <c r="Z230" s="185" t="s">
        <v>208</v>
      </c>
      <c r="AA230" s="185" t="s">
        <v>216</v>
      </c>
      <c r="AB230" s="186" t="str">
        <f t="shared" si="615"/>
        <v>40%</v>
      </c>
      <c r="AC230" s="185" t="s">
        <v>219</v>
      </c>
      <c r="AD230" s="185" t="s">
        <v>224</v>
      </c>
      <c r="AE230" s="185" t="s">
        <v>228</v>
      </c>
      <c r="AF230" s="187">
        <f t="shared" ref="AF230:AF232" si="618">IFERROR(IF(AND(Y229="Probabilidad",Y230="Probabilidad"),(AH229-(+AH229*AB230)),IF(Y230="Probabilidad",(Q229-(+Q229*AB230)),IF(Y230="Impacto",AH229,""))),"")</f>
        <v>0.216</v>
      </c>
      <c r="AG230" s="188" t="str">
        <f t="shared" si="594"/>
        <v>Baja</v>
      </c>
      <c r="AH230" s="186">
        <f t="shared" si="595"/>
        <v>0.216</v>
      </c>
      <c r="AI230" s="188" t="str">
        <f t="shared" ca="1" si="596"/>
        <v>Mayor</v>
      </c>
      <c r="AJ230" s="186">
        <f t="shared" ref="AJ230" ca="1" si="619">IFERROR(IF(AND(Y229="Impacto",Y230="Impacto"),(AJ229-(+AJ229*AB230)),IF(Y230="Impacto",(U229-(+U229*AB230)),IF(Y230="Probabilidad",AJ229,""))),"")</f>
        <v>0.8</v>
      </c>
      <c r="AK230" s="189" t="str">
        <f t="shared" ca="1" si="598"/>
        <v>Alto</v>
      </c>
      <c r="AL230" s="185" t="s">
        <v>262</v>
      </c>
      <c r="AM230" s="227"/>
      <c r="AN230" s="230"/>
      <c r="AO230" s="228"/>
      <c r="AP230" s="228"/>
      <c r="AQ230" s="227"/>
      <c r="AR230" s="229"/>
    </row>
    <row r="231" spans="1:44" s="191" customFormat="1" ht="129.75" thickTop="1" thickBot="1" x14ac:dyDescent="0.3">
      <c r="A231" s="328"/>
      <c r="B231" s="329"/>
      <c r="C231" s="333"/>
      <c r="D231" s="335"/>
      <c r="E231" s="333"/>
      <c r="F231" s="351"/>
      <c r="G231" s="351"/>
      <c r="H231" s="350"/>
      <c r="I231" s="338"/>
      <c r="J231" s="338"/>
      <c r="K231" s="338"/>
      <c r="L231" s="338"/>
      <c r="M231" s="349"/>
      <c r="N231" s="333"/>
      <c r="O231" s="339"/>
      <c r="P231" s="340"/>
      <c r="Q231" s="341"/>
      <c r="R231" s="341"/>
      <c r="S231" s="341">
        <f ca="1">IF(NOT(ISERROR(MATCH(R231,_xlfn.ANCHORARRAY(H235),0))),#REF!&amp;"Por favor no seleccionar los criterios de impacto",R231)</f>
        <v>0</v>
      </c>
      <c r="T231" s="340"/>
      <c r="U231" s="341"/>
      <c r="V231" s="327"/>
      <c r="W231" s="233">
        <v>3</v>
      </c>
      <c r="X231" s="207" t="s">
        <v>897</v>
      </c>
      <c r="Y231" s="230" t="str">
        <f t="shared" si="592"/>
        <v>Probabilidad</v>
      </c>
      <c r="Z231" s="185" t="s">
        <v>208</v>
      </c>
      <c r="AA231" s="185" t="s">
        <v>216</v>
      </c>
      <c r="AB231" s="186" t="str">
        <f t="shared" si="615"/>
        <v>40%</v>
      </c>
      <c r="AC231" s="185" t="s">
        <v>219</v>
      </c>
      <c r="AD231" s="185" t="s">
        <v>224</v>
      </c>
      <c r="AE231" s="185" t="s">
        <v>228</v>
      </c>
      <c r="AF231" s="187">
        <f t="shared" si="618"/>
        <v>0.12959999999999999</v>
      </c>
      <c r="AG231" s="188" t="str">
        <f t="shared" si="594"/>
        <v>Muy Baja</v>
      </c>
      <c r="AH231" s="186">
        <f t="shared" si="595"/>
        <v>0.12959999999999999</v>
      </c>
      <c r="AI231" s="188" t="str">
        <f t="shared" ca="1" si="596"/>
        <v>Mayor</v>
      </c>
      <c r="AJ231" s="186">
        <f t="shared" ref="AJ231:AJ232" ca="1" si="620">IFERROR(IF(AND(Y230="Impacto",Y231="Impacto"),(AJ230-(+AJ230*AB231)),IF(AND(Y230="Probabilidad",Y231="Impacto"),(AJ229-(+AJ229*AB231)),IF(Y231="Probabilidad",AJ230,""))),"")</f>
        <v>0.8</v>
      </c>
      <c r="AK231" s="189" t="str">
        <f t="shared" ca="1" si="598"/>
        <v>Alto</v>
      </c>
      <c r="AL231" s="185" t="s">
        <v>262</v>
      </c>
      <c r="AM231" s="227"/>
      <c r="AN231" s="230"/>
      <c r="AO231" s="228"/>
      <c r="AP231" s="228"/>
      <c r="AQ231" s="227"/>
      <c r="AR231" s="229"/>
    </row>
    <row r="232" spans="1:44" s="191" customFormat="1" ht="129.75" thickTop="1" thickBot="1" x14ac:dyDescent="0.3">
      <c r="A232" s="328"/>
      <c r="B232" s="329"/>
      <c r="C232" s="333"/>
      <c r="D232" s="335"/>
      <c r="E232" s="333"/>
      <c r="F232" s="351"/>
      <c r="G232" s="351"/>
      <c r="H232" s="350"/>
      <c r="I232" s="338"/>
      <c r="J232" s="338"/>
      <c r="K232" s="338"/>
      <c r="L232" s="338"/>
      <c r="M232" s="349"/>
      <c r="N232" s="333"/>
      <c r="O232" s="339"/>
      <c r="P232" s="340"/>
      <c r="Q232" s="341"/>
      <c r="R232" s="341"/>
      <c r="S232" s="341">
        <f ca="1">IF(NOT(ISERROR(MATCH(R232,_xlfn.ANCHORARRAY(#REF!),0))),#REF!&amp;"Por favor no seleccionar los criterios de impacto",R232)</f>
        <v>0</v>
      </c>
      <c r="T232" s="340"/>
      <c r="U232" s="341"/>
      <c r="V232" s="327"/>
      <c r="W232" s="233">
        <v>4</v>
      </c>
      <c r="X232" s="207" t="s">
        <v>898</v>
      </c>
      <c r="Y232" s="230" t="str">
        <f t="shared" si="592"/>
        <v>Probabilidad</v>
      </c>
      <c r="Z232" s="185" t="s">
        <v>208</v>
      </c>
      <c r="AA232" s="185" t="s">
        <v>216</v>
      </c>
      <c r="AB232" s="186" t="str">
        <f t="shared" si="615"/>
        <v>40%</v>
      </c>
      <c r="AC232" s="185" t="s">
        <v>219</v>
      </c>
      <c r="AD232" s="185" t="s">
        <v>224</v>
      </c>
      <c r="AE232" s="185" t="s">
        <v>228</v>
      </c>
      <c r="AF232" s="187">
        <f t="shared" si="618"/>
        <v>7.7759999999999996E-2</v>
      </c>
      <c r="AG232" s="188" t="str">
        <f t="shared" si="594"/>
        <v>Muy Baja</v>
      </c>
      <c r="AH232" s="186">
        <f t="shared" si="595"/>
        <v>7.7759999999999996E-2</v>
      </c>
      <c r="AI232" s="188" t="str">
        <f t="shared" ca="1" si="596"/>
        <v>Mayor</v>
      </c>
      <c r="AJ232" s="186">
        <f t="shared" ca="1" si="620"/>
        <v>0.8</v>
      </c>
      <c r="AK232" s="189" t="str">
        <f t="shared" ca="1" si="598"/>
        <v>Alto</v>
      </c>
      <c r="AL232" s="185" t="s">
        <v>262</v>
      </c>
      <c r="AM232" s="227"/>
      <c r="AN232" s="230"/>
      <c r="AO232" s="228"/>
      <c r="AP232" s="228"/>
      <c r="AQ232" s="227"/>
      <c r="AR232" s="229"/>
    </row>
    <row r="233" spans="1:44" s="191" customFormat="1" ht="354.75" customHeight="1" thickTop="1" thickBot="1" x14ac:dyDescent="0.3">
      <c r="A233" s="226">
        <v>87</v>
      </c>
      <c r="B233" s="249" t="s">
        <v>899</v>
      </c>
      <c r="C233" s="227" t="s">
        <v>278</v>
      </c>
      <c r="D233" s="243" t="s">
        <v>877</v>
      </c>
      <c r="E233" s="227" t="s">
        <v>236</v>
      </c>
      <c r="F233" s="234" t="s">
        <v>900</v>
      </c>
      <c r="G233" s="234" t="s">
        <v>901</v>
      </c>
      <c r="H233" s="251" t="s">
        <v>1194</v>
      </c>
      <c r="I233" s="231" t="s">
        <v>593</v>
      </c>
      <c r="J233" s="231" t="s">
        <v>593</v>
      </c>
      <c r="K233" s="231" t="s">
        <v>593</v>
      </c>
      <c r="L233" s="231" t="s">
        <v>593</v>
      </c>
      <c r="M233" s="239" t="s">
        <v>244</v>
      </c>
      <c r="N233" s="227"/>
      <c r="O233" s="230">
        <v>365</v>
      </c>
      <c r="P233" s="232" t="str">
        <f t="shared" si="558"/>
        <v>Media</v>
      </c>
      <c r="Q233" s="225">
        <f t="shared" si="559"/>
        <v>0.6</v>
      </c>
      <c r="R233" s="225" t="s">
        <v>195</v>
      </c>
      <c r="S233" s="225" t="str">
        <f ca="1">IF(NOT(ISERROR(MATCH(R233,'Tabla Impacto'!$B$221:$B$223,0))),'Tabla Impacto'!$F$223&amp;"Por favor no seleccionar los criterios de impacto(Afectación Económica o presupuestal y Pérdida Reputacional)",R233)</f>
        <v xml:space="preserve">Mayor a 500 SMLMV </v>
      </c>
      <c r="T233" s="232" t="str">
        <f ca="1">+IF(OR(S233='[1]Tabla Impacto'!$C$11,S233='[1]Tabla Impacto'!$D$11),"Leve",IF(OR(S233='[1]Tabla Impacto'!$C$12,S233='[1]Tabla Impacto'!$D$12),"Menor",IF(OR(S233='[1]Tabla Impacto'!$C$13,S233='[1]Tabla Impacto'!$D$13),"Moderado",IF(OR(S233='[1]Tabla Impacto'!$C$14,S233='[1]Tabla Impacto'!$D$14),"Mayor",IF(OR(S233='[1]Tabla Impacto'!$C$15,S233='[1]Tabla Impacto'!$D$15),"Catastrófico","")))))</f>
        <v>Catastrófico</v>
      </c>
      <c r="U233" s="225">
        <f t="shared" ref="U233" ca="1" si="621">IF(T233="","",IF(T233="Leve",0.2,IF(T233="Menor",0.4,IF(T233="Moderado",0.6,IF(T233="Mayor",0.8,IF(T233="Catastrófico",1,))))))</f>
        <v>1</v>
      </c>
      <c r="V233" s="233" t="str">
        <f t="shared" ref="V233" ca="1" si="622">IF(OR(AND(P233="Muy Baja",T233="Leve"),AND(P233="Muy Baja",T233="Menor"),AND(P233="Baja",T233="Leve")),"Bajo",IF(OR(AND(P233="Muy baja",T233="Moderado"),AND(P233="Baja",T233="Menor"),AND(P233="Baja",T233="Moderado"),AND(P233="Media",T233="Leve"),AND(P233="Media",T233="Menor"),AND(P233="Media",T233="Moderado"),AND(P233="Alta",T233="Leve"),AND(P233="Alta",T233="Menor")),"Moderado",IF(OR(AND(P233="Muy Baja",T233="Mayor"),AND(P233="Baja",T233="Mayor"),AND(P233="Media",T233="Mayor"),AND(P233="Alta",T233="Moderado"),AND(P233="Alta",T233="Mayor"),AND(P233="Muy Alta",T233="Leve"),AND(P233="Muy Alta",T233="Menor"),AND(P233="Muy Alta",T233="Moderado"),AND(P233="Muy Alta",T233="Mayor")),"Alto",IF(OR(AND(P233="Muy Baja",T233="Catastrófico"),AND(P233="Baja",T233="Catastrófico"),AND(P233="Media",T233="Catastrófico"),AND(P233="Alta",T233="Catastrófico"),AND(P233="Muy Alta",T233="Catastrófico")),"Extremo",""))))</f>
        <v>Extremo</v>
      </c>
      <c r="W233" s="233">
        <v>1</v>
      </c>
      <c r="X233" s="207" t="s">
        <v>1062</v>
      </c>
      <c r="Y233" s="230" t="str">
        <f t="shared" si="592"/>
        <v>Probabilidad</v>
      </c>
      <c r="Z233" s="185" t="s">
        <v>208</v>
      </c>
      <c r="AA233" s="185" t="s">
        <v>216</v>
      </c>
      <c r="AB233" s="186" t="str">
        <f t="shared" si="615"/>
        <v>40%</v>
      </c>
      <c r="AC233" s="185" t="s">
        <v>219</v>
      </c>
      <c r="AD233" s="185" t="s">
        <v>224</v>
      </c>
      <c r="AE233" s="185" t="s">
        <v>228</v>
      </c>
      <c r="AF233" s="187">
        <f t="shared" ref="AF233" si="623">IFERROR(IF(Y233="Probabilidad",(Q233-(+Q233*AB233)),IF(Y233="Impacto",Q233,"")),"")</f>
        <v>0.36</v>
      </c>
      <c r="AG233" s="188" t="str">
        <f t="shared" si="594"/>
        <v>Baja</v>
      </c>
      <c r="AH233" s="186">
        <f t="shared" si="595"/>
        <v>0.36</v>
      </c>
      <c r="AI233" s="188" t="str">
        <f t="shared" ca="1" si="596"/>
        <v>Catastrófico</v>
      </c>
      <c r="AJ233" s="186">
        <f t="shared" ref="AJ233" ca="1" si="624">IFERROR(IF(Y233="Impacto",(U233-(+U233*AB233)),IF(Y233="Probabilidad",U233,"")),"")</f>
        <v>1</v>
      </c>
      <c r="AK233" s="189" t="str">
        <f t="shared" ca="1" si="598"/>
        <v>Extremo</v>
      </c>
      <c r="AL233" s="185" t="s">
        <v>262</v>
      </c>
      <c r="AM233" s="227"/>
      <c r="AN233" s="230"/>
      <c r="AO233" s="228"/>
      <c r="AP233" s="228"/>
      <c r="AQ233" s="227"/>
      <c r="AR233" s="229"/>
    </row>
    <row r="234" spans="1:44" s="191" customFormat="1" ht="145.5" customHeight="1" thickTop="1" thickBot="1" x14ac:dyDescent="0.3">
      <c r="A234" s="328">
        <v>88</v>
      </c>
      <c r="B234" s="363" t="s">
        <v>902</v>
      </c>
      <c r="C234" s="333" t="s">
        <v>278</v>
      </c>
      <c r="D234" s="335" t="s">
        <v>872</v>
      </c>
      <c r="E234" s="333" t="s">
        <v>236</v>
      </c>
      <c r="F234" s="351" t="s">
        <v>903</v>
      </c>
      <c r="G234" s="351" t="s">
        <v>904</v>
      </c>
      <c r="H234" s="350" t="s">
        <v>905</v>
      </c>
      <c r="I234" s="338" t="s">
        <v>474</v>
      </c>
      <c r="J234" s="338" t="s">
        <v>474</v>
      </c>
      <c r="K234" s="338" t="s">
        <v>474</v>
      </c>
      <c r="L234" s="338" t="s">
        <v>474</v>
      </c>
      <c r="M234" s="333" t="s">
        <v>467</v>
      </c>
      <c r="N234" s="333"/>
      <c r="O234" s="339">
        <v>365</v>
      </c>
      <c r="P234" s="340" t="str">
        <f t="shared" si="558"/>
        <v>Media</v>
      </c>
      <c r="Q234" s="341">
        <f t="shared" si="559"/>
        <v>0.6</v>
      </c>
      <c r="R234" s="341" t="s">
        <v>195</v>
      </c>
      <c r="S234" s="341" t="str">
        <f ca="1">IF(NOT(ISERROR(MATCH(R234,'Tabla Impacto'!$B$221:$B$223,0))),'Tabla Impacto'!$F$223&amp;"Por favor no seleccionar los criterios de impacto(Afectación Económica o presupuestal y Pérdida Reputacional)",R234)</f>
        <v xml:space="preserve">Mayor a 500 SMLMV </v>
      </c>
      <c r="T234" s="340" t="str">
        <f ca="1">+IF(OR(S234='[1]Tabla Impacto'!$C$11,S234='[1]Tabla Impacto'!$D$11),"Leve",IF(OR(S234='[1]Tabla Impacto'!$C$12,S234='[1]Tabla Impacto'!$D$12),"Menor",IF(OR(S234='[1]Tabla Impacto'!$C$13,S234='[1]Tabla Impacto'!$D$13),"Moderado",IF(OR(S234='[1]Tabla Impacto'!$C$14,S234='[1]Tabla Impacto'!$D$14),"Mayor",IF(OR(S234='[1]Tabla Impacto'!$C$15,S234='[1]Tabla Impacto'!$D$15),"Catastrófico","")))))</f>
        <v>Catastrófico</v>
      </c>
      <c r="U234" s="341">
        <f t="shared" ref="U234" ca="1" si="625">IF(T234="","",IF(T234="Leve",0.2,IF(T234="Menor",0.4,IF(T234="Moderado",0.6,IF(T234="Mayor",0.8,IF(T234="Catastrófico",1,))))))</f>
        <v>1</v>
      </c>
      <c r="V234" s="327" t="str">
        <f t="shared" ref="V234" ca="1" si="626">IF(OR(AND(P234="Muy Baja",T234="Leve"),AND(P234="Muy Baja",T234="Menor"),AND(P234="Baja",T234="Leve")),"Bajo",IF(OR(AND(P234="Muy baja",T234="Moderado"),AND(P234="Baja",T234="Menor"),AND(P234="Baja",T234="Moderado"),AND(P234="Media",T234="Leve"),AND(P234="Media",T234="Menor"),AND(P234="Media",T234="Moderado"),AND(P234="Alta",T234="Leve"),AND(P234="Alta",T234="Menor")),"Moderado",IF(OR(AND(P234="Muy Baja",T234="Mayor"),AND(P234="Baja",T234="Mayor"),AND(P234="Media",T234="Mayor"),AND(P234="Alta",T234="Moderado"),AND(P234="Alta",T234="Mayor"),AND(P234="Muy Alta",T234="Leve"),AND(P234="Muy Alta",T234="Menor"),AND(P234="Muy Alta",T234="Moderado"),AND(P234="Muy Alta",T234="Mayor")),"Alto",IF(OR(AND(P234="Muy Baja",T234="Catastrófico"),AND(P234="Baja",T234="Catastrófico"),AND(P234="Media",T234="Catastrófico"),AND(P234="Alta",T234="Catastrófico"),AND(P234="Muy Alta",T234="Catastrófico")),"Extremo",""))))</f>
        <v>Extremo</v>
      </c>
      <c r="W234" s="233">
        <v>1</v>
      </c>
      <c r="X234" s="207" t="s">
        <v>906</v>
      </c>
      <c r="Y234" s="230" t="str">
        <f t="shared" si="592"/>
        <v>Probabilidad</v>
      </c>
      <c r="Z234" s="185" t="s">
        <v>208</v>
      </c>
      <c r="AA234" s="185" t="s">
        <v>216</v>
      </c>
      <c r="AB234" s="186" t="str">
        <f t="shared" si="615"/>
        <v>40%</v>
      </c>
      <c r="AC234" s="185" t="s">
        <v>219</v>
      </c>
      <c r="AD234" s="185" t="s">
        <v>224</v>
      </c>
      <c r="AE234" s="185" t="s">
        <v>228</v>
      </c>
      <c r="AF234" s="187">
        <f t="shared" ref="AF234" si="627">IFERROR(IF(Y234="Probabilidad",(Q234-(+Q234*AB234)),IF(Y234="Impacto",Q234,"")),"")</f>
        <v>0.36</v>
      </c>
      <c r="AG234" s="188" t="str">
        <f t="shared" si="594"/>
        <v>Baja</v>
      </c>
      <c r="AH234" s="186">
        <f t="shared" si="595"/>
        <v>0.36</v>
      </c>
      <c r="AI234" s="188" t="str">
        <f t="shared" ca="1" si="596"/>
        <v>Catastrófico</v>
      </c>
      <c r="AJ234" s="186">
        <f t="shared" ref="AJ234" ca="1" si="628">IFERROR(IF(Y234="Impacto",(U234-(+U234*AB234)),IF(Y234="Probabilidad",U234,"")),"")</f>
        <v>1</v>
      </c>
      <c r="AK234" s="189" t="str">
        <f t="shared" ca="1" si="598"/>
        <v>Extremo</v>
      </c>
      <c r="AL234" s="185" t="s">
        <v>262</v>
      </c>
      <c r="AM234" s="333" t="s">
        <v>908</v>
      </c>
      <c r="AN234" s="339" t="s">
        <v>909</v>
      </c>
      <c r="AO234" s="352">
        <v>45717</v>
      </c>
      <c r="AP234" s="353" t="s">
        <v>535</v>
      </c>
      <c r="AQ234" s="333" t="s">
        <v>910</v>
      </c>
      <c r="AR234" s="354" t="s">
        <v>259</v>
      </c>
    </row>
    <row r="235" spans="1:44" s="191" customFormat="1" ht="139.5" customHeight="1" thickTop="1" thickBot="1" x14ac:dyDescent="0.3">
      <c r="A235" s="328"/>
      <c r="B235" s="364"/>
      <c r="C235" s="333"/>
      <c r="D235" s="335"/>
      <c r="E235" s="333"/>
      <c r="F235" s="351"/>
      <c r="G235" s="351"/>
      <c r="H235" s="350"/>
      <c r="I235" s="338"/>
      <c r="J235" s="338"/>
      <c r="K235" s="338"/>
      <c r="L235" s="338"/>
      <c r="M235" s="333"/>
      <c r="N235" s="333"/>
      <c r="O235" s="339"/>
      <c r="P235" s="340"/>
      <c r="Q235" s="341"/>
      <c r="R235" s="341"/>
      <c r="S235" s="341">
        <f ca="1">IF(NOT(ISERROR(MATCH(R235,_xlfn.ANCHORARRAY(H238),0))),#REF!&amp;"Por favor no seleccionar los criterios de impacto",R235)</f>
        <v>0</v>
      </c>
      <c r="T235" s="340"/>
      <c r="U235" s="341"/>
      <c r="V235" s="327"/>
      <c r="W235" s="233">
        <v>2</v>
      </c>
      <c r="X235" s="207" t="s">
        <v>907</v>
      </c>
      <c r="Y235" s="230" t="str">
        <f t="shared" si="592"/>
        <v>Probabilidad</v>
      </c>
      <c r="Z235" s="185" t="s">
        <v>208</v>
      </c>
      <c r="AA235" s="185" t="s">
        <v>216</v>
      </c>
      <c r="AB235" s="186" t="str">
        <f t="shared" si="615"/>
        <v>40%</v>
      </c>
      <c r="AC235" s="185" t="s">
        <v>219</v>
      </c>
      <c r="AD235" s="185" t="s">
        <v>224</v>
      </c>
      <c r="AE235" s="185" t="s">
        <v>228</v>
      </c>
      <c r="AF235" s="187">
        <f t="shared" ref="AF235" si="629">IFERROR(IF(AND(Y234="Probabilidad",Y235="Probabilidad"),(AH234-(+AH234*AB235)),IF(Y235="Probabilidad",(Q234-(+Q234*AB235)),IF(Y235="Impacto",AH234,""))),"")</f>
        <v>0.216</v>
      </c>
      <c r="AG235" s="188" t="str">
        <f t="shared" si="594"/>
        <v>Baja</v>
      </c>
      <c r="AH235" s="186">
        <f t="shared" si="595"/>
        <v>0.216</v>
      </c>
      <c r="AI235" s="188" t="str">
        <f t="shared" ca="1" si="596"/>
        <v>Catastrófico</v>
      </c>
      <c r="AJ235" s="186">
        <f t="shared" ref="AJ235" ca="1" si="630">IFERROR(IF(AND(Y234="Impacto",Y235="Impacto"),(AJ234-(+AJ234*AB235)),IF(Y235="Impacto",(U234-(+U234*AB235)),IF(Y235="Probabilidad",AJ234,""))),"")</f>
        <v>1</v>
      </c>
      <c r="AK235" s="189" t="str">
        <f t="shared" ca="1" si="598"/>
        <v>Extremo</v>
      </c>
      <c r="AL235" s="185" t="s">
        <v>262</v>
      </c>
      <c r="AM235" s="333"/>
      <c r="AN235" s="339"/>
      <c r="AO235" s="352"/>
      <c r="AP235" s="353"/>
      <c r="AQ235" s="333"/>
      <c r="AR235" s="354"/>
    </row>
    <row r="236" spans="1:44" s="191" customFormat="1" ht="143.25" customHeight="1" thickTop="1" thickBot="1" x14ac:dyDescent="0.3">
      <c r="A236" s="328">
        <v>89</v>
      </c>
      <c r="B236" s="329" t="s">
        <v>911</v>
      </c>
      <c r="C236" s="333" t="s">
        <v>279</v>
      </c>
      <c r="D236" s="333" t="s">
        <v>960</v>
      </c>
      <c r="E236" s="333" t="s">
        <v>238</v>
      </c>
      <c r="F236" s="351" t="s">
        <v>912</v>
      </c>
      <c r="G236" s="351" t="s">
        <v>913</v>
      </c>
      <c r="H236" s="350" t="s">
        <v>1177</v>
      </c>
      <c r="I236" s="338" t="s">
        <v>474</v>
      </c>
      <c r="J236" s="338" t="s">
        <v>474</v>
      </c>
      <c r="K236" s="338" t="s">
        <v>474</v>
      </c>
      <c r="L236" s="338" t="s">
        <v>474</v>
      </c>
      <c r="M236" s="333" t="s">
        <v>239</v>
      </c>
      <c r="N236" s="333"/>
      <c r="O236" s="339">
        <v>365</v>
      </c>
      <c r="P236" s="340" t="str">
        <f t="shared" ref="P236:P250" si="631">IF(O236&lt;=0,"",IF(O236&lt;=2,"Muy Baja",IF(O236&lt;=24,"Baja",IF(O236&lt;=500,"Media",IF(O236&lt;=5000,"Alta","Muy Alta")))))</f>
        <v>Media</v>
      </c>
      <c r="Q236" s="341">
        <f t="shared" ref="Q236:Q250" si="632">IF(P236="","",IF(P236="Muy Baja",0.2,IF(P236="Baja",0.4,IF(P236="Media",0.6,IF(P236="Alta",0.8,IF(P236="Muy Alta",1,))))))</f>
        <v>0.6</v>
      </c>
      <c r="R236" s="341" t="s">
        <v>190</v>
      </c>
      <c r="S236" s="341" t="str">
        <f ca="1">IF(NOT(ISERROR(MATCH(R236,'Tabla Impacto'!$B$221:$B$223,0))),'Tabla Impacto'!$F$223&amp;"Por favor no seleccionar los criterios de impacto(Afectación Económica o presupuestal y Pérdida Reputacional)",R236)</f>
        <v>El riesgo afecta la imagen de la entidad con algunos usuarios de relevancia frente al logro de los objetivos</v>
      </c>
      <c r="T236" s="340" t="str">
        <f ca="1">+IF(OR(S236='[1]Tabla Impacto'!$C$11,S236='[1]Tabla Impacto'!$D$11),"Leve",IF(OR(S236='[1]Tabla Impacto'!$C$12,S236='[1]Tabla Impacto'!$D$12),"Menor",IF(OR(S236='[1]Tabla Impacto'!$C$13,S236='[1]Tabla Impacto'!$D$13),"Moderado",IF(OR(S236='[1]Tabla Impacto'!$C$14,S236='[1]Tabla Impacto'!$D$14),"Mayor",IF(OR(S236='[1]Tabla Impacto'!$C$15,S236='[1]Tabla Impacto'!$D$15),"Catastrófico","")))))</f>
        <v>Moderado</v>
      </c>
      <c r="U236" s="341">
        <f t="shared" ref="U236" ca="1" si="633">IF(T236="","",IF(T236="Leve",0.2,IF(T236="Menor",0.4,IF(T236="Moderado",0.6,IF(T236="Mayor",0.8,IF(T236="Catastrófico",1,))))))</f>
        <v>0.6</v>
      </c>
      <c r="V236" s="327" t="str">
        <f t="shared" ref="V236" ca="1" si="634">IF(OR(AND(P236="Muy Baja",T236="Leve"),AND(P236="Muy Baja",T236="Menor"),AND(P236="Baja",T236="Leve")),"Bajo",IF(OR(AND(P236="Muy baja",T236="Moderado"),AND(P236="Baja",T236="Menor"),AND(P236="Baja",T236="Moderado"),AND(P236="Media",T236="Leve"),AND(P236="Media",T236="Menor"),AND(P236="Media",T236="Moderado"),AND(P236="Alta",T236="Leve"),AND(P236="Alta",T236="Menor")),"Moderado",IF(OR(AND(P236="Muy Baja",T236="Mayor"),AND(P236="Baja",T236="Mayor"),AND(P236="Media",T236="Mayor"),AND(P236="Alta",T236="Moderado"),AND(P236="Alta",T236="Mayor"),AND(P236="Muy Alta",T236="Leve"),AND(P236="Muy Alta",T236="Menor"),AND(P236="Muy Alta",T236="Moderado"),AND(P236="Muy Alta",T236="Mayor")),"Alto",IF(OR(AND(P236="Muy Baja",T236="Catastrófico"),AND(P236="Baja",T236="Catastrófico"),AND(P236="Media",T236="Catastrófico"),AND(P236="Alta",T236="Catastrófico"),AND(P236="Muy Alta",T236="Catastrófico")),"Extremo",""))))</f>
        <v>Moderado</v>
      </c>
      <c r="W236" s="233">
        <v>1</v>
      </c>
      <c r="X236" s="207" t="s">
        <v>1063</v>
      </c>
      <c r="Y236" s="230" t="str">
        <f t="shared" si="592"/>
        <v>Probabilidad</v>
      </c>
      <c r="Z236" s="185" t="s">
        <v>208</v>
      </c>
      <c r="AA236" s="185" t="s">
        <v>216</v>
      </c>
      <c r="AB236" s="186" t="str">
        <f t="shared" si="615"/>
        <v>40%</v>
      </c>
      <c r="AC236" s="185" t="s">
        <v>219</v>
      </c>
      <c r="AD236" s="185" t="s">
        <v>224</v>
      </c>
      <c r="AE236" s="185" t="s">
        <v>228</v>
      </c>
      <c r="AF236" s="187">
        <f t="shared" ref="AF236" si="635">IFERROR(IF(Y236="Probabilidad",(Q236-(+Q236*AB236)),IF(Y236="Impacto",Q236,"")),"")</f>
        <v>0.36</v>
      </c>
      <c r="AG236" s="188" t="str">
        <f t="shared" si="594"/>
        <v>Baja</v>
      </c>
      <c r="AH236" s="186">
        <f t="shared" si="595"/>
        <v>0.36</v>
      </c>
      <c r="AI236" s="188" t="str">
        <f t="shared" ca="1" si="596"/>
        <v>Moderado</v>
      </c>
      <c r="AJ236" s="186">
        <f t="shared" ref="AJ236" ca="1" si="636">IFERROR(IF(Y236="Impacto",(U236-(+U236*AB236)),IF(Y236="Probabilidad",U236,"")),"")</f>
        <v>0.6</v>
      </c>
      <c r="AK236" s="189" t="str">
        <f t="shared" ca="1" si="598"/>
        <v>Moderado</v>
      </c>
      <c r="AL236" s="185" t="s">
        <v>255</v>
      </c>
      <c r="AM236" s="227"/>
      <c r="AN236" s="230"/>
      <c r="AO236" s="228"/>
      <c r="AP236" s="228"/>
      <c r="AQ236" s="227"/>
      <c r="AR236" s="229"/>
    </row>
    <row r="237" spans="1:44" s="191" customFormat="1" ht="202.5" customHeight="1" thickTop="1" thickBot="1" x14ac:dyDescent="0.3">
      <c r="A237" s="328"/>
      <c r="B237" s="329"/>
      <c r="C237" s="333"/>
      <c r="D237" s="333"/>
      <c r="E237" s="333"/>
      <c r="F237" s="351"/>
      <c r="G237" s="351"/>
      <c r="H237" s="350"/>
      <c r="I237" s="338"/>
      <c r="J237" s="338"/>
      <c r="K237" s="338"/>
      <c r="L237" s="338"/>
      <c r="M237" s="333"/>
      <c r="N237" s="333"/>
      <c r="O237" s="339"/>
      <c r="P237" s="340"/>
      <c r="Q237" s="341"/>
      <c r="R237" s="341"/>
      <c r="S237" s="341">
        <f ca="1">IF(NOT(ISERROR(MATCH(R237,_xlfn.ANCHORARRAY(H240),0))),#REF!&amp;"Por favor no seleccionar los criterios de impacto",R237)</f>
        <v>0</v>
      </c>
      <c r="T237" s="340"/>
      <c r="U237" s="341"/>
      <c r="V237" s="327"/>
      <c r="W237" s="233">
        <v>2</v>
      </c>
      <c r="X237" s="207" t="s">
        <v>1064</v>
      </c>
      <c r="Y237" s="230" t="str">
        <f t="shared" si="592"/>
        <v>Probabilidad</v>
      </c>
      <c r="Z237" s="185" t="s">
        <v>208</v>
      </c>
      <c r="AA237" s="185" t="s">
        <v>216</v>
      </c>
      <c r="AB237" s="186" t="str">
        <f t="shared" si="615"/>
        <v>40%</v>
      </c>
      <c r="AC237" s="185" t="s">
        <v>219</v>
      </c>
      <c r="AD237" s="185" t="s">
        <v>224</v>
      </c>
      <c r="AE237" s="185" t="s">
        <v>228</v>
      </c>
      <c r="AF237" s="187">
        <f t="shared" ref="AF237" si="637">IFERROR(IF(AND(Y236="Probabilidad",Y237="Probabilidad"),(AH236-(+AH236*AB237)),IF(Y237="Probabilidad",(Q236-(+Q236*AB237)),IF(Y237="Impacto",AH236,""))),"")</f>
        <v>0.216</v>
      </c>
      <c r="AG237" s="188" t="str">
        <f t="shared" si="594"/>
        <v>Baja</v>
      </c>
      <c r="AH237" s="186">
        <f t="shared" si="595"/>
        <v>0.216</v>
      </c>
      <c r="AI237" s="188" t="str">
        <f t="shared" ca="1" si="596"/>
        <v>Moderado</v>
      </c>
      <c r="AJ237" s="186">
        <f t="shared" ref="AJ237" ca="1" si="638">IFERROR(IF(AND(Y236="Impacto",Y237="Impacto"),(AJ236-(+AJ236*AB237)),IF(Y237="Impacto",(U236-(+U236*AB237)),IF(Y237="Probabilidad",AJ236,""))),"")</f>
        <v>0.6</v>
      </c>
      <c r="AK237" s="189" t="str">
        <f t="shared" ca="1" si="598"/>
        <v>Moderado</v>
      </c>
      <c r="AL237" s="185" t="s">
        <v>255</v>
      </c>
      <c r="AM237" s="227"/>
      <c r="AN237" s="230"/>
      <c r="AO237" s="228"/>
      <c r="AP237" s="228"/>
      <c r="AQ237" s="227"/>
      <c r="AR237" s="229"/>
    </row>
    <row r="238" spans="1:44" s="191" customFormat="1" ht="222.75" customHeight="1" thickTop="1" thickBot="1" x14ac:dyDescent="0.3">
      <c r="A238" s="328">
        <v>90</v>
      </c>
      <c r="B238" s="329" t="s">
        <v>914</v>
      </c>
      <c r="C238" s="333" t="s">
        <v>279</v>
      </c>
      <c r="D238" s="333" t="s">
        <v>960</v>
      </c>
      <c r="E238" s="333" t="s">
        <v>238</v>
      </c>
      <c r="F238" s="351" t="s">
        <v>1100</v>
      </c>
      <c r="G238" s="351" t="s">
        <v>915</v>
      </c>
      <c r="H238" s="350" t="s">
        <v>1178</v>
      </c>
      <c r="I238" s="338" t="s">
        <v>474</v>
      </c>
      <c r="J238" s="338" t="s">
        <v>474</v>
      </c>
      <c r="K238" s="338" t="s">
        <v>474</v>
      </c>
      <c r="L238" s="338" t="s">
        <v>474</v>
      </c>
      <c r="M238" s="333" t="s">
        <v>239</v>
      </c>
      <c r="N238" s="333"/>
      <c r="O238" s="339">
        <v>2</v>
      </c>
      <c r="P238" s="340" t="str">
        <f t="shared" si="631"/>
        <v>Muy Baja</v>
      </c>
      <c r="Q238" s="341">
        <f t="shared" si="632"/>
        <v>0.2</v>
      </c>
      <c r="R238" s="341" t="s">
        <v>190</v>
      </c>
      <c r="S238" s="341" t="str">
        <f ca="1">IF(NOT(ISERROR(MATCH(R238,'Tabla Impacto'!$B$221:$B$223,0))),'Tabla Impacto'!$F$223&amp;"Por favor no seleccionar los criterios de impacto(Afectación Económica o presupuestal y Pérdida Reputacional)",R238)</f>
        <v>El riesgo afecta la imagen de la entidad con algunos usuarios de relevancia frente al logro de los objetivos</v>
      </c>
      <c r="T238" s="340" t="str">
        <f ca="1">+IF(OR(S238='[1]Tabla Impacto'!$C$11,S238='[1]Tabla Impacto'!$D$11),"Leve",IF(OR(S238='[1]Tabla Impacto'!$C$12,S238='[1]Tabla Impacto'!$D$12),"Menor",IF(OR(S238='[1]Tabla Impacto'!$C$13,S238='[1]Tabla Impacto'!$D$13),"Moderado",IF(OR(S238='[1]Tabla Impacto'!$C$14,S238='[1]Tabla Impacto'!$D$14),"Mayor",IF(OR(S238='[1]Tabla Impacto'!$C$15,S238='[1]Tabla Impacto'!$D$15),"Catastrófico","")))))</f>
        <v>Moderado</v>
      </c>
      <c r="U238" s="341">
        <f t="shared" ref="U238" ca="1" si="639">IF(T238="","",IF(T238="Leve",0.2,IF(T238="Menor",0.4,IF(T238="Moderado",0.6,IF(T238="Mayor",0.8,IF(T238="Catastrófico",1,))))))</f>
        <v>0.6</v>
      </c>
      <c r="V238" s="327" t="str">
        <f t="shared" ref="V238" ca="1" si="640">IF(OR(AND(P238="Muy Baja",T238="Leve"),AND(P238="Muy Baja",T238="Menor"),AND(P238="Baja",T238="Leve")),"Bajo",IF(OR(AND(P238="Muy baja",T238="Moderado"),AND(P238="Baja",T238="Menor"),AND(P238="Baja",T238="Moderado"),AND(P238="Media",T238="Leve"),AND(P238="Media",T238="Menor"),AND(P238="Media",T238="Moderado"),AND(P238="Alta",T238="Leve"),AND(P238="Alta",T238="Menor")),"Moderado",IF(OR(AND(P238="Muy Baja",T238="Mayor"),AND(P238="Baja",T238="Mayor"),AND(P238="Media",T238="Mayor"),AND(P238="Alta",T238="Moderado"),AND(P238="Alta",T238="Mayor"),AND(P238="Muy Alta",T238="Leve"),AND(P238="Muy Alta",T238="Menor"),AND(P238="Muy Alta",T238="Moderado"),AND(P238="Muy Alta",T238="Mayor")),"Alto",IF(OR(AND(P238="Muy Baja",T238="Catastrófico"),AND(P238="Baja",T238="Catastrófico"),AND(P238="Media",T238="Catastrófico"),AND(P238="Alta",T238="Catastrófico"),AND(P238="Muy Alta",T238="Catastrófico")),"Extremo",""))))</f>
        <v>Moderado</v>
      </c>
      <c r="W238" s="233">
        <v>1</v>
      </c>
      <c r="X238" s="207" t="s">
        <v>916</v>
      </c>
      <c r="Y238" s="230" t="str">
        <f t="shared" si="592"/>
        <v>Probabilidad</v>
      </c>
      <c r="Z238" s="185" t="s">
        <v>208</v>
      </c>
      <c r="AA238" s="185" t="s">
        <v>216</v>
      </c>
      <c r="AB238" s="186" t="str">
        <f t="shared" si="615"/>
        <v>40%</v>
      </c>
      <c r="AC238" s="185" t="s">
        <v>219</v>
      </c>
      <c r="AD238" s="185" t="s">
        <v>224</v>
      </c>
      <c r="AE238" s="185" t="s">
        <v>228</v>
      </c>
      <c r="AF238" s="187">
        <f t="shared" ref="AF238" si="641">IFERROR(IF(Y238="Probabilidad",(Q238-(+Q238*AB238)),IF(Y238="Impacto",Q238,"")),"")</f>
        <v>0.12</v>
      </c>
      <c r="AG238" s="188" t="str">
        <f t="shared" si="594"/>
        <v>Muy Baja</v>
      </c>
      <c r="AH238" s="186">
        <f t="shared" si="595"/>
        <v>0.12</v>
      </c>
      <c r="AI238" s="188" t="str">
        <f t="shared" ca="1" si="596"/>
        <v>Moderado</v>
      </c>
      <c r="AJ238" s="186">
        <f t="shared" ref="AJ238" ca="1" si="642">IFERROR(IF(Y238="Impacto",(U238-(+U238*AB238)),IF(Y238="Probabilidad",U238,"")),"")</f>
        <v>0.6</v>
      </c>
      <c r="AK238" s="189" t="str">
        <f t="shared" ca="1" si="598"/>
        <v>Moderado</v>
      </c>
      <c r="AL238" s="185" t="s">
        <v>255</v>
      </c>
      <c r="AM238" s="227"/>
      <c r="AN238" s="230"/>
      <c r="AO238" s="228"/>
      <c r="AP238" s="228"/>
      <c r="AQ238" s="227"/>
      <c r="AR238" s="229"/>
    </row>
    <row r="239" spans="1:44" s="191" customFormat="1" ht="240.75" customHeight="1" thickTop="1" thickBot="1" x14ac:dyDescent="0.3">
      <c r="A239" s="328"/>
      <c r="B239" s="329"/>
      <c r="C239" s="333"/>
      <c r="D239" s="333"/>
      <c r="E239" s="333"/>
      <c r="F239" s="351"/>
      <c r="G239" s="351"/>
      <c r="H239" s="350"/>
      <c r="I239" s="338"/>
      <c r="J239" s="338"/>
      <c r="K239" s="338"/>
      <c r="L239" s="338"/>
      <c r="M239" s="333"/>
      <c r="N239" s="333"/>
      <c r="O239" s="339"/>
      <c r="P239" s="340"/>
      <c r="Q239" s="341"/>
      <c r="R239" s="341"/>
      <c r="S239" s="341">
        <f ca="1">IF(NOT(ISERROR(MATCH(R239,_xlfn.ANCHORARRAY(H242),0))),#REF!&amp;"Por favor no seleccionar los criterios de impacto",R239)</f>
        <v>0</v>
      </c>
      <c r="T239" s="340"/>
      <c r="U239" s="341"/>
      <c r="V239" s="327"/>
      <c r="W239" s="233">
        <v>2</v>
      </c>
      <c r="X239" s="207" t="s">
        <v>917</v>
      </c>
      <c r="Y239" s="230" t="str">
        <f t="shared" si="592"/>
        <v>Probabilidad</v>
      </c>
      <c r="Z239" s="185" t="s">
        <v>208</v>
      </c>
      <c r="AA239" s="185" t="s">
        <v>216</v>
      </c>
      <c r="AB239" s="186" t="str">
        <f t="shared" si="615"/>
        <v>40%</v>
      </c>
      <c r="AC239" s="185" t="s">
        <v>219</v>
      </c>
      <c r="AD239" s="185" t="s">
        <v>224</v>
      </c>
      <c r="AE239" s="185" t="s">
        <v>228</v>
      </c>
      <c r="AF239" s="187">
        <f t="shared" ref="AF239" si="643">IFERROR(IF(AND(Y238="Probabilidad",Y239="Probabilidad"),(AH238-(+AH238*AB239)),IF(Y239="Probabilidad",(Q238-(+Q238*AB239)),IF(Y239="Impacto",AH238,""))),"")</f>
        <v>7.1999999999999995E-2</v>
      </c>
      <c r="AG239" s="188" t="str">
        <f t="shared" si="594"/>
        <v>Muy Baja</v>
      </c>
      <c r="AH239" s="186">
        <f t="shared" si="595"/>
        <v>7.1999999999999995E-2</v>
      </c>
      <c r="AI239" s="188" t="str">
        <f t="shared" ca="1" si="596"/>
        <v>Moderado</v>
      </c>
      <c r="AJ239" s="186">
        <f t="shared" ref="AJ239" ca="1" si="644">IFERROR(IF(AND(Y238="Impacto",Y239="Impacto"),(AJ238-(+AJ238*AB239)),IF(Y239="Impacto",(U238-(+U238*AB239)),IF(Y239="Probabilidad",AJ238,""))),"")</f>
        <v>0.6</v>
      </c>
      <c r="AK239" s="189" t="str">
        <f t="shared" ca="1" si="598"/>
        <v>Moderado</v>
      </c>
      <c r="AL239" s="185" t="s">
        <v>255</v>
      </c>
      <c r="AM239" s="227"/>
      <c r="AN239" s="230"/>
      <c r="AO239" s="228"/>
      <c r="AP239" s="228"/>
      <c r="AQ239" s="227"/>
      <c r="AR239" s="229"/>
    </row>
    <row r="240" spans="1:44" s="191" customFormat="1" ht="180" customHeight="1" thickTop="1" thickBot="1" x14ac:dyDescent="0.3">
      <c r="A240" s="328">
        <v>91</v>
      </c>
      <c r="B240" s="329" t="s">
        <v>918</v>
      </c>
      <c r="C240" s="333" t="s">
        <v>279</v>
      </c>
      <c r="D240" s="333" t="s">
        <v>960</v>
      </c>
      <c r="E240" s="333" t="s">
        <v>240</v>
      </c>
      <c r="F240" s="351" t="s">
        <v>919</v>
      </c>
      <c r="G240" s="351" t="s">
        <v>920</v>
      </c>
      <c r="H240" s="350" t="s">
        <v>1179</v>
      </c>
      <c r="I240" s="338" t="s">
        <v>474</v>
      </c>
      <c r="J240" s="338" t="s">
        <v>474</v>
      </c>
      <c r="K240" s="338" t="s">
        <v>474</v>
      </c>
      <c r="L240" s="338" t="s">
        <v>474</v>
      </c>
      <c r="M240" s="333" t="s">
        <v>241</v>
      </c>
      <c r="N240" s="333"/>
      <c r="O240" s="339">
        <v>1</v>
      </c>
      <c r="P240" s="340" t="str">
        <f t="shared" si="631"/>
        <v>Muy Baja</v>
      </c>
      <c r="Q240" s="341">
        <f t="shared" si="632"/>
        <v>0.2</v>
      </c>
      <c r="R240" s="341" t="s">
        <v>189</v>
      </c>
      <c r="S240" s="341" t="str">
        <f ca="1">IF(NOT(ISERROR(MATCH(R240,'Tabla Impacto'!$B$221:$B$223,0))),'Tabla Impacto'!$F$223&amp;"Por favor no seleccionar los criterios de impacto(Afectación Económica o presupuestal y Pérdida Reputacional)",R240)</f>
        <v xml:space="preserve">Entre 50 y 100 SMLMV </v>
      </c>
      <c r="T240" s="340" t="str">
        <f ca="1">+IF(OR(S240='[1]Tabla Impacto'!$C$11,S240='[1]Tabla Impacto'!$D$11),"Leve",IF(OR(S240='[1]Tabla Impacto'!$C$12,S240='[1]Tabla Impacto'!$D$12),"Menor",IF(OR(S240='[1]Tabla Impacto'!$C$13,S240='[1]Tabla Impacto'!$D$13),"Moderado",IF(OR(S240='[1]Tabla Impacto'!$C$14,S240='[1]Tabla Impacto'!$D$14),"Mayor",IF(OR(S240='[1]Tabla Impacto'!$C$15,S240='[1]Tabla Impacto'!$D$15),"Catastrófico","")))))</f>
        <v>Moderado</v>
      </c>
      <c r="U240" s="341">
        <f t="shared" ref="U240" ca="1" si="645">IF(T240="","",IF(T240="Leve",0.2,IF(T240="Menor",0.4,IF(T240="Moderado",0.6,IF(T240="Mayor",0.8,IF(T240="Catastrófico",1,))))))</f>
        <v>0.6</v>
      </c>
      <c r="V240" s="327" t="str">
        <f t="shared" ref="V240" ca="1" si="646">IF(OR(AND(P240="Muy Baja",T240="Leve"),AND(P240="Muy Baja",T240="Menor"),AND(P240="Baja",T240="Leve")),"Bajo",IF(OR(AND(P240="Muy baja",T240="Moderado"),AND(P240="Baja",T240="Menor"),AND(P240="Baja",T240="Moderado"),AND(P240="Media",T240="Leve"),AND(P240="Media",T240="Menor"),AND(P240="Media",T240="Moderado"),AND(P240="Alta",T240="Leve"),AND(P240="Alta",T240="Menor")),"Moderado",IF(OR(AND(P240="Muy Baja",T240="Mayor"),AND(P240="Baja",T240="Mayor"),AND(P240="Media",T240="Mayor"),AND(P240="Alta",T240="Moderado"),AND(P240="Alta",T240="Mayor"),AND(P240="Muy Alta",T240="Leve"),AND(P240="Muy Alta",T240="Menor"),AND(P240="Muy Alta",T240="Moderado"),AND(P240="Muy Alta",T240="Mayor")),"Alto",IF(OR(AND(P240="Muy Baja",T240="Catastrófico"),AND(P240="Baja",T240="Catastrófico"),AND(P240="Media",T240="Catastrófico"),AND(P240="Alta",T240="Catastrófico"),AND(P240="Muy Alta",T240="Catastrófico")),"Extremo",""))))</f>
        <v>Moderado</v>
      </c>
      <c r="W240" s="233">
        <v>1</v>
      </c>
      <c r="X240" s="207" t="s">
        <v>1065</v>
      </c>
      <c r="Y240" s="230" t="str">
        <f t="shared" si="592"/>
        <v>Probabilidad</v>
      </c>
      <c r="Z240" s="185" t="s">
        <v>208</v>
      </c>
      <c r="AA240" s="185" t="s">
        <v>216</v>
      </c>
      <c r="AB240" s="186" t="str">
        <f t="shared" si="615"/>
        <v>40%</v>
      </c>
      <c r="AC240" s="185" t="s">
        <v>219</v>
      </c>
      <c r="AD240" s="185" t="s">
        <v>224</v>
      </c>
      <c r="AE240" s="185" t="s">
        <v>228</v>
      </c>
      <c r="AF240" s="187">
        <f t="shared" ref="AF240" si="647">IFERROR(IF(Y240="Probabilidad",(Q240-(+Q240*AB240)),IF(Y240="Impacto",Q240,"")),"")</f>
        <v>0.12</v>
      </c>
      <c r="AG240" s="188" t="str">
        <f t="shared" si="594"/>
        <v>Muy Baja</v>
      </c>
      <c r="AH240" s="186">
        <f t="shared" si="595"/>
        <v>0.12</v>
      </c>
      <c r="AI240" s="188" t="str">
        <f t="shared" ca="1" si="596"/>
        <v>Moderado</v>
      </c>
      <c r="AJ240" s="186">
        <f t="shared" ref="AJ240" ca="1" si="648">IFERROR(IF(Y240="Impacto",(U240-(+U240*AB240)),IF(Y240="Probabilidad",U240,"")),"")</f>
        <v>0.6</v>
      </c>
      <c r="AK240" s="189" t="str">
        <f t="shared" ca="1" si="598"/>
        <v>Moderado</v>
      </c>
      <c r="AL240" s="185" t="s">
        <v>255</v>
      </c>
      <c r="AM240" s="227"/>
      <c r="AN240" s="230"/>
      <c r="AO240" s="228"/>
      <c r="AP240" s="228"/>
      <c r="AQ240" s="227"/>
      <c r="AR240" s="229"/>
    </row>
    <row r="241" spans="1:44" s="191" customFormat="1" ht="237" customHeight="1" thickTop="1" thickBot="1" x14ac:dyDescent="0.3">
      <c r="A241" s="328"/>
      <c r="B241" s="329"/>
      <c r="C241" s="333"/>
      <c r="D241" s="333"/>
      <c r="E241" s="333"/>
      <c r="F241" s="351"/>
      <c r="G241" s="351"/>
      <c r="H241" s="350"/>
      <c r="I241" s="338"/>
      <c r="J241" s="338"/>
      <c r="K241" s="338"/>
      <c r="L241" s="338"/>
      <c r="M241" s="333"/>
      <c r="N241" s="333"/>
      <c r="O241" s="339"/>
      <c r="P241" s="340"/>
      <c r="Q241" s="341"/>
      <c r="R241" s="341"/>
      <c r="S241" s="341">
        <f ca="1">IF(NOT(ISERROR(MATCH(R241,_xlfn.ANCHORARRAY(H249),0))),#REF!&amp;"Por favor no seleccionar los criterios de impacto",R241)</f>
        <v>0</v>
      </c>
      <c r="T241" s="340"/>
      <c r="U241" s="341"/>
      <c r="V241" s="327"/>
      <c r="W241" s="233">
        <v>2</v>
      </c>
      <c r="X241" s="207" t="s">
        <v>921</v>
      </c>
      <c r="Y241" s="230" t="str">
        <f t="shared" si="592"/>
        <v>Probabilidad</v>
      </c>
      <c r="Z241" s="185" t="s">
        <v>208</v>
      </c>
      <c r="AA241" s="185" t="s">
        <v>216</v>
      </c>
      <c r="AB241" s="186" t="str">
        <f t="shared" si="615"/>
        <v>40%</v>
      </c>
      <c r="AC241" s="185" t="s">
        <v>219</v>
      </c>
      <c r="AD241" s="185" t="s">
        <v>224</v>
      </c>
      <c r="AE241" s="185" t="s">
        <v>228</v>
      </c>
      <c r="AF241" s="187">
        <f t="shared" ref="AF241" si="649">IFERROR(IF(AND(Y240="Probabilidad",Y241="Probabilidad"),(AH240-(+AH240*AB241)),IF(Y241="Probabilidad",(Q240-(+Q240*AB241)),IF(Y241="Impacto",AH240,""))),"")</f>
        <v>7.1999999999999995E-2</v>
      </c>
      <c r="AG241" s="188" t="str">
        <f t="shared" si="594"/>
        <v>Muy Baja</v>
      </c>
      <c r="AH241" s="186">
        <f t="shared" si="595"/>
        <v>7.1999999999999995E-2</v>
      </c>
      <c r="AI241" s="188" t="str">
        <f t="shared" ca="1" si="596"/>
        <v>Moderado</v>
      </c>
      <c r="AJ241" s="186">
        <f t="shared" ref="AJ241" ca="1" si="650">IFERROR(IF(AND(Y240="Impacto",Y241="Impacto"),(AJ240-(+AJ240*AB241)),IF(Y241="Impacto",(U240-(+U240*AB241)),IF(Y241="Probabilidad",AJ240,""))),"")</f>
        <v>0.6</v>
      </c>
      <c r="AK241" s="189" t="str">
        <f t="shared" ca="1" si="598"/>
        <v>Moderado</v>
      </c>
      <c r="AL241" s="185" t="s">
        <v>255</v>
      </c>
      <c r="AM241" s="227"/>
      <c r="AN241" s="230"/>
      <c r="AO241" s="228"/>
      <c r="AP241" s="228"/>
      <c r="AQ241" s="227"/>
      <c r="AR241" s="229"/>
    </row>
    <row r="242" spans="1:44" s="191" customFormat="1" ht="285.75" customHeight="1" thickTop="1" thickBot="1" x14ac:dyDescent="0.3">
      <c r="A242" s="226">
        <v>92</v>
      </c>
      <c r="B242" s="249" t="s">
        <v>922</v>
      </c>
      <c r="C242" s="227" t="s">
        <v>279</v>
      </c>
      <c r="D242" s="244" t="s">
        <v>960</v>
      </c>
      <c r="E242" s="227" t="s">
        <v>240</v>
      </c>
      <c r="F242" s="234" t="s">
        <v>923</v>
      </c>
      <c r="G242" s="234" t="s">
        <v>924</v>
      </c>
      <c r="H242" s="251" t="s">
        <v>1180</v>
      </c>
      <c r="I242" s="231" t="s">
        <v>474</v>
      </c>
      <c r="J242" s="231" t="s">
        <v>474</v>
      </c>
      <c r="K242" s="231" t="s">
        <v>474</v>
      </c>
      <c r="L242" s="231" t="s">
        <v>474</v>
      </c>
      <c r="M242" s="227" t="s">
        <v>239</v>
      </c>
      <c r="N242" s="227"/>
      <c r="O242" s="230">
        <v>365</v>
      </c>
      <c r="P242" s="232" t="str">
        <f t="shared" si="631"/>
        <v>Media</v>
      </c>
      <c r="Q242" s="225">
        <f t="shared" si="632"/>
        <v>0.6</v>
      </c>
      <c r="R242" s="225" t="s">
        <v>189</v>
      </c>
      <c r="S242" s="225" t="str">
        <f ca="1">IF(NOT(ISERROR(MATCH(R242,'Tabla Impacto'!$B$221:$B$223,0))),'Tabla Impacto'!$F$223&amp;"Por favor no seleccionar los criterios de impacto(Afectación Económica o presupuestal y Pérdida Reputacional)",R242)</f>
        <v xml:space="preserve">Entre 50 y 100 SMLMV </v>
      </c>
      <c r="T242" s="232" t="str">
        <f ca="1">+IF(OR(S242='[1]Tabla Impacto'!$C$11,S242='[1]Tabla Impacto'!$D$11),"Leve",IF(OR(S242='[1]Tabla Impacto'!$C$12,S242='[1]Tabla Impacto'!$D$12),"Menor",IF(OR(S242='[1]Tabla Impacto'!$C$13,S242='[1]Tabla Impacto'!$D$13),"Moderado",IF(OR(S242='[1]Tabla Impacto'!$C$14,S242='[1]Tabla Impacto'!$D$14),"Mayor",IF(OR(S242='[1]Tabla Impacto'!$C$15,S242='[1]Tabla Impacto'!$D$15),"Catastrófico","")))))</f>
        <v>Moderado</v>
      </c>
      <c r="U242" s="225">
        <f t="shared" ref="U242" ca="1" si="651">IF(T242="","",IF(T242="Leve",0.2,IF(T242="Menor",0.4,IF(T242="Moderado",0.6,IF(T242="Mayor",0.8,IF(T242="Catastrófico",1,))))))</f>
        <v>0.6</v>
      </c>
      <c r="V242" s="233" t="str">
        <f t="shared" ref="V242" ca="1" si="652">IF(OR(AND(P242="Muy Baja",T242="Leve"),AND(P242="Muy Baja",T242="Menor"),AND(P242="Baja",T242="Leve")),"Bajo",IF(OR(AND(P242="Muy baja",T242="Moderado"),AND(P242="Baja",T242="Menor"),AND(P242="Baja",T242="Moderado"),AND(P242="Media",T242="Leve"),AND(P242="Media",T242="Menor"),AND(P242="Media",T242="Moderado"),AND(P242="Alta",T242="Leve"),AND(P242="Alta",T242="Menor")),"Moderado",IF(OR(AND(P242="Muy Baja",T242="Mayor"),AND(P242="Baja",T242="Mayor"),AND(P242="Media",T242="Mayor"),AND(P242="Alta",T242="Moderado"),AND(P242="Alta",T242="Mayor"),AND(P242="Muy Alta",T242="Leve"),AND(P242="Muy Alta",T242="Menor"),AND(P242="Muy Alta",T242="Moderado"),AND(P242="Muy Alta",T242="Mayor")),"Alto",IF(OR(AND(P242="Muy Baja",T242="Catastrófico"),AND(P242="Baja",T242="Catastrófico"),AND(P242="Media",T242="Catastrófico"),AND(P242="Alta",T242="Catastrófico"),AND(P242="Muy Alta",T242="Catastrófico")),"Extremo",""))))</f>
        <v>Moderado</v>
      </c>
      <c r="W242" s="233">
        <v>1</v>
      </c>
      <c r="X242" s="207" t="s">
        <v>1066</v>
      </c>
      <c r="Y242" s="230" t="str">
        <f t="shared" si="592"/>
        <v>Probabilidad</v>
      </c>
      <c r="Z242" s="185" t="s">
        <v>208</v>
      </c>
      <c r="AA242" s="185" t="s">
        <v>216</v>
      </c>
      <c r="AB242" s="186" t="str">
        <f t="shared" si="615"/>
        <v>40%</v>
      </c>
      <c r="AC242" s="185" t="s">
        <v>219</v>
      </c>
      <c r="AD242" s="185" t="s">
        <v>224</v>
      </c>
      <c r="AE242" s="185" t="s">
        <v>228</v>
      </c>
      <c r="AF242" s="187">
        <f t="shared" ref="AF242" si="653">IFERROR(IF(Y242="Probabilidad",(Q242-(+Q242*AB242)),IF(Y242="Impacto",Q242,"")),"")</f>
        <v>0.36</v>
      </c>
      <c r="AG242" s="188" t="str">
        <f t="shared" si="594"/>
        <v>Baja</v>
      </c>
      <c r="AH242" s="186">
        <f t="shared" si="595"/>
        <v>0.36</v>
      </c>
      <c r="AI242" s="188" t="str">
        <f t="shared" ca="1" si="596"/>
        <v>Moderado</v>
      </c>
      <c r="AJ242" s="186">
        <f t="shared" ref="AJ242" ca="1" si="654">IFERROR(IF(Y242="Impacto",(U242-(+U242*AB242)),IF(Y242="Probabilidad",U242,"")),"")</f>
        <v>0.6</v>
      </c>
      <c r="AK242" s="189" t="str">
        <f t="shared" ca="1" si="598"/>
        <v>Moderado</v>
      </c>
      <c r="AL242" s="185" t="s">
        <v>255</v>
      </c>
      <c r="AM242" s="227"/>
      <c r="AN242" s="230"/>
      <c r="AO242" s="228"/>
      <c r="AP242" s="228"/>
      <c r="AQ242" s="227"/>
      <c r="AR242" s="229"/>
    </row>
    <row r="243" spans="1:44" s="191" customFormat="1" ht="216.75" customHeight="1" thickTop="1" thickBot="1" x14ac:dyDescent="0.3">
      <c r="A243" s="328">
        <v>93</v>
      </c>
      <c r="B243" s="329" t="s">
        <v>959</v>
      </c>
      <c r="C243" s="330" t="s">
        <v>279</v>
      </c>
      <c r="D243" s="344" t="s">
        <v>960</v>
      </c>
      <c r="E243" s="344" t="s">
        <v>240</v>
      </c>
      <c r="F243" s="342" t="s">
        <v>775</v>
      </c>
      <c r="G243" s="342" t="s">
        <v>776</v>
      </c>
      <c r="H243" s="342" t="s">
        <v>1181</v>
      </c>
      <c r="I243" s="343" t="s">
        <v>474</v>
      </c>
      <c r="J243" s="343" t="s">
        <v>474</v>
      </c>
      <c r="K243" s="343" t="s">
        <v>474</v>
      </c>
      <c r="L243" s="343" t="s">
        <v>474</v>
      </c>
      <c r="M243" s="344" t="s">
        <v>239</v>
      </c>
      <c r="N243" s="344"/>
      <c r="O243" s="345">
        <v>365</v>
      </c>
      <c r="P243" s="346" t="str">
        <f t="shared" ref="P243" si="655">IF(O243&lt;=0,"",IF(O243&lt;=2,"Muy Baja",IF(O243&lt;=24,"Baja",IF(O243&lt;=500,"Media",IF(O243&lt;=5000,"Alta","Muy Alta")))))</f>
        <v>Media</v>
      </c>
      <c r="Q243" s="347">
        <f t="shared" ref="Q243" si="656">IF(P243="","",IF(P243="Muy Baja",0.2,IF(P243="Baja",0.4,IF(P243="Media",0.6,IF(P243="Alta",0.8,IF(P243="Muy Alta",1,))))))</f>
        <v>0.6</v>
      </c>
      <c r="R243" s="347" t="s">
        <v>190</v>
      </c>
      <c r="S243" s="347" t="str">
        <f ca="1">IF(NOT(ISERROR(MATCH(R243,'Tabla Impacto'!$B$221:$B$223,0))),'Tabla Impacto'!$F$223&amp;"Por favor no seleccionar los criterios de impacto(Afectación Económica o presupuestal y Pérdida Reputacional)",R243)</f>
        <v>El riesgo afecta la imagen de la entidad con algunos usuarios de relevancia frente al logro de los objetivos</v>
      </c>
      <c r="T243" s="346" t="str">
        <f ca="1">+IF(OR(S243='[1]Tabla Impacto'!$C$11,S243='[1]Tabla Impacto'!$D$11),"Leve",IF(OR(S243='[1]Tabla Impacto'!$C$12,S243='[1]Tabla Impacto'!$D$12),"Menor",IF(OR(S243='[1]Tabla Impacto'!$C$13,S243='[1]Tabla Impacto'!$D$13),"Moderado",IF(OR(S243='[1]Tabla Impacto'!$C$14,S243='[1]Tabla Impacto'!$D$14),"Mayor",IF(OR(S243='[1]Tabla Impacto'!$C$15,S243='[1]Tabla Impacto'!$D$15),"Catastrófico","")))))</f>
        <v>Moderado</v>
      </c>
      <c r="U243" s="347">
        <f t="shared" ref="U243" ca="1" si="657">IF(T243="","",IF(T243="Leve",0.2,IF(T243="Menor",0.4,IF(T243="Moderado",0.6,IF(T243="Mayor",0.8,IF(T243="Catastrófico",1,))))))</f>
        <v>0.6</v>
      </c>
      <c r="V243" s="348" t="str">
        <f t="shared" ref="V243" ca="1" si="658">IF(OR(AND(P243="Muy Baja",T243="Leve"),AND(P243="Muy Baja",T243="Menor"),AND(P243="Baja",T243="Leve")),"Bajo",IF(OR(AND(P243="Muy baja",T243="Moderado"),AND(P243="Baja",T243="Menor"),AND(P243="Baja",T243="Moderado"),AND(P243="Media",T243="Leve"),AND(P243="Media",T243="Menor"),AND(P243="Media",T243="Moderado"),AND(P243="Alta",T243="Leve"),AND(P243="Alta",T243="Menor")),"Moderado",IF(OR(AND(P243="Muy Baja",T243="Mayor"),AND(P243="Baja",T243="Mayor"),AND(P243="Media",T243="Mayor"),AND(P243="Alta",T243="Moderado"),AND(P243="Alta",T243="Mayor"),AND(P243="Muy Alta",T243="Leve"),AND(P243="Muy Alta",T243="Menor"),AND(P243="Muy Alta",T243="Moderado"),AND(P243="Muy Alta",T243="Mayor")),"Alto",IF(OR(AND(P243="Muy Baja",T243="Catastrófico"),AND(P243="Baja",T243="Catastrófico"),AND(P243="Media",T243="Catastrófico"),AND(P243="Alta",T243="Catastrófico"),AND(P243="Muy Alta",T243="Catastrófico")),"Extremo",""))))</f>
        <v>Moderado</v>
      </c>
      <c r="W243" s="241">
        <v>1</v>
      </c>
      <c r="X243" s="213" t="s">
        <v>1050</v>
      </c>
      <c r="Y243" s="242" t="str">
        <f t="shared" si="592"/>
        <v>Probabilidad</v>
      </c>
      <c r="Z243" s="192" t="s">
        <v>208</v>
      </c>
      <c r="AA243" s="192" t="s">
        <v>216</v>
      </c>
      <c r="AB243" s="193" t="str">
        <f t="shared" ref="AB243:AB245" si="659">IF(AND(Z243="Preventivo",AA243="Automático"),"50%",IF(AND(Z243="Preventivo",AA243="Manual"),"40%",IF(AND(Z243="Detectivo",AA243="Automático"),"40%",IF(AND(Z243="Detectivo",AA243="Manual"),"30%",IF(AND(Z243="Correctivo",AA243="Automático"),"35%",IF(AND(Z243="Correctivo",AA243="Manual"),"25%",""))))))</f>
        <v>40%</v>
      </c>
      <c r="AC243" s="192" t="s">
        <v>219</v>
      </c>
      <c r="AD243" s="192" t="s">
        <v>224</v>
      </c>
      <c r="AE243" s="192" t="s">
        <v>228</v>
      </c>
      <c r="AF243" s="194">
        <f t="shared" ref="AF243" si="660">IFERROR(IF(Y243="Probabilidad",(Q243-(+Q243*AB243)),IF(Y243="Impacto",Q243,"")),"")</f>
        <v>0.36</v>
      </c>
      <c r="AG243" s="195" t="str">
        <f t="shared" si="594"/>
        <v>Baja</v>
      </c>
      <c r="AH243" s="193">
        <f t="shared" si="595"/>
        <v>0.36</v>
      </c>
      <c r="AI243" s="195" t="str">
        <f t="shared" ca="1" si="596"/>
        <v>Moderado</v>
      </c>
      <c r="AJ243" s="193">
        <f t="shared" ref="AJ243" ca="1" si="661">IFERROR(IF(Y243="Impacto",(U243-(+U243*AB243)),IF(Y243="Probabilidad",U243,"")),"")</f>
        <v>0.6</v>
      </c>
      <c r="AK243" s="196" t="str">
        <f t="shared" ca="1" si="598"/>
        <v>Moderado</v>
      </c>
      <c r="AL243" s="192" t="s">
        <v>255</v>
      </c>
      <c r="AM243" s="227"/>
      <c r="AN243" s="230"/>
      <c r="AO243" s="228"/>
      <c r="AP243" s="228"/>
      <c r="AQ243" s="227"/>
      <c r="AR243" s="229"/>
    </row>
    <row r="244" spans="1:44" s="191" customFormat="1" ht="296.25" customHeight="1" thickTop="1" thickBot="1" x14ac:dyDescent="0.3">
      <c r="A244" s="328"/>
      <c r="B244" s="329"/>
      <c r="C244" s="331"/>
      <c r="D244" s="344"/>
      <c r="E244" s="344"/>
      <c r="F244" s="342"/>
      <c r="G244" s="342"/>
      <c r="H244" s="342"/>
      <c r="I244" s="343"/>
      <c r="J244" s="343"/>
      <c r="K244" s="343"/>
      <c r="L244" s="343"/>
      <c r="M244" s="344"/>
      <c r="N244" s="344"/>
      <c r="O244" s="345"/>
      <c r="P244" s="346"/>
      <c r="Q244" s="347"/>
      <c r="R244" s="347"/>
      <c r="S244" s="347">
        <f ca="1">IF(NOT(ISERROR(MATCH(R244,_xlfn.ANCHORARRAY(H250),0))),#REF!&amp;"Por favor no seleccionar los criterios de impacto",R244)</f>
        <v>0</v>
      </c>
      <c r="T244" s="346"/>
      <c r="U244" s="347"/>
      <c r="V244" s="348"/>
      <c r="W244" s="241">
        <v>2</v>
      </c>
      <c r="X244" s="213" t="s">
        <v>777</v>
      </c>
      <c r="Y244" s="242" t="str">
        <f t="shared" si="592"/>
        <v>Probabilidad</v>
      </c>
      <c r="Z244" s="192" t="s">
        <v>208</v>
      </c>
      <c r="AA244" s="192" t="s">
        <v>216</v>
      </c>
      <c r="AB244" s="193" t="str">
        <f t="shared" si="659"/>
        <v>40%</v>
      </c>
      <c r="AC244" s="192" t="s">
        <v>219</v>
      </c>
      <c r="AD244" s="192" t="s">
        <v>224</v>
      </c>
      <c r="AE244" s="192" t="s">
        <v>228</v>
      </c>
      <c r="AF244" s="194">
        <f t="shared" ref="AF244:AF245" si="662">IFERROR(IF(AND(Y243="Probabilidad",Y244="Probabilidad"),(AH243-(+AH243*AB244)),IF(Y244="Probabilidad",(Q243-(+Q243*AB244)),IF(Y244="Impacto",AH243,""))),"")</f>
        <v>0.216</v>
      </c>
      <c r="AG244" s="195" t="str">
        <f t="shared" si="594"/>
        <v>Baja</v>
      </c>
      <c r="AH244" s="193">
        <f t="shared" si="595"/>
        <v>0.216</v>
      </c>
      <c r="AI244" s="195" t="str">
        <f t="shared" ca="1" si="596"/>
        <v>Moderado</v>
      </c>
      <c r="AJ244" s="193">
        <f t="shared" ref="AJ244" ca="1" si="663">IFERROR(IF(AND(Y243="Impacto",Y244="Impacto"),(AJ243-(+AJ243*AB244)),IF(Y244="Impacto",(U243-(+U243*AB244)),IF(Y244="Probabilidad",AJ243,""))),"")</f>
        <v>0.6</v>
      </c>
      <c r="AK244" s="196" t="str">
        <f t="shared" ca="1" si="598"/>
        <v>Moderado</v>
      </c>
      <c r="AL244" s="192" t="s">
        <v>255</v>
      </c>
      <c r="AM244" s="227"/>
      <c r="AN244" s="230"/>
      <c r="AO244" s="228"/>
      <c r="AP244" s="228"/>
      <c r="AQ244" s="227"/>
      <c r="AR244" s="229"/>
    </row>
    <row r="245" spans="1:44" s="191" customFormat="1" ht="261" customHeight="1" thickTop="1" thickBot="1" x14ac:dyDescent="0.3">
      <c r="A245" s="328"/>
      <c r="B245" s="329"/>
      <c r="C245" s="332"/>
      <c r="D245" s="344"/>
      <c r="E245" s="344"/>
      <c r="F245" s="342"/>
      <c r="G245" s="342"/>
      <c r="H245" s="342"/>
      <c r="I245" s="343"/>
      <c r="J245" s="343"/>
      <c r="K245" s="343"/>
      <c r="L245" s="343"/>
      <c r="M245" s="344"/>
      <c r="N245" s="344"/>
      <c r="O245" s="345"/>
      <c r="P245" s="346"/>
      <c r="Q245" s="347"/>
      <c r="R245" s="347"/>
      <c r="S245" s="347">
        <f ca="1">IF(NOT(ISERROR(MATCH(R245,_xlfn.ANCHORARRAY(H251),0))),#REF!&amp;"Por favor no seleccionar los criterios de impacto",R245)</f>
        <v>0</v>
      </c>
      <c r="T245" s="346"/>
      <c r="U245" s="347"/>
      <c r="V245" s="348"/>
      <c r="W245" s="241">
        <v>3</v>
      </c>
      <c r="X245" s="213" t="s">
        <v>1067</v>
      </c>
      <c r="Y245" s="242" t="str">
        <f t="shared" si="592"/>
        <v>Probabilidad</v>
      </c>
      <c r="Z245" s="192" t="s">
        <v>208</v>
      </c>
      <c r="AA245" s="192" t="s">
        <v>216</v>
      </c>
      <c r="AB245" s="193" t="str">
        <f t="shared" si="659"/>
        <v>40%</v>
      </c>
      <c r="AC245" s="192" t="s">
        <v>222</v>
      </c>
      <c r="AD245" s="192" t="s">
        <v>224</v>
      </c>
      <c r="AE245" s="192" t="s">
        <v>228</v>
      </c>
      <c r="AF245" s="194">
        <f t="shared" si="662"/>
        <v>0.12959999999999999</v>
      </c>
      <c r="AG245" s="195" t="str">
        <f t="shared" si="594"/>
        <v>Muy Baja</v>
      </c>
      <c r="AH245" s="193">
        <f t="shared" si="595"/>
        <v>0.12959999999999999</v>
      </c>
      <c r="AI245" s="195" t="str">
        <f t="shared" ca="1" si="596"/>
        <v>Moderado</v>
      </c>
      <c r="AJ245" s="193">
        <f t="shared" ref="AJ245" ca="1" si="664">IFERROR(IF(AND(Y244="Impacto",Y245="Impacto"),(AJ244-(+AJ244*AB245)),IF(AND(Y244="Probabilidad",Y245="Impacto"),(AJ243-(+AJ243*AB245)),IF(Y245="Probabilidad",AJ244,""))),"")</f>
        <v>0.6</v>
      </c>
      <c r="AK245" s="196" t="str">
        <f t="shared" ca="1" si="598"/>
        <v>Moderado</v>
      </c>
      <c r="AL245" s="192" t="s">
        <v>255</v>
      </c>
      <c r="AM245" s="227"/>
      <c r="AN245" s="230"/>
      <c r="AO245" s="228"/>
      <c r="AP245" s="228"/>
      <c r="AQ245" s="227"/>
      <c r="AR245" s="229"/>
    </row>
    <row r="246" spans="1:44" s="191" customFormat="1" ht="146.25" customHeight="1" thickTop="1" thickBot="1" x14ac:dyDescent="0.3">
      <c r="A246" s="328">
        <v>94</v>
      </c>
      <c r="B246" s="329" t="s">
        <v>961</v>
      </c>
      <c r="C246" s="330" t="s">
        <v>279</v>
      </c>
      <c r="D246" s="333" t="s">
        <v>960</v>
      </c>
      <c r="E246" s="335" t="s">
        <v>240</v>
      </c>
      <c r="F246" s="336" t="s">
        <v>1101</v>
      </c>
      <c r="G246" s="336" t="s">
        <v>778</v>
      </c>
      <c r="H246" s="337" t="s">
        <v>1182</v>
      </c>
      <c r="I246" s="338" t="s">
        <v>474</v>
      </c>
      <c r="J246" s="338" t="s">
        <v>474</v>
      </c>
      <c r="K246" s="338" t="s">
        <v>474</v>
      </c>
      <c r="L246" s="338" t="s">
        <v>474</v>
      </c>
      <c r="M246" s="333" t="s">
        <v>239</v>
      </c>
      <c r="N246" s="333"/>
      <c r="O246" s="339">
        <v>365</v>
      </c>
      <c r="P246" s="340" t="str">
        <f t="shared" ref="P246" si="665">IF(O246&lt;=0,"",IF(O246&lt;=2,"Muy Baja",IF(O246&lt;=24,"Baja",IF(O246&lt;=500,"Media",IF(O246&lt;=5000,"Alta","Muy Alta")))))</f>
        <v>Media</v>
      </c>
      <c r="Q246" s="341">
        <f t="shared" ref="Q246" si="666">IF(P246="","",IF(P246="Muy Baja",0.2,IF(P246="Baja",0.4,IF(P246="Media",0.6,IF(P246="Alta",0.8,IF(P246="Muy Alta",1,))))))</f>
        <v>0.6</v>
      </c>
      <c r="R246" s="341" t="s">
        <v>190</v>
      </c>
      <c r="S246" s="341" t="str">
        <f ca="1">IF(NOT(ISERROR(MATCH(R246,'Tabla Impacto'!$B$221:$B$223,0))),'Tabla Impacto'!$F$223&amp;"Por favor no seleccionar los criterios de impacto(Afectación Económica o presupuestal y Pérdida Reputacional)",R246)</f>
        <v>El riesgo afecta la imagen de la entidad con algunos usuarios de relevancia frente al logro de los objetivos</v>
      </c>
      <c r="T246" s="340" t="str">
        <f ca="1">+IF(OR(S246='[1]Tabla Impacto'!$C$11,S246='[1]Tabla Impacto'!$D$11),"Leve",IF(OR(S246='[1]Tabla Impacto'!$C$12,S246='[1]Tabla Impacto'!$D$12),"Menor",IF(OR(S246='[1]Tabla Impacto'!$C$13,S246='[1]Tabla Impacto'!$D$13),"Moderado",IF(OR(S246='[1]Tabla Impacto'!$C$14,S246='[1]Tabla Impacto'!$D$14),"Mayor",IF(OR(S246='[1]Tabla Impacto'!$C$15,S246='[1]Tabla Impacto'!$D$15),"Catastrófico","")))))</f>
        <v>Moderado</v>
      </c>
      <c r="U246" s="341">
        <f t="shared" ref="U246" ca="1" si="667">IF(T246="","",IF(T246="Leve",0.2,IF(T246="Menor",0.4,IF(T246="Moderado",0.6,IF(T246="Mayor",0.8,IF(T246="Catastrófico",1,))))))</f>
        <v>0.6</v>
      </c>
      <c r="V246" s="327" t="str">
        <f t="shared" ref="V246" ca="1" si="668">IF(OR(AND(P246="Muy Baja",T246="Leve"),AND(P246="Muy Baja",T246="Menor"),AND(P246="Baja",T246="Leve")),"Bajo",IF(OR(AND(P246="Muy baja",T246="Moderado"),AND(P246="Baja",T246="Menor"),AND(P246="Baja",T246="Moderado"),AND(P246="Media",T246="Leve"),AND(P246="Media",T246="Menor"),AND(P246="Media",T246="Moderado"),AND(P246="Alta",T246="Leve"),AND(P246="Alta",T246="Menor")),"Moderado",IF(OR(AND(P246="Muy Baja",T246="Mayor"),AND(P246="Baja",T246="Mayor"),AND(P246="Media",T246="Mayor"),AND(P246="Alta",T246="Moderado"),AND(P246="Alta",T246="Mayor"),AND(P246="Muy Alta",T246="Leve"),AND(P246="Muy Alta",T246="Menor"),AND(P246="Muy Alta",T246="Moderado"),AND(P246="Muy Alta",T246="Mayor")),"Alto",IF(OR(AND(P246="Muy Baja",T246="Catastrófico"),AND(P246="Baja",T246="Catastrófico"),AND(P246="Media",T246="Catastrófico"),AND(P246="Alta",T246="Catastrófico"),AND(P246="Muy Alta",T246="Catastrófico")),"Extremo",""))))</f>
        <v>Moderado</v>
      </c>
      <c r="W246" s="233">
        <v>1</v>
      </c>
      <c r="X246" s="207" t="s">
        <v>779</v>
      </c>
      <c r="Y246" s="230" t="str">
        <f t="shared" si="592"/>
        <v>Probabilidad</v>
      </c>
      <c r="Z246" s="185" t="s">
        <v>208</v>
      </c>
      <c r="AA246" s="185" t="s">
        <v>216</v>
      </c>
      <c r="AB246" s="186" t="str">
        <f t="shared" ref="AB246:AB248" si="669">IF(AND(Z246="Preventivo",AA246="Automático"),"50%",IF(AND(Z246="Preventivo",AA246="Manual"),"40%",IF(AND(Z246="Detectivo",AA246="Automático"),"40%",IF(AND(Z246="Detectivo",AA246="Manual"),"30%",IF(AND(Z246="Correctivo",AA246="Automático"),"35%",IF(AND(Z246="Correctivo",AA246="Manual"),"25%",""))))))</f>
        <v>40%</v>
      </c>
      <c r="AC246" s="185" t="s">
        <v>222</v>
      </c>
      <c r="AD246" s="185" t="s">
        <v>224</v>
      </c>
      <c r="AE246" s="185" t="s">
        <v>228</v>
      </c>
      <c r="AF246" s="187">
        <f t="shared" ref="AF246" si="670">IFERROR(IF(Y246="Probabilidad",(Q246-(+Q246*AB246)),IF(Y246="Impacto",Q246,"")),"")</f>
        <v>0.36</v>
      </c>
      <c r="AG246" s="188" t="str">
        <f t="shared" si="594"/>
        <v>Baja</v>
      </c>
      <c r="AH246" s="186">
        <f t="shared" si="595"/>
        <v>0.36</v>
      </c>
      <c r="AI246" s="188" t="str">
        <f t="shared" ca="1" si="596"/>
        <v>Moderado</v>
      </c>
      <c r="AJ246" s="186">
        <f t="shared" ref="AJ246" ca="1" si="671">IFERROR(IF(Y246="Impacto",(U246-(+U246*AB246)),IF(Y246="Probabilidad",U246,"")),"")</f>
        <v>0.6</v>
      </c>
      <c r="AK246" s="189" t="str">
        <f t="shared" ca="1" si="598"/>
        <v>Moderado</v>
      </c>
      <c r="AL246" s="185" t="s">
        <v>255</v>
      </c>
      <c r="AM246" s="227"/>
      <c r="AN246" s="230"/>
      <c r="AO246" s="228"/>
      <c r="AP246" s="228"/>
      <c r="AQ246" s="227"/>
      <c r="AR246" s="229"/>
    </row>
    <row r="247" spans="1:44" s="191" customFormat="1" ht="161.25" customHeight="1" thickTop="1" thickBot="1" x14ac:dyDescent="0.3">
      <c r="A247" s="328"/>
      <c r="B247" s="329"/>
      <c r="C247" s="331"/>
      <c r="D247" s="333"/>
      <c r="E247" s="335"/>
      <c r="F247" s="336"/>
      <c r="G247" s="336"/>
      <c r="H247" s="337"/>
      <c r="I247" s="338"/>
      <c r="J247" s="338"/>
      <c r="K247" s="338"/>
      <c r="L247" s="338"/>
      <c r="M247" s="333"/>
      <c r="N247" s="333"/>
      <c r="O247" s="339"/>
      <c r="P247" s="340"/>
      <c r="Q247" s="341"/>
      <c r="R247" s="341"/>
      <c r="S247" s="341">
        <f ca="1">IF(NOT(ISERROR(MATCH(R247,_xlfn.ANCHORARRAY(H250),0))),#REF!&amp;"Por favor no seleccionar los criterios de impacto",R247)</f>
        <v>0</v>
      </c>
      <c r="T247" s="340"/>
      <c r="U247" s="341"/>
      <c r="V247" s="327"/>
      <c r="W247" s="233">
        <v>2</v>
      </c>
      <c r="X247" s="207" t="s">
        <v>780</v>
      </c>
      <c r="Y247" s="230" t="str">
        <f t="shared" si="592"/>
        <v>Probabilidad</v>
      </c>
      <c r="Z247" s="185" t="s">
        <v>208</v>
      </c>
      <c r="AA247" s="185" t="s">
        <v>216</v>
      </c>
      <c r="AB247" s="186" t="str">
        <f t="shared" si="669"/>
        <v>40%</v>
      </c>
      <c r="AC247" s="185" t="s">
        <v>219</v>
      </c>
      <c r="AD247" s="185" t="s">
        <v>224</v>
      </c>
      <c r="AE247" s="185" t="s">
        <v>228</v>
      </c>
      <c r="AF247" s="187">
        <f t="shared" ref="AF247:AF248" si="672">IFERROR(IF(AND(Y246="Probabilidad",Y247="Probabilidad"),(AH246-(+AH246*AB247)),IF(Y247="Probabilidad",(Q246-(+Q246*AB247)),IF(Y247="Impacto",AH246,""))),"")</f>
        <v>0.216</v>
      </c>
      <c r="AG247" s="188" t="str">
        <f t="shared" si="594"/>
        <v>Baja</v>
      </c>
      <c r="AH247" s="186">
        <f t="shared" si="595"/>
        <v>0.216</v>
      </c>
      <c r="AI247" s="188" t="str">
        <f t="shared" ca="1" si="596"/>
        <v>Moderado</v>
      </c>
      <c r="AJ247" s="186">
        <f t="shared" ref="AJ247" ca="1" si="673">IFERROR(IF(AND(Y246="Impacto",Y247="Impacto"),(AJ246-(+AJ246*AB247)),IF(Y247="Impacto",(U246-(+U246*AB247)),IF(Y247="Probabilidad",AJ246,""))),"")</f>
        <v>0.6</v>
      </c>
      <c r="AK247" s="189" t="str">
        <f t="shared" ca="1" si="598"/>
        <v>Moderado</v>
      </c>
      <c r="AL247" s="185" t="s">
        <v>255</v>
      </c>
      <c r="AM247" s="227"/>
      <c r="AN247" s="230"/>
      <c r="AO247" s="228"/>
      <c r="AP247" s="228"/>
      <c r="AQ247" s="227"/>
      <c r="AR247" s="229"/>
    </row>
    <row r="248" spans="1:44" s="191" customFormat="1" ht="161.25" customHeight="1" thickTop="1" thickBot="1" x14ac:dyDescent="0.3">
      <c r="A248" s="328"/>
      <c r="B248" s="329"/>
      <c r="C248" s="332"/>
      <c r="D248" s="333"/>
      <c r="E248" s="335"/>
      <c r="F248" s="336"/>
      <c r="G248" s="336"/>
      <c r="H248" s="337"/>
      <c r="I248" s="338"/>
      <c r="J248" s="338"/>
      <c r="K248" s="338"/>
      <c r="L248" s="338"/>
      <c r="M248" s="333"/>
      <c r="N248" s="333"/>
      <c r="O248" s="339"/>
      <c r="P248" s="340"/>
      <c r="Q248" s="341"/>
      <c r="R248" s="341"/>
      <c r="S248" s="341">
        <f ca="1">IF(NOT(ISERROR(MATCH(R248,_xlfn.ANCHORARRAY(H251),0))),#REF!&amp;"Por favor no seleccionar los criterios de impacto",R248)</f>
        <v>0</v>
      </c>
      <c r="T248" s="340"/>
      <c r="U248" s="341"/>
      <c r="V248" s="327"/>
      <c r="W248" s="233">
        <v>3</v>
      </c>
      <c r="X248" s="207" t="s">
        <v>781</v>
      </c>
      <c r="Y248" s="230" t="str">
        <f t="shared" si="592"/>
        <v>Impacto</v>
      </c>
      <c r="Z248" s="185" t="s">
        <v>212</v>
      </c>
      <c r="AA248" s="185" t="s">
        <v>216</v>
      </c>
      <c r="AB248" s="186" t="str">
        <f t="shared" si="669"/>
        <v>25%</v>
      </c>
      <c r="AC248" s="185" t="s">
        <v>222</v>
      </c>
      <c r="AD248" s="185" t="s">
        <v>224</v>
      </c>
      <c r="AE248" s="185" t="s">
        <v>228</v>
      </c>
      <c r="AF248" s="187">
        <f t="shared" si="672"/>
        <v>0.216</v>
      </c>
      <c r="AG248" s="188" t="str">
        <f t="shared" si="594"/>
        <v>Baja</v>
      </c>
      <c r="AH248" s="186">
        <f t="shared" si="595"/>
        <v>0.216</v>
      </c>
      <c r="AI248" s="188" t="str">
        <f t="shared" ca="1" si="596"/>
        <v>Moderado</v>
      </c>
      <c r="AJ248" s="186">
        <f t="shared" ref="AJ248" ca="1" si="674">IFERROR(IF(AND(Y247="Impacto",Y248="Impacto"),(AJ247-(+AJ247*AB248)),IF(AND(Y247="Probabilidad",Y248="Impacto"),(AJ246-(+AJ246*AB248)),IF(Y248="Probabilidad",AJ247,""))),"")</f>
        <v>0.44999999999999996</v>
      </c>
      <c r="AK248" s="189" t="str">
        <f t="shared" ca="1" si="598"/>
        <v>Moderado</v>
      </c>
      <c r="AL248" s="185" t="s">
        <v>255</v>
      </c>
      <c r="AM248" s="227"/>
      <c r="AN248" s="230"/>
      <c r="AO248" s="228"/>
      <c r="AP248" s="228"/>
      <c r="AQ248" s="227"/>
      <c r="AR248" s="229"/>
    </row>
    <row r="249" spans="1:44" s="191" customFormat="1" ht="276.75" customHeight="1" thickTop="1" thickBot="1" x14ac:dyDescent="0.3">
      <c r="A249" s="226">
        <v>95</v>
      </c>
      <c r="B249" s="249" t="s">
        <v>925</v>
      </c>
      <c r="C249" s="227" t="s">
        <v>280</v>
      </c>
      <c r="D249" s="244" t="s">
        <v>926</v>
      </c>
      <c r="E249" s="227" t="s">
        <v>238</v>
      </c>
      <c r="F249" s="234" t="s">
        <v>927</v>
      </c>
      <c r="G249" s="234" t="s">
        <v>928</v>
      </c>
      <c r="H249" s="251" t="s">
        <v>1183</v>
      </c>
      <c r="I249" s="231" t="s">
        <v>474</v>
      </c>
      <c r="J249" s="231" t="s">
        <v>474</v>
      </c>
      <c r="K249" s="231" t="s">
        <v>474</v>
      </c>
      <c r="L249" s="231" t="s">
        <v>474</v>
      </c>
      <c r="M249" s="227" t="s">
        <v>239</v>
      </c>
      <c r="N249" s="227"/>
      <c r="O249" s="230">
        <v>1</v>
      </c>
      <c r="P249" s="232" t="str">
        <f t="shared" si="631"/>
        <v>Muy Baja</v>
      </c>
      <c r="Q249" s="225">
        <f t="shared" si="632"/>
        <v>0.2</v>
      </c>
      <c r="R249" s="225" t="s">
        <v>187</v>
      </c>
      <c r="S249" s="225" t="str">
        <f ca="1">IF(NOT(ISERROR(MATCH(R249,'Tabla Impacto'!$B$221:$B$223,0))),'Tabla Impacto'!$F$223&amp;"Por favor no seleccionar los criterios de impacto(Afectación Económica o presupuestal y Pérdida Reputacional)",R249)</f>
        <v>El riesgo afecta la imagen de la entidad internamente, de conocimiento general, nivel interno, de junta dircetiva y accionistas y/o de provedores</v>
      </c>
      <c r="T249" s="232" t="str">
        <f ca="1">+IF(OR(S249='[1]Tabla Impacto'!$C$11,S249='[1]Tabla Impacto'!$D$11),"Leve",IF(OR(S249='[1]Tabla Impacto'!$C$12,S249='[1]Tabla Impacto'!$D$12),"Menor",IF(OR(S249='[1]Tabla Impacto'!$C$13,S249='[1]Tabla Impacto'!$D$13),"Moderado",IF(OR(S249='[1]Tabla Impacto'!$C$14,S249='[1]Tabla Impacto'!$D$14),"Mayor",IF(OR(S249='[1]Tabla Impacto'!$C$15,S249='[1]Tabla Impacto'!$D$15),"Catastrófico","")))))</f>
        <v>Menor</v>
      </c>
      <c r="U249" s="225">
        <f t="shared" ref="U249" ca="1" si="675">IF(T249="","",IF(T249="Leve",0.2,IF(T249="Menor",0.4,IF(T249="Moderado",0.6,IF(T249="Mayor",0.8,IF(T249="Catastrófico",1,))))))</f>
        <v>0.4</v>
      </c>
      <c r="V249" s="233" t="str">
        <f t="shared" ref="V249" ca="1" si="676">IF(OR(AND(P249="Muy Baja",T249="Leve"),AND(P249="Muy Baja",T249="Menor"),AND(P249="Baja",T249="Leve")),"Bajo",IF(OR(AND(P249="Muy baja",T249="Moderado"),AND(P249="Baja",T249="Menor"),AND(P249="Baja",T249="Moderado"),AND(P249="Media",T249="Leve"),AND(P249="Media",T249="Menor"),AND(P249="Media",T249="Moderado"),AND(P249="Alta",T249="Leve"),AND(P249="Alta",T249="Menor")),"Moderado",IF(OR(AND(P249="Muy Baja",T249="Mayor"),AND(P249="Baja",T249="Mayor"),AND(P249="Media",T249="Mayor"),AND(P249="Alta",T249="Moderado"),AND(P249="Alta",T249="Mayor"),AND(P249="Muy Alta",T249="Leve"),AND(P249="Muy Alta",T249="Menor"),AND(P249="Muy Alta",T249="Moderado"),AND(P249="Muy Alta",T249="Mayor")),"Alto",IF(OR(AND(P249="Muy Baja",T249="Catastrófico"),AND(P249="Baja",T249="Catastrófico"),AND(P249="Media",T249="Catastrófico"),AND(P249="Alta",T249="Catastrófico"),AND(P249="Muy Alta",T249="Catastrófico")),"Extremo",""))))</f>
        <v>Bajo</v>
      </c>
      <c r="W249" s="233">
        <v>1</v>
      </c>
      <c r="X249" s="207" t="s">
        <v>1068</v>
      </c>
      <c r="Y249" s="230" t="str">
        <f t="shared" si="592"/>
        <v>Probabilidad</v>
      </c>
      <c r="Z249" s="185" t="s">
        <v>208</v>
      </c>
      <c r="AA249" s="185" t="s">
        <v>216</v>
      </c>
      <c r="AB249" s="186" t="str">
        <f t="shared" si="615"/>
        <v>40%</v>
      </c>
      <c r="AC249" s="185" t="s">
        <v>219</v>
      </c>
      <c r="AD249" s="185" t="s">
        <v>224</v>
      </c>
      <c r="AE249" s="185" t="s">
        <v>228</v>
      </c>
      <c r="AF249" s="187">
        <f t="shared" ref="AF249" si="677">IFERROR(IF(Y249="Probabilidad",(Q249-(+Q249*AB249)),IF(Y249="Impacto",Q249,"")),"")</f>
        <v>0.12</v>
      </c>
      <c r="AG249" s="188" t="str">
        <f t="shared" si="594"/>
        <v>Muy Baja</v>
      </c>
      <c r="AH249" s="186">
        <f t="shared" si="595"/>
        <v>0.12</v>
      </c>
      <c r="AI249" s="188" t="str">
        <f t="shared" ca="1" si="596"/>
        <v>Menor</v>
      </c>
      <c r="AJ249" s="186">
        <f t="shared" ref="AJ249" ca="1" si="678">IFERROR(IF(Y249="Impacto",(U249-(+U249*AB249)),IF(Y249="Probabilidad",U249,"")),"")</f>
        <v>0.4</v>
      </c>
      <c r="AK249" s="189" t="str">
        <f t="shared" ca="1" si="598"/>
        <v>Bajo</v>
      </c>
      <c r="AL249" s="185" t="s">
        <v>255</v>
      </c>
      <c r="AM249" s="227"/>
      <c r="AN249" s="230"/>
      <c r="AO249" s="228"/>
      <c r="AP249" s="228"/>
      <c r="AQ249" s="227"/>
      <c r="AR249" s="229"/>
    </row>
    <row r="250" spans="1:44" s="191" customFormat="1" ht="203.25" customHeight="1" thickTop="1" thickBot="1" x14ac:dyDescent="0.3">
      <c r="A250" s="328">
        <v>96</v>
      </c>
      <c r="B250" s="329" t="s">
        <v>929</v>
      </c>
      <c r="C250" s="333" t="s">
        <v>280</v>
      </c>
      <c r="D250" s="333" t="s">
        <v>926</v>
      </c>
      <c r="E250" s="333" t="s">
        <v>238</v>
      </c>
      <c r="F250" s="351" t="s">
        <v>930</v>
      </c>
      <c r="G250" s="351" t="s">
        <v>931</v>
      </c>
      <c r="H250" s="350" t="s">
        <v>1184</v>
      </c>
      <c r="I250" s="338" t="s">
        <v>474</v>
      </c>
      <c r="J250" s="338" t="s">
        <v>474</v>
      </c>
      <c r="K250" s="338" t="s">
        <v>474</v>
      </c>
      <c r="L250" s="338" t="s">
        <v>474</v>
      </c>
      <c r="M250" s="333" t="s">
        <v>239</v>
      </c>
      <c r="N250" s="333"/>
      <c r="O250" s="339">
        <v>30</v>
      </c>
      <c r="P250" s="340" t="str">
        <f t="shared" si="631"/>
        <v>Media</v>
      </c>
      <c r="Q250" s="341">
        <f t="shared" si="632"/>
        <v>0.6</v>
      </c>
      <c r="R250" s="341" t="s">
        <v>187</v>
      </c>
      <c r="S250" s="341" t="str">
        <f ca="1">IF(NOT(ISERROR(MATCH(R250,'Tabla Impacto'!$B$221:$B$223,0))),'Tabla Impacto'!$F$223&amp;"Por favor no seleccionar los criterios de impacto(Afectación Económica o presupuestal y Pérdida Reputacional)",R250)</f>
        <v>El riesgo afecta la imagen de la entidad internamente, de conocimiento general, nivel interno, de junta dircetiva y accionistas y/o de provedores</v>
      </c>
      <c r="T250" s="340" t="str">
        <f ca="1">+IF(OR(S250='[1]Tabla Impacto'!$C$11,S250='[1]Tabla Impacto'!$D$11),"Leve",IF(OR(S250='[1]Tabla Impacto'!$C$12,S250='[1]Tabla Impacto'!$D$12),"Menor",IF(OR(S250='[1]Tabla Impacto'!$C$13,S250='[1]Tabla Impacto'!$D$13),"Moderado",IF(OR(S250='[1]Tabla Impacto'!$C$14,S250='[1]Tabla Impacto'!$D$14),"Mayor",IF(OR(S250='[1]Tabla Impacto'!$C$15,S250='[1]Tabla Impacto'!$D$15),"Catastrófico","")))))</f>
        <v>Menor</v>
      </c>
      <c r="U250" s="341">
        <f t="shared" ref="U250" ca="1" si="679">IF(T250="","",IF(T250="Leve",0.2,IF(T250="Menor",0.4,IF(T250="Moderado",0.6,IF(T250="Mayor",0.8,IF(T250="Catastrófico",1,))))))</f>
        <v>0.4</v>
      </c>
      <c r="V250" s="327" t="str">
        <f t="shared" ref="V250" ca="1" si="680">IF(OR(AND(P250="Muy Baja",T250="Leve"),AND(P250="Muy Baja",T250="Menor"),AND(P250="Baja",T250="Leve")),"Bajo",IF(OR(AND(P250="Muy baja",T250="Moderado"),AND(P250="Baja",T250="Menor"),AND(P250="Baja",T250="Moderado"),AND(P250="Media",T250="Leve"),AND(P250="Media",T250="Menor"),AND(P250="Media",T250="Moderado"),AND(P250="Alta",T250="Leve"),AND(P250="Alta",T250="Menor")),"Moderado",IF(OR(AND(P250="Muy Baja",T250="Mayor"),AND(P250="Baja",T250="Mayor"),AND(P250="Media",T250="Mayor"),AND(P250="Alta",T250="Moderado"),AND(P250="Alta",T250="Mayor"),AND(P250="Muy Alta",T250="Leve"),AND(P250="Muy Alta",T250="Menor"),AND(P250="Muy Alta",T250="Moderado"),AND(P250="Muy Alta",T250="Mayor")),"Alto",IF(OR(AND(P250="Muy Baja",T250="Catastrófico"),AND(P250="Baja",T250="Catastrófico"),AND(P250="Media",T250="Catastrófico"),AND(P250="Alta",T250="Catastrófico"),AND(P250="Muy Alta",T250="Catastrófico")),"Extremo",""))))</f>
        <v>Moderado</v>
      </c>
      <c r="W250" s="233">
        <v>1</v>
      </c>
      <c r="X250" s="207" t="s">
        <v>1069</v>
      </c>
      <c r="Y250" s="230" t="str">
        <f t="shared" ref="Y250:Y254" si="681">IF(OR(Z250="Preventivo",Z250="Detectivo"),"Probabilidad",IF(Z250="Correctivo","Impacto",""))</f>
        <v>Probabilidad</v>
      </c>
      <c r="Z250" s="185" t="s">
        <v>208</v>
      </c>
      <c r="AA250" s="185" t="s">
        <v>216</v>
      </c>
      <c r="AB250" s="186" t="str">
        <f t="shared" si="615"/>
        <v>40%</v>
      </c>
      <c r="AC250" s="185" t="s">
        <v>219</v>
      </c>
      <c r="AD250" s="185" t="s">
        <v>224</v>
      </c>
      <c r="AE250" s="185" t="s">
        <v>228</v>
      </c>
      <c r="AF250" s="187">
        <f t="shared" ref="AF250" si="682">IFERROR(IF(Y250="Probabilidad",(Q250-(+Q250*AB250)),IF(Y250="Impacto",Q250,"")),"")</f>
        <v>0.36</v>
      </c>
      <c r="AG250" s="188" t="str">
        <f t="shared" ref="AG250:AG251" si="683">IFERROR(IF(AF250="","",IF(AF250&lt;=0.2,"Muy Baja",IF(AF250&lt;=0.4,"Baja",IF(AF250&lt;=0.6,"Media",IF(AF250&lt;=0.8,"Alta","Muy Alta"))))),"")</f>
        <v>Baja</v>
      </c>
      <c r="AH250" s="186">
        <f t="shared" ref="AH250:AH251" si="684">+AF250</f>
        <v>0.36</v>
      </c>
      <c r="AI250" s="188" t="str">
        <f t="shared" ref="AI250:AI251" ca="1" si="685">IFERROR(IF(AJ250="","",IF(AJ250&lt;=0.2,"Leve",IF(AJ250&lt;=0.4,"Menor",IF(AJ250&lt;=0.6,"Moderado",IF(AJ250&lt;=0.8,"Mayor","Catastrófico"))))),"")</f>
        <v>Menor</v>
      </c>
      <c r="AJ250" s="186">
        <f t="shared" ref="AJ250" ca="1" si="686">IFERROR(IF(Y250="Impacto",(U250-(+U250*AB250)),IF(Y250="Probabilidad",U250,"")),"")</f>
        <v>0.4</v>
      </c>
      <c r="AK250" s="189" t="str">
        <f t="shared" ref="AK250:AK251" ca="1" si="687">IFERROR(IF(OR(AND(AG250="Muy Baja",AI250="Leve"),AND(AG250="Muy Baja",AI250="Menor"),AND(AG250="Baja",AI250="Leve")),"Bajo",IF(OR(AND(AG250="Muy baja",AI250="Moderado"),AND(AG250="Baja",AI250="Menor"),AND(AG250="Baja",AI250="Moderado"),AND(AG250="Media",AI250="Leve"),AND(AG250="Media",AI250="Menor"),AND(AG250="Media",AI250="Moderado"),AND(AG250="Alta",AI250="Leve"),AND(AG250="Alta",AI250="Menor")),"Moderado",IF(OR(AND(AG250="Muy Baja",AI250="Mayor"),AND(AG250="Baja",AI250="Mayor"),AND(AG250="Media",AI250="Mayor"),AND(AG250="Alta",AI250="Moderado"),AND(AG250="Alta",AI250="Mayor"),AND(AG250="Muy Alta",AI250="Leve"),AND(AG250="Muy Alta",AI250="Menor"),AND(AG250="Muy Alta",AI250="Moderado"),AND(AG250="Muy Alta",AI250="Mayor")),"Alto",IF(OR(AND(AG250="Muy Baja",AI250="Catastrófico"),AND(AG250="Baja",AI250="Catastrófico"),AND(AG250="Media",AI250="Catastrófico"),AND(AG250="Alta",AI250="Catastrófico"),AND(AG250="Muy Alta",AI250="Catastrófico")),"Extremo","")))),"")</f>
        <v>Moderado</v>
      </c>
      <c r="AL250" s="185" t="s">
        <v>255</v>
      </c>
      <c r="AM250" s="227"/>
      <c r="AN250" s="230"/>
      <c r="AO250" s="228"/>
      <c r="AP250" s="228"/>
      <c r="AQ250" s="227"/>
      <c r="AR250" s="229"/>
    </row>
    <row r="251" spans="1:44" s="191" customFormat="1" ht="184.5" customHeight="1" thickTop="1" thickBot="1" x14ac:dyDescent="0.3">
      <c r="A251" s="328"/>
      <c r="B251" s="329"/>
      <c r="C251" s="333"/>
      <c r="D251" s="333"/>
      <c r="E251" s="333"/>
      <c r="F251" s="351"/>
      <c r="G251" s="351"/>
      <c r="H251" s="350"/>
      <c r="I251" s="338"/>
      <c r="J251" s="338"/>
      <c r="K251" s="338"/>
      <c r="L251" s="338"/>
      <c r="M251" s="333"/>
      <c r="N251" s="333"/>
      <c r="O251" s="339"/>
      <c r="P251" s="340"/>
      <c r="Q251" s="341"/>
      <c r="R251" s="341"/>
      <c r="S251" s="341">
        <f ca="1">IF(NOT(ISERROR(MATCH(R251,_xlfn.ANCHORARRAY(H261),0))),Q263&amp;"Por favor no seleccionar los criterios de impacto",R251)</f>
        <v>0</v>
      </c>
      <c r="T251" s="340"/>
      <c r="U251" s="341"/>
      <c r="V251" s="327"/>
      <c r="W251" s="233">
        <v>2</v>
      </c>
      <c r="X251" s="207" t="s">
        <v>1070</v>
      </c>
      <c r="Y251" s="230" t="str">
        <f t="shared" si="681"/>
        <v>Probabilidad</v>
      </c>
      <c r="Z251" s="185" t="s">
        <v>208</v>
      </c>
      <c r="AA251" s="185" t="s">
        <v>216</v>
      </c>
      <c r="AB251" s="186" t="str">
        <f t="shared" si="615"/>
        <v>40%</v>
      </c>
      <c r="AC251" s="185" t="s">
        <v>219</v>
      </c>
      <c r="AD251" s="185" t="s">
        <v>224</v>
      </c>
      <c r="AE251" s="185" t="s">
        <v>228</v>
      </c>
      <c r="AF251" s="187">
        <f t="shared" ref="AF251:AF254" si="688">IFERROR(IF(AND(Y250="Probabilidad",Y251="Probabilidad"),(AH250-(+AH250*AB251)),IF(Y251="Probabilidad",(Q250-(+Q250*AB251)),IF(Y251="Impacto",AH250,""))),"")</f>
        <v>0.216</v>
      </c>
      <c r="AG251" s="188" t="str">
        <f t="shared" si="683"/>
        <v>Baja</v>
      </c>
      <c r="AH251" s="186">
        <f t="shared" si="684"/>
        <v>0.216</v>
      </c>
      <c r="AI251" s="188" t="str">
        <f t="shared" ca="1" si="685"/>
        <v>Menor</v>
      </c>
      <c r="AJ251" s="186">
        <f t="shared" ref="AJ251" ca="1" si="689">IFERROR(IF(AND(Y250="Impacto",Y251="Impacto"),(AJ250-(+AJ250*AB251)),IF(Y251="Impacto",(U250-(+U250*AB251)),IF(Y251="Probabilidad",AJ250,""))),"")</f>
        <v>0.4</v>
      </c>
      <c r="AK251" s="189" t="str">
        <f t="shared" ca="1" si="687"/>
        <v>Moderado</v>
      </c>
      <c r="AL251" s="185" t="s">
        <v>255</v>
      </c>
      <c r="AM251" s="227"/>
      <c r="AN251" s="230"/>
      <c r="AO251" s="228"/>
      <c r="AP251" s="228"/>
      <c r="AQ251" s="227"/>
      <c r="AR251" s="229"/>
    </row>
    <row r="252" spans="1:44" s="191" customFormat="1" ht="260.25" customHeight="1" thickTop="1" thickBot="1" x14ac:dyDescent="0.3">
      <c r="A252" s="226">
        <v>97</v>
      </c>
      <c r="B252" s="249" t="s">
        <v>932</v>
      </c>
      <c r="C252" s="227" t="s">
        <v>280</v>
      </c>
      <c r="D252" s="244" t="s">
        <v>926</v>
      </c>
      <c r="E252" s="227" t="s">
        <v>238</v>
      </c>
      <c r="F252" s="234" t="s">
        <v>1102</v>
      </c>
      <c r="G252" s="234" t="s">
        <v>933</v>
      </c>
      <c r="H252" s="251" t="s">
        <v>1185</v>
      </c>
      <c r="I252" s="231" t="s">
        <v>474</v>
      </c>
      <c r="J252" s="231" t="s">
        <v>474</v>
      </c>
      <c r="K252" s="231" t="s">
        <v>474</v>
      </c>
      <c r="L252" s="231" t="s">
        <v>474</v>
      </c>
      <c r="M252" s="227" t="s">
        <v>239</v>
      </c>
      <c r="N252" s="227"/>
      <c r="O252" s="230">
        <v>71</v>
      </c>
      <c r="P252" s="232" t="str">
        <f t="shared" ref="P252" si="690">IF(O252&lt;=0,"",IF(O252&lt;=2,"Muy Baja",IF(O252&lt;=24,"Baja",IF(O252&lt;=500,"Media",IF(O252&lt;=5000,"Alta","Muy Alta")))))</f>
        <v>Media</v>
      </c>
      <c r="Q252" s="225">
        <f t="shared" ref="Q252" si="691">IF(P252="","",IF(P252="Muy Baja",0.2,IF(P252="Baja",0.4,IF(P252="Media",0.6,IF(P252="Alta",0.8,IF(P252="Muy Alta",1,))))))</f>
        <v>0.6</v>
      </c>
      <c r="R252" s="225" t="s">
        <v>187</v>
      </c>
      <c r="S252" s="225" t="str">
        <f ca="1">IF(NOT(ISERROR(MATCH(R252,'Tabla Impacto'!$B$221:$B$223,0))),'Tabla Impacto'!$F$223&amp;"Por favor no seleccionar los criterios de impacto(Afectación Económica o presupuestal y Pérdida Reputacional)",R252)</f>
        <v>El riesgo afecta la imagen de la entidad internamente, de conocimiento general, nivel interno, de junta dircetiva y accionistas y/o de provedores</v>
      </c>
      <c r="T252" s="232" t="str">
        <f ca="1">+IF(OR(S252='[1]Tabla Impacto'!$C$11,S252='[1]Tabla Impacto'!$D$11),"Leve",IF(OR(S252='[1]Tabla Impacto'!$C$12,S252='[1]Tabla Impacto'!$D$12),"Menor",IF(OR(S252='[1]Tabla Impacto'!$C$13,S252='[1]Tabla Impacto'!$D$13),"Moderado",IF(OR(S252='[1]Tabla Impacto'!$C$14,S252='[1]Tabla Impacto'!$D$14),"Mayor",IF(OR(S252='[1]Tabla Impacto'!$C$15,S252='[1]Tabla Impacto'!$D$15),"Catastrófico","")))))</f>
        <v>Menor</v>
      </c>
      <c r="U252" s="225">
        <f t="shared" ref="U252" ca="1" si="692">IF(T252="","",IF(T252="Leve",0.2,IF(T252="Menor",0.4,IF(T252="Moderado",0.6,IF(T252="Mayor",0.8,IF(T252="Catastrófico",1,))))))</f>
        <v>0.4</v>
      </c>
      <c r="V252" s="233" t="str">
        <f t="shared" ref="V252" ca="1" si="693">IF(OR(AND(P252="Muy Baja",T252="Leve"),AND(P252="Muy Baja",T252="Menor"),AND(P252="Baja",T252="Leve")),"Bajo",IF(OR(AND(P252="Muy baja",T252="Moderado"),AND(P252="Baja",T252="Menor"),AND(P252="Baja",T252="Moderado"),AND(P252="Media",T252="Leve"),AND(P252="Media",T252="Menor"),AND(P252="Media",T252="Moderado"),AND(P252="Alta",T252="Leve"),AND(P252="Alta",T252="Menor")),"Moderado",IF(OR(AND(P252="Muy Baja",T252="Mayor"),AND(P252="Baja",T252="Mayor"),AND(P252="Media",T252="Mayor"),AND(P252="Alta",T252="Moderado"),AND(P252="Alta",T252="Mayor"),AND(P252="Muy Alta",T252="Leve"),AND(P252="Muy Alta",T252="Menor"),AND(P252="Muy Alta",T252="Moderado"),AND(P252="Muy Alta",T252="Mayor")),"Alto",IF(OR(AND(P252="Muy Baja",T252="Catastrófico"),AND(P252="Baja",T252="Catastrófico"),AND(P252="Media",T252="Catastrófico"),AND(P252="Alta",T252="Catastrófico"),AND(P252="Muy Alta",T252="Catastrófico")),"Extremo",""))))</f>
        <v>Moderado</v>
      </c>
      <c r="W252" s="233">
        <v>1</v>
      </c>
      <c r="X252" s="207" t="s">
        <v>1071</v>
      </c>
      <c r="Y252" s="230" t="str">
        <f t="shared" si="681"/>
        <v>Probabilidad</v>
      </c>
      <c r="Z252" s="185" t="s">
        <v>208</v>
      </c>
      <c r="AA252" s="185" t="s">
        <v>216</v>
      </c>
      <c r="AB252" s="186" t="str">
        <f t="shared" si="615"/>
        <v>40%</v>
      </c>
      <c r="AC252" s="185" t="s">
        <v>219</v>
      </c>
      <c r="AD252" s="185" t="s">
        <v>224</v>
      </c>
      <c r="AE252" s="185" t="s">
        <v>228</v>
      </c>
      <c r="AF252" s="187">
        <f t="shared" ref="AF252" si="694">IFERROR(IF(Y252="Probabilidad",(Q252-(+Q252*AB252)),IF(Y252="Impacto",Q252,"")),"")</f>
        <v>0.36</v>
      </c>
      <c r="AG252" s="188" t="str">
        <f t="shared" ref="AG252" si="695">IFERROR(IF(AF252="","",IF(AF252&lt;=0.2,"Muy Baja",IF(AF252&lt;=0.4,"Baja",IF(AF252&lt;=0.6,"Media",IF(AF252&lt;=0.8,"Alta","Muy Alta"))))),"")</f>
        <v>Baja</v>
      </c>
      <c r="AH252" s="186">
        <f t="shared" ref="AH252" si="696">+AF252</f>
        <v>0.36</v>
      </c>
      <c r="AI252" s="188" t="str">
        <f t="shared" ref="AI252" ca="1" si="697">IFERROR(IF(AJ252="","",IF(AJ252&lt;=0.2,"Leve",IF(AJ252&lt;=0.4,"Menor",IF(AJ252&lt;=0.6,"Moderado",IF(AJ252&lt;=0.8,"Mayor","Catastrófico"))))),"")</f>
        <v>Menor</v>
      </c>
      <c r="AJ252" s="186">
        <f t="shared" ref="AJ252" ca="1" si="698">IFERROR(IF(Y252="Impacto",(U252-(+U252*AB252)),IF(Y252="Probabilidad",U252,"")),"")</f>
        <v>0.4</v>
      </c>
      <c r="AK252" s="189" t="str">
        <f t="shared" ref="AK252" ca="1" si="699">IFERROR(IF(OR(AND(AG252="Muy Baja",AI252="Leve"),AND(AG252="Muy Baja",AI252="Menor"),AND(AG252="Baja",AI252="Leve")),"Bajo",IF(OR(AND(AG252="Muy baja",AI252="Moderado"),AND(AG252="Baja",AI252="Menor"),AND(AG252="Baja",AI252="Moderado"),AND(AG252="Media",AI252="Leve"),AND(AG252="Media",AI252="Menor"),AND(AG252="Media",AI252="Moderado"),AND(AG252="Alta",AI252="Leve"),AND(AG252="Alta",AI252="Menor")),"Moderado",IF(OR(AND(AG252="Muy Baja",AI252="Mayor"),AND(AG252="Baja",AI252="Mayor"),AND(AG252="Media",AI252="Mayor"),AND(AG252="Alta",AI252="Moderado"),AND(AG252="Alta",AI252="Mayor"),AND(AG252="Muy Alta",AI252="Leve"),AND(AG252="Muy Alta",AI252="Menor"),AND(AG252="Muy Alta",AI252="Moderado"),AND(AG252="Muy Alta",AI252="Mayor")),"Alto",IF(OR(AND(AG252="Muy Baja",AI252="Catastrófico"),AND(AG252="Baja",AI252="Catastrófico"),AND(AG252="Media",AI252="Catastrófico"),AND(AG252="Alta",AI252="Catastrófico"),AND(AG252="Muy Alta",AI252="Catastrófico")),"Extremo","")))),"")</f>
        <v>Moderado</v>
      </c>
      <c r="AL252" s="185" t="s">
        <v>255</v>
      </c>
      <c r="AM252" s="227"/>
      <c r="AN252" s="230"/>
      <c r="AO252" s="228"/>
      <c r="AP252" s="228"/>
      <c r="AQ252" s="227"/>
      <c r="AR252" s="229"/>
    </row>
    <row r="253" spans="1:44" s="191" customFormat="1" ht="225.75" customHeight="1" thickTop="1" thickBot="1" x14ac:dyDescent="0.3">
      <c r="A253" s="328">
        <v>98</v>
      </c>
      <c r="B253" s="329" t="s">
        <v>934</v>
      </c>
      <c r="C253" s="333" t="s">
        <v>280</v>
      </c>
      <c r="D253" s="333" t="s">
        <v>926</v>
      </c>
      <c r="E253" s="333" t="s">
        <v>240</v>
      </c>
      <c r="F253" s="351" t="s">
        <v>827</v>
      </c>
      <c r="G253" s="351" t="s">
        <v>935</v>
      </c>
      <c r="H253" s="350" t="s">
        <v>1195</v>
      </c>
      <c r="I253" s="338" t="s">
        <v>593</v>
      </c>
      <c r="J253" s="338" t="s">
        <v>593</v>
      </c>
      <c r="K253" s="338" t="s">
        <v>593</v>
      </c>
      <c r="L253" s="338" t="s">
        <v>593</v>
      </c>
      <c r="M253" s="349" t="s">
        <v>244</v>
      </c>
      <c r="N253" s="333"/>
      <c r="O253" s="339">
        <v>71</v>
      </c>
      <c r="P253" s="340" t="str">
        <f t="shared" ref="P253" si="700">IF(O253&lt;=0,"",IF(O253&lt;=2,"Muy Baja",IF(O253&lt;=24,"Baja",IF(O253&lt;=500,"Media",IF(O253&lt;=5000,"Alta","Muy Alta")))))</f>
        <v>Media</v>
      </c>
      <c r="Q253" s="341">
        <f t="shared" ref="Q253" si="701">IF(P253="","",IF(P253="Muy Baja",0.2,IF(P253="Baja",0.4,IF(P253="Media",0.6,IF(P253="Alta",0.8,IF(P253="Muy Alta",1,))))))</f>
        <v>0.6</v>
      </c>
      <c r="R253" s="341" t="s">
        <v>193</v>
      </c>
      <c r="S253" s="341" t="str">
        <f ca="1">IF(NOT(ISERROR(MATCH(R253,'Tabla Impacto'!$B$221:$B$223,0))),'Tabla Impacto'!$F$223&amp;"Por favor no seleccionar los criterios de impacto(Afectación Económica o presupuestal y Pérdida Reputacional)",R253)</f>
        <v>El riesgo afecta la imagen de de la entidad con efecto publicitario sostenido a nivel de sector administrativo, nivel departamental o municipal</v>
      </c>
      <c r="T253" s="340" t="str">
        <f ca="1">+IF(OR(S253='[1]Tabla Impacto'!$C$11,S253='[1]Tabla Impacto'!$D$11),"Leve",IF(OR(S253='[1]Tabla Impacto'!$C$12,S253='[1]Tabla Impacto'!$D$12),"Menor",IF(OR(S253='[1]Tabla Impacto'!$C$13,S253='[1]Tabla Impacto'!$D$13),"Moderado",IF(OR(S253='[1]Tabla Impacto'!$C$14,S253='[1]Tabla Impacto'!$D$14),"Mayor",IF(OR(S253='[1]Tabla Impacto'!$C$15,S253='[1]Tabla Impacto'!$D$15),"Catastrófico","")))))</f>
        <v>Mayor</v>
      </c>
      <c r="U253" s="341">
        <f t="shared" ref="U253" ca="1" si="702">IF(T253="","",IF(T253="Leve",0.2,IF(T253="Menor",0.4,IF(T253="Moderado",0.6,IF(T253="Mayor",0.8,IF(T253="Catastrófico",1,))))))</f>
        <v>0.8</v>
      </c>
      <c r="V253" s="327" t="str">
        <f t="shared" ref="V253" ca="1" si="703">IF(OR(AND(P253="Muy Baja",T253="Leve"),AND(P253="Muy Baja",T253="Menor"),AND(P253="Baja",T253="Leve")),"Bajo",IF(OR(AND(P253="Muy baja",T253="Moderado"),AND(P253="Baja",T253="Menor"),AND(P253="Baja",T253="Moderado"),AND(P253="Media",T253="Leve"),AND(P253="Media",T253="Menor"),AND(P253="Media",T253="Moderado"),AND(P253="Alta",T253="Leve"),AND(P253="Alta",T253="Menor")),"Moderado",IF(OR(AND(P253="Muy Baja",T253="Mayor"),AND(P253="Baja",T253="Mayor"),AND(P253="Media",T253="Mayor"),AND(P253="Alta",T253="Moderado"),AND(P253="Alta",T253="Mayor"),AND(P253="Muy Alta",T253="Leve"),AND(P253="Muy Alta",T253="Menor"),AND(P253="Muy Alta",T253="Moderado"),AND(P253="Muy Alta",T253="Mayor")),"Alto",IF(OR(AND(P253="Muy Baja",T253="Catastrófico"),AND(P253="Baja",T253="Catastrófico"),AND(P253="Media",T253="Catastrófico"),AND(P253="Alta",T253="Catastrófico"),AND(P253="Muy Alta",T253="Catastrófico")),"Extremo",""))))</f>
        <v>Alto</v>
      </c>
      <c r="W253" s="233">
        <v>1</v>
      </c>
      <c r="X253" s="207" t="s">
        <v>1072</v>
      </c>
      <c r="Y253" s="230" t="str">
        <f t="shared" si="681"/>
        <v>Probabilidad</v>
      </c>
      <c r="Z253" s="185" t="s">
        <v>208</v>
      </c>
      <c r="AA253" s="185" t="s">
        <v>216</v>
      </c>
      <c r="AB253" s="186" t="str">
        <f t="shared" si="615"/>
        <v>40%</v>
      </c>
      <c r="AC253" s="185" t="s">
        <v>219</v>
      </c>
      <c r="AD253" s="185" t="s">
        <v>224</v>
      </c>
      <c r="AE253" s="185" t="s">
        <v>228</v>
      </c>
      <c r="AF253" s="187">
        <f t="shared" ref="AF253" si="704">IFERROR(IF(Y253="Probabilidad",(Q253-(+Q253*AB253)),IF(Y253="Impacto",Q253,"")),"")</f>
        <v>0.36</v>
      </c>
      <c r="AG253" s="188" t="str">
        <f t="shared" ref="AG253:AG254" si="705">IFERROR(IF(AF253="","",IF(AF253&lt;=0.2,"Muy Baja",IF(AF253&lt;=0.4,"Baja",IF(AF253&lt;=0.6,"Media",IF(AF253&lt;=0.8,"Alta","Muy Alta"))))),"")</f>
        <v>Baja</v>
      </c>
      <c r="AH253" s="186">
        <f t="shared" ref="AH253:AH254" si="706">+AF253</f>
        <v>0.36</v>
      </c>
      <c r="AI253" s="188" t="str">
        <f t="shared" ref="AI253:AI254" ca="1" si="707">IFERROR(IF(AJ253="","",IF(AJ253&lt;=0.2,"Leve",IF(AJ253&lt;=0.4,"Menor",IF(AJ253&lt;=0.6,"Moderado",IF(AJ253&lt;=0.8,"Mayor","Catastrófico"))))),"")</f>
        <v>Mayor</v>
      </c>
      <c r="AJ253" s="186">
        <f t="shared" ref="AJ253" ca="1" si="708">IFERROR(IF(Y253="Impacto",(U253-(+U253*AB253)),IF(Y253="Probabilidad",U253,"")),"")</f>
        <v>0.8</v>
      </c>
      <c r="AK253" s="189" t="str">
        <f t="shared" ref="AK253:AK254" ca="1" si="709">IFERROR(IF(OR(AND(AG253="Muy Baja",AI253="Leve"),AND(AG253="Muy Baja",AI253="Menor"),AND(AG253="Baja",AI253="Leve")),"Bajo",IF(OR(AND(AG253="Muy baja",AI253="Moderado"),AND(AG253="Baja",AI253="Menor"),AND(AG253="Baja",AI253="Moderado"),AND(AG253="Media",AI253="Leve"),AND(AG253="Media",AI253="Menor"),AND(AG253="Media",AI253="Moderado"),AND(AG253="Alta",AI253="Leve"),AND(AG253="Alta",AI253="Menor")),"Moderado",IF(OR(AND(AG253="Muy Baja",AI253="Mayor"),AND(AG253="Baja",AI253="Mayor"),AND(AG253="Media",AI253="Mayor"),AND(AG253="Alta",AI253="Moderado"),AND(AG253="Alta",AI253="Mayor"),AND(AG253="Muy Alta",AI253="Leve"),AND(AG253="Muy Alta",AI253="Menor"),AND(AG253="Muy Alta",AI253="Moderado"),AND(AG253="Muy Alta",AI253="Mayor")),"Alto",IF(OR(AND(AG253="Muy Baja",AI253="Catastrófico"),AND(AG253="Baja",AI253="Catastrófico"),AND(AG253="Media",AI253="Catastrófico"),AND(AG253="Alta",AI253="Catastrófico"),AND(AG253="Muy Alta",AI253="Catastrófico")),"Extremo","")))),"")</f>
        <v>Alto</v>
      </c>
      <c r="AL253" s="185" t="s">
        <v>262</v>
      </c>
      <c r="AM253" s="227" t="s">
        <v>936</v>
      </c>
      <c r="AN253" s="230" t="s">
        <v>937</v>
      </c>
      <c r="AO253" s="228">
        <v>45659</v>
      </c>
      <c r="AP253" s="228" t="s">
        <v>527</v>
      </c>
      <c r="AQ253" s="227" t="s">
        <v>938</v>
      </c>
      <c r="AR253" s="229" t="s">
        <v>259</v>
      </c>
    </row>
    <row r="254" spans="1:44" s="191" customFormat="1" ht="251.25" customHeight="1" thickTop="1" thickBot="1" x14ac:dyDescent="0.3">
      <c r="A254" s="328"/>
      <c r="B254" s="329"/>
      <c r="C254" s="333"/>
      <c r="D254" s="333"/>
      <c r="E254" s="333"/>
      <c r="F254" s="351"/>
      <c r="G254" s="351"/>
      <c r="H254" s="350"/>
      <c r="I254" s="338"/>
      <c r="J254" s="338"/>
      <c r="K254" s="338"/>
      <c r="L254" s="338"/>
      <c r="M254" s="349"/>
      <c r="N254" s="333"/>
      <c r="O254" s="339"/>
      <c r="P254" s="340"/>
      <c r="Q254" s="341"/>
      <c r="R254" s="341"/>
      <c r="S254" s="341">
        <f ca="1">IF(NOT(ISERROR(MATCH(R254,_xlfn.ANCHORARRAY(H273),0))),Q275&amp;"Por favor no seleccionar los criterios de impacto",R254)</f>
        <v>0</v>
      </c>
      <c r="T254" s="340"/>
      <c r="U254" s="341"/>
      <c r="V254" s="327"/>
      <c r="W254" s="233">
        <v>2</v>
      </c>
      <c r="X254" s="207" t="s">
        <v>1073</v>
      </c>
      <c r="Y254" s="230" t="str">
        <f t="shared" si="681"/>
        <v>Probabilidad</v>
      </c>
      <c r="Z254" s="185" t="s">
        <v>208</v>
      </c>
      <c r="AA254" s="185" t="s">
        <v>216</v>
      </c>
      <c r="AB254" s="186" t="str">
        <f t="shared" si="615"/>
        <v>40%</v>
      </c>
      <c r="AC254" s="185" t="s">
        <v>219</v>
      </c>
      <c r="AD254" s="185" t="s">
        <v>224</v>
      </c>
      <c r="AE254" s="185" t="s">
        <v>228</v>
      </c>
      <c r="AF254" s="187">
        <f t="shared" si="688"/>
        <v>0.216</v>
      </c>
      <c r="AG254" s="188" t="str">
        <f t="shared" si="705"/>
        <v>Baja</v>
      </c>
      <c r="AH254" s="186">
        <f t="shared" si="706"/>
        <v>0.216</v>
      </c>
      <c r="AI254" s="188" t="str">
        <f t="shared" ca="1" si="707"/>
        <v>Mayor</v>
      </c>
      <c r="AJ254" s="186">
        <f t="shared" ref="AJ254" ca="1" si="710">IFERROR(IF(AND(Y253="Impacto",Y254="Impacto"),(AJ253-(+AJ253*AB254)),IF(Y254="Impacto",(U253-(+U253*AB254)),IF(Y254="Probabilidad",AJ253,""))),"")</f>
        <v>0.8</v>
      </c>
      <c r="AK254" s="189" t="str">
        <f t="shared" ca="1" si="709"/>
        <v>Alto</v>
      </c>
      <c r="AL254" s="185" t="s">
        <v>262</v>
      </c>
      <c r="AM254" s="227" t="s">
        <v>939</v>
      </c>
      <c r="AN254" s="230" t="s">
        <v>937</v>
      </c>
      <c r="AO254" s="228">
        <v>45660</v>
      </c>
      <c r="AP254" s="228" t="s">
        <v>527</v>
      </c>
      <c r="AQ254" s="227" t="s">
        <v>940</v>
      </c>
      <c r="AR254" s="229" t="s">
        <v>259</v>
      </c>
    </row>
    <row r="255" spans="1:44" ht="69" customHeight="1" thickTop="1" x14ac:dyDescent="0.35">
      <c r="A255" s="197"/>
      <c r="B255" s="247"/>
      <c r="C255" s="197"/>
      <c r="D255" s="248"/>
      <c r="E255" s="390" t="s">
        <v>989</v>
      </c>
      <c r="F255" s="391"/>
      <c r="G255" s="391"/>
      <c r="H255" s="391"/>
      <c r="I255" s="391"/>
      <c r="J255" s="391"/>
      <c r="K255" s="391"/>
      <c r="L255" s="391"/>
      <c r="M255" s="391"/>
      <c r="N255" s="391"/>
      <c r="O255" s="391"/>
      <c r="P255" s="391"/>
      <c r="Q255" s="391"/>
      <c r="R255" s="391"/>
      <c r="S255" s="391"/>
      <c r="T255" s="391"/>
      <c r="U255" s="391"/>
      <c r="V255" s="391"/>
      <c r="W255" s="391"/>
      <c r="X255" s="391"/>
      <c r="Y255" s="391"/>
      <c r="Z255" s="391"/>
      <c r="AA255" s="391"/>
      <c r="AB255" s="391"/>
      <c r="AC255" s="391"/>
      <c r="AD255" s="391"/>
      <c r="AE255" s="391"/>
      <c r="AF255" s="391"/>
      <c r="AG255" s="391"/>
      <c r="AH255" s="391"/>
      <c r="AI255" s="391"/>
      <c r="AJ255" s="391"/>
      <c r="AK255" s="391"/>
      <c r="AL255" s="391"/>
      <c r="AM255" s="391"/>
      <c r="AN255" s="391"/>
      <c r="AO255" s="391"/>
      <c r="AP255" s="391"/>
      <c r="AQ255" s="391"/>
      <c r="AR255" s="392"/>
    </row>
    <row r="257" spans="1:14" ht="69" customHeight="1" x14ac:dyDescent="0.35">
      <c r="A257" s="179"/>
      <c r="B257" s="180"/>
      <c r="C257" s="198"/>
      <c r="D257" s="198"/>
      <c r="E257" s="199"/>
      <c r="F257" s="179"/>
      <c r="G257" s="179"/>
      <c r="M257" s="179"/>
      <c r="N257" s="179"/>
    </row>
  </sheetData>
  <sheetProtection algorithmName="SHA-512" hashValue="s9VbrBdE62knPJbtHP7DQnA/Rrt4Bx3nwk+KWR+7IgB4Zr7FMtT7ZfJ1hwU6g+b9z083yugAzviuxVEvhKq8eA==" saltValue="BaoU3iz9ZIV6mLwEm7HJOA==" spinCount="100000" sheet="1" objects="1" scenarios="1"/>
  <dataConsolidate/>
  <mergeCells count="1754">
    <mergeCell ref="A99:A101"/>
    <mergeCell ref="B99:B101"/>
    <mergeCell ref="C99:C101"/>
    <mergeCell ref="D99:D101"/>
    <mergeCell ref="E99:E101"/>
    <mergeCell ref="F99:F101"/>
    <mergeCell ref="G99:G101"/>
    <mergeCell ref="H99:H101"/>
    <mergeCell ref="I99:I101"/>
    <mergeCell ref="J99:J101"/>
    <mergeCell ref="K99:K101"/>
    <mergeCell ref="L99:L101"/>
    <mergeCell ref="M99:M101"/>
    <mergeCell ref="N99:N101"/>
    <mergeCell ref="O99:O101"/>
    <mergeCell ref="P99:P101"/>
    <mergeCell ref="Q99:Q101"/>
    <mergeCell ref="L27:L28"/>
    <mergeCell ref="I29:I32"/>
    <mergeCell ref="L172:L173"/>
    <mergeCell ref="I174:I177"/>
    <mergeCell ref="J174:J177"/>
    <mergeCell ref="K174:K177"/>
    <mergeCell ref="L174:L177"/>
    <mergeCell ref="L97:L98"/>
    <mergeCell ref="K40:K41"/>
    <mergeCell ref="L40:L41"/>
    <mergeCell ref="J29:J32"/>
    <mergeCell ref="K38:K39"/>
    <mergeCell ref="L38:L39"/>
    <mergeCell ref="S45:S53"/>
    <mergeCell ref="A27:A28"/>
    <mergeCell ref="I163:I167"/>
    <mergeCell ref="J163:J167"/>
    <mergeCell ref="K163:K167"/>
    <mergeCell ref="L163:L167"/>
    <mergeCell ref="I172:I173"/>
    <mergeCell ref="J172:J173"/>
    <mergeCell ref="K172:K173"/>
    <mergeCell ref="L142:L143"/>
    <mergeCell ref="I145:I146"/>
    <mergeCell ref="J145:J146"/>
    <mergeCell ref="K145:K146"/>
    <mergeCell ref="L145:L146"/>
    <mergeCell ref="I147:I148"/>
    <mergeCell ref="J147:J148"/>
    <mergeCell ref="I158:I159"/>
    <mergeCell ref="J158:J159"/>
    <mergeCell ref="K158:K159"/>
    <mergeCell ref="L158:L159"/>
    <mergeCell ref="I160:I161"/>
    <mergeCell ref="J160:J161"/>
    <mergeCell ref="K160:K161"/>
    <mergeCell ref="L160:L161"/>
    <mergeCell ref="I149:I150"/>
    <mergeCell ref="I137:I138"/>
    <mergeCell ref="J137:J138"/>
    <mergeCell ref="K137:K138"/>
    <mergeCell ref="L137:L138"/>
    <mergeCell ref="I97:I98"/>
    <mergeCell ref="J97:J98"/>
    <mergeCell ref="K97:K98"/>
    <mergeCell ref="AP40:AP41"/>
    <mergeCell ref="AQ40:AQ41"/>
    <mergeCell ref="AR40:AR41"/>
    <mergeCell ref="A45:A53"/>
    <mergeCell ref="B45:B53"/>
    <mergeCell ref="C45:C53"/>
    <mergeCell ref="D45:D53"/>
    <mergeCell ref="E45:E53"/>
    <mergeCell ref="F45:F53"/>
    <mergeCell ref="G45:G53"/>
    <mergeCell ref="H45:H53"/>
    <mergeCell ref="I45:I53"/>
    <mergeCell ref="J45:J53"/>
    <mergeCell ref="K45:K53"/>
    <mergeCell ref="L45:L53"/>
    <mergeCell ref="M45:M53"/>
    <mergeCell ref="N45:N53"/>
    <mergeCell ref="O45:O53"/>
    <mergeCell ref="P45:P53"/>
    <mergeCell ref="A40:A41"/>
    <mergeCell ref="B40:B41"/>
    <mergeCell ref="C40:C41"/>
    <mergeCell ref="D40:D41"/>
    <mergeCell ref="E40:E41"/>
    <mergeCell ref="T45:T53"/>
    <mergeCell ref="U45:U53"/>
    <mergeCell ref="V45:V53"/>
    <mergeCell ref="AO40:AO41"/>
    <mergeCell ref="Q45:Q53"/>
    <mergeCell ref="R45:R53"/>
    <mergeCell ref="I40:I41"/>
    <mergeCell ref="J40:J41"/>
    <mergeCell ref="J210:J213"/>
    <mergeCell ref="K210:K213"/>
    <mergeCell ref="L210:L213"/>
    <mergeCell ref="I153:I155"/>
    <mergeCell ref="J153:J155"/>
    <mergeCell ref="K153:K155"/>
    <mergeCell ref="L153:L155"/>
    <mergeCell ref="I142:I143"/>
    <mergeCell ref="J142:J143"/>
    <mergeCell ref="K142:K143"/>
    <mergeCell ref="J149:J150"/>
    <mergeCell ref="K149:K150"/>
    <mergeCell ref="L149:L150"/>
    <mergeCell ref="J124:J126"/>
    <mergeCell ref="K124:K126"/>
    <mergeCell ref="L124:L126"/>
    <mergeCell ref="K147:K148"/>
    <mergeCell ref="L147:L148"/>
    <mergeCell ref="I140:I141"/>
    <mergeCell ref="J140:J141"/>
    <mergeCell ref="K140:K141"/>
    <mergeCell ref="L140:L141"/>
    <mergeCell ref="AO6:AR6"/>
    <mergeCell ref="O13:O14"/>
    <mergeCell ref="P13:P14"/>
    <mergeCell ref="AK11:AK12"/>
    <mergeCell ref="AJ11:AJ12"/>
    <mergeCell ref="I17:I19"/>
    <mergeCell ref="V25:V26"/>
    <mergeCell ref="R27:R28"/>
    <mergeCell ref="S27:S28"/>
    <mergeCell ref="T27:T28"/>
    <mergeCell ref="S25:S26"/>
    <mergeCell ref="T25:T26"/>
    <mergeCell ref="R22:R24"/>
    <mergeCell ref="R25:R26"/>
    <mergeCell ref="U27:U28"/>
    <mergeCell ref="R20:R21"/>
    <mergeCell ref="S20:S21"/>
    <mergeCell ref="T20:T21"/>
    <mergeCell ref="U20:U21"/>
    <mergeCell ref="V20:V21"/>
    <mergeCell ref="AR11:AR12"/>
    <mergeCell ref="AQ11:AQ12"/>
    <mergeCell ref="AP11:AP12"/>
    <mergeCell ref="AO11:AO12"/>
    <mergeCell ref="W11:W12"/>
    <mergeCell ref="K15:K16"/>
    <mergeCell ref="L15:L16"/>
    <mergeCell ref="U25:U26"/>
    <mergeCell ref="I22:I24"/>
    <mergeCell ref="J22:J24"/>
    <mergeCell ref="K22:K24"/>
    <mergeCell ref="L22:L24"/>
    <mergeCell ref="M33:M37"/>
    <mergeCell ref="S29:S32"/>
    <mergeCell ref="T29:T32"/>
    <mergeCell ref="O33:O37"/>
    <mergeCell ref="W7:Y7"/>
    <mergeCell ref="AM40:AM41"/>
    <mergeCell ref="AN40:AN41"/>
    <mergeCell ref="C13:C14"/>
    <mergeCell ref="D13:D14"/>
    <mergeCell ref="V13:V14"/>
    <mergeCell ref="Q13:Q14"/>
    <mergeCell ref="R13:R14"/>
    <mergeCell ref="S13:S14"/>
    <mergeCell ref="T13:T14"/>
    <mergeCell ref="M13:M14"/>
    <mergeCell ref="N13:N14"/>
    <mergeCell ref="AF11:AF12"/>
    <mergeCell ref="X11:X12"/>
    <mergeCell ref="AF10:AL10"/>
    <mergeCell ref="AM11:AM12"/>
    <mergeCell ref="AN11:AN12"/>
    <mergeCell ref="AL11:AL12"/>
    <mergeCell ref="AH11:AH12"/>
    <mergeCell ref="U13:U14"/>
    <mergeCell ref="AM10:AR10"/>
    <mergeCell ref="Y11:Y12"/>
    <mergeCell ref="Z11:AE11"/>
    <mergeCell ref="AI11:AI12"/>
    <mergeCell ref="AG11:AG12"/>
    <mergeCell ref="A10:O10"/>
    <mergeCell ref="P10:V10"/>
    <mergeCell ref="W10:AE10"/>
    <mergeCell ref="C11:C12"/>
    <mergeCell ref="D11:D12"/>
    <mergeCell ref="N11:N12"/>
    <mergeCell ref="A7:E7"/>
    <mergeCell ref="A8:E8"/>
    <mergeCell ref="A9:E9"/>
    <mergeCell ref="F7:V7"/>
    <mergeCell ref="F8:V8"/>
    <mergeCell ref="B17:B19"/>
    <mergeCell ref="N15:N16"/>
    <mergeCell ref="N17:N19"/>
    <mergeCell ref="A13:A14"/>
    <mergeCell ref="E13:E14"/>
    <mergeCell ref="F13:F14"/>
    <mergeCell ref="G13:G14"/>
    <mergeCell ref="H13:H14"/>
    <mergeCell ref="U11:U12"/>
    <mergeCell ref="E11:E12"/>
    <mergeCell ref="V11:V12"/>
    <mergeCell ref="R11:R12"/>
    <mergeCell ref="S11:S12"/>
    <mergeCell ref="F11:F12"/>
    <mergeCell ref="U15:U16"/>
    <mergeCell ref="V15:V16"/>
    <mergeCell ref="A11:A12"/>
    <mergeCell ref="I11:L11"/>
    <mergeCell ref="I13:I14"/>
    <mergeCell ref="J13:J14"/>
    <mergeCell ref="K13:K14"/>
    <mergeCell ref="A17:A19"/>
    <mergeCell ref="E17:E19"/>
    <mergeCell ref="F17:F19"/>
    <mergeCell ref="G17:G19"/>
    <mergeCell ref="H17:H19"/>
    <mergeCell ref="M17:M19"/>
    <mergeCell ref="C17:C19"/>
    <mergeCell ref="O17:O19"/>
    <mergeCell ref="L13:L14"/>
    <mergeCell ref="I15:I16"/>
    <mergeCell ref="J15:J16"/>
    <mergeCell ref="A20:A21"/>
    <mergeCell ref="E20:E21"/>
    <mergeCell ref="F20:F21"/>
    <mergeCell ref="G20:G21"/>
    <mergeCell ref="H20:H21"/>
    <mergeCell ref="M20:M21"/>
    <mergeCell ref="O20:O21"/>
    <mergeCell ref="B20:B21"/>
    <mergeCell ref="A15:A16"/>
    <mergeCell ref="E15:E16"/>
    <mergeCell ref="F15:F16"/>
    <mergeCell ref="G15:G16"/>
    <mergeCell ref="H15:H16"/>
    <mergeCell ref="K25:K26"/>
    <mergeCell ref="L25:L26"/>
    <mergeCell ref="C15:C16"/>
    <mergeCell ref="S15:S16"/>
    <mergeCell ref="T15:T16"/>
    <mergeCell ref="U22:U24"/>
    <mergeCell ref="V22:V24"/>
    <mergeCell ref="O22:O24"/>
    <mergeCell ref="P22:P24"/>
    <mergeCell ref="Q22:Q24"/>
    <mergeCell ref="Q15:Q16"/>
    <mergeCell ref="R15:R16"/>
    <mergeCell ref="P17:P19"/>
    <mergeCell ref="J17:J19"/>
    <mergeCell ref="K17:K19"/>
    <mergeCell ref="L17:L19"/>
    <mergeCell ref="I20:I21"/>
    <mergeCell ref="J20:J21"/>
    <mergeCell ref="K20:K21"/>
    <mergeCell ref="L20:L21"/>
    <mergeCell ref="C20:C21"/>
    <mergeCell ref="U17:U19"/>
    <mergeCell ref="V17:V19"/>
    <mergeCell ref="Q17:Q19"/>
    <mergeCell ref="R17:R19"/>
    <mergeCell ref="S17:S19"/>
    <mergeCell ref="T17:T19"/>
    <mergeCell ref="M15:M16"/>
    <mergeCell ref="O15:O16"/>
    <mergeCell ref="P15:P16"/>
    <mergeCell ref="P20:P21"/>
    <mergeCell ref="Q20:Q21"/>
    <mergeCell ref="D33:D37"/>
    <mergeCell ref="A22:A24"/>
    <mergeCell ref="E22:E24"/>
    <mergeCell ref="F22:F24"/>
    <mergeCell ref="A25:A26"/>
    <mergeCell ref="E25:E26"/>
    <mergeCell ref="F25:F26"/>
    <mergeCell ref="G25:G26"/>
    <mergeCell ref="H25:H26"/>
    <mergeCell ref="M25:M26"/>
    <mergeCell ref="G22:G24"/>
    <mergeCell ref="H22:H24"/>
    <mergeCell ref="M22:M24"/>
    <mergeCell ref="C22:C24"/>
    <mergeCell ref="C25:C26"/>
    <mergeCell ref="B22:B24"/>
    <mergeCell ref="B25:B26"/>
    <mergeCell ref="A29:A32"/>
    <mergeCell ref="E29:E32"/>
    <mergeCell ref="F29:F32"/>
    <mergeCell ref="G29:G32"/>
    <mergeCell ref="H29:H32"/>
    <mergeCell ref="B27:B28"/>
    <mergeCell ref="E27:E28"/>
    <mergeCell ref="F27:F28"/>
    <mergeCell ref="G27:G28"/>
    <mergeCell ref="H27:H28"/>
    <mergeCell ref="M29:M32"/>
    <mergeCell ref="D27:D28"/>
    <mergeCell ref="K27:K28"/>
    <mergeCell ref="I25:I26"/>
    <mergeCell ref="J25:J26"/>
    <mergeCell ref="O29:O32"/>
    <mergeCell ref="P29:P32"/>
    <mergeCell ref="Q29:Q32"/>
    <mergeCell ref="R29:R32"/>
    <mergeCell ref="M27:M28"/>
    <mergeCell ref="O27:O28"/>
    <mergeCell ref="P27:P28"/>
    <mergeCell ref="Q27:Q28"/>
    <mergeCell ref="I27:I28"/>
    <mergeCell ref="J27:J28"/>
    <mergeCell ref="K29:K32"/>
    <mergeCell ref="L29:L32"/>
    <mergeCell ref="E255:AR255"/>
    <mergeCell ref="U33:U37"/>
    <mergeCell ref="V33:V37"/>
    <mergeCell ref="A38:A39"/>
    <mergeCell ref="E38:E39"/>
    <mergeCell ref="F38:F39"/>
    <mergeCell ref="G38:G39"/>
    <mergeCell ref="H38:H39"/>
    <mergeCell ref="M38:M39"/>
    <mergeCell ref="O38:O39"/>
    <mergeCell ref="P38:P39"/>
    <mergeCell ref="Q38:Q39"/>
    <mergeCell ref="R38:R39"/>
    <mergeCell ref="S38:S39"/>
    <mergeCell ref="T38:T39"/>
    <mergeCell ref="A33:A37"/>
    <mergeCell ref="V38:V39"/>
    <mergeCell ref="R33:R37"/>
    <mergeCell ref="S33:S37"/>
    <mergeCell ref="T33:T37"/>
    <mergeCell ref="U38:U39"/>
    <mergeCell ref="H40:H41"/>
    <mergeCell ref="E57:E59"/>
    <mergeCell ref="F57:F59"/>
    <mergeCell ref="G57:G59"/>
    <mergeCell ref="H57:H59"/>
    <mergeCell ref="M57:M59"/>
    <mergeCell ref="I54:I56"/>
    <mergeCell ref="J54:J56"/>
    <mergeCell ref="E33:E37"/>
    <mergeCell ref="F33:F37"/>
    <mergeCell ref="G33:G37"/>
    <mergeCell ref="AP1:AR2"/>
    <mergeCell ref="AP3:AR3"/>
    <mergeCell ref="AP4:AR4"/>
    <mergeCell ref="AP5:AR5"/>
    <mergeCell ref="H1:AO1"/>
    <mergeCell ref="H2:AO3"/>
    <mergeCell ref="H4:AO4"/>
    <mergeCell ref="H5:AO5"/>
    <mergeCell ref="A2:G5"/>
    <mergeCell ref="A1:G1"/>
    <mergeCell ref="B13:B14"/>
    <mergeCell ref="C27:C28"/>
    <mergeCell ref="C29:C32"/>
    <mergeCell ref="C33:C37"/>
    <mergeCell ref="C38:C39"/>
    <mergeCell ref="D15:D16"/>
    <mergeCell ref="D17:D19"/>
    <mergeCell ref="D20:D21"/>
    <mergeCell ref="D22:D24"/>
    <mergeCell ref="D25:D26"/>
    <mergeCell ref="F9:V9"/>
    <mergeCell ref="Q11:Q12"/>
    <mergeCell ref="T11:T12"/>
    <mergeCell ref="M11:M12"/>
    <mergeCell ref="H11:H12"/>
    <mergeCell ref="G11:G12"/>
    <mergeCell ref="O11:O12"/>
    <mergeCell ref="P11:P12"/>
    <mergeCell ref="B11:B12"/>
    <mergeCell ref="U29:U32"/>
    <mergeCell ref="V29:V32"/>
    <mergeCell ref="D38:D39"/>
    <mergeCell ref="B15:B16"/>
    <mergeCell ref="B29:B32"/>
    <mergeCell ref="B33:B37"/>
    <mergeCell ref="O40:O41"/>
    <mergeCell ref="P40:P41"/>
    <mergeCell ref="Q40:Q41"/>
    <mergeCell ref="R40:R41"/>
    <mergeCell ref="S40:S41"/>
    <mergeCell ref="T40:T41"/>
    <mergeCell ref="U40:U41"/>
    <mergeCell ref="V40:V41"/>
    <mergeCell ref="P33:P37"/>
    <mergeCell ref="Q33:Q37"/>
    <mergeCell ref="O25:O26"/>
    <mergeCell ref="P25:P26"/>
    <mergeCell ref="Q25:Q26"/>
    <mergeCell ref="S22:S24"/>
    <mergeCell ref="T22:T24"/>
    <mergeCell ref="F40:F41"/>
    <mergeCell ref="G40:G41"/>
    <mergeCell ref="V27:V28"/>
    <mergeCell ref="M40:M41"/>
    <mergeCell ref="D29:D32"/>
    <mergeCell ref="H33:H37"/>
    <mergeCell ref="B38:B39"/>
    <mergeCell ref="I33:I37"/>
    <mergeCell ref="J33:J37"/>
    <mergeCell ref="K33:K37"/>
    <mergeCell ref="L33:L37"/>
    <mergeCell ref="I38:I39"/>
    <mergeCell ref="J38:J39"/>
    <mergeCell ref="K54:K56"/>
    <mergeCell ref="V60:V61"/>
    <mergeCell ref="A62:A66"/>
    <mergeCell ref="B62:B66"/>
    <mergeCell ref="C62:C66"/>
    <mergeCell ref="D54:D56"/>
    <mergeCell ref="E54:E56"/>
    <mergeCell ref="F54:F56"/>
    <mergeCell ref="G54:G56"/>
    <mergeCell ref="H54:H56"/>
    <mergeCell ref="M54:M56"/>
    <mergeCell ref="O54:O56"/>
    <mergeCell ref="P54:P56"/>
    <mergeCell ref="Q54:Q56"/>
    <mergeCell ref="R54:R56"/>
    <mergeCell ref="S54:S56"/>
    <mergeCell ref="T54:T56"/>
    <mergeCell ref="U54:U56"/>
    <mergeCell ref="V54:V56"/>
    <mergeCell ref="O57:O59"/>
    <mergeCell ref="P57:P59"/>
    <mergeCell ref="A54:A56"/>
    <mergeCell ref="B54:B56"/>
    <mergeCell ref="C54:C56"/>
    <mergeCell ref="Q57:Q59"/>
    <mergeCell ref="R57:R59"/>
    <mergeCell ref="S57:S59"/>
    <mergeCell ref="T57:T59"/>
    <mergeCell ref="U57:U59"/>
    <mergeCell ref="V57:V59"/>
    <mergeCell ref="L54:L56"/>
    <mergeCell ref="I57:I59"/>
    <mergeCell ref="J57:J59"/>
    <mergeCell ref="K57:K59"/>
    <mergeCell ref="L57:L59"/>
    <mergeCell ref="I60:I61"/>
    <mergeCell ref="A60:A61"/>
    <mergeCell ref="B60:B61"/>
    <mergeCell ref="C60:C61"/>
    <mergeCell ref="D60:D61"/>
    <mergeCell ref="E60:E61"/>
    <mergeCell ref="F60:F61"/>
    <mergeCell ref="G60:G61"/>
    <mergeCell ref="H60:H61"/>
    <mergeCell ref="M60:M61"/>
    <mergeCell ref="O60:O61"/>
    <mergeCell ref="P60:P61"/>
    <mergeCell ref="Q60:Q61"/>
    <mergeCell ref="R60:R61"/>
    <mergeCell ref="S60:S61"/>
    <mergeCell ref="T60:T61"/>
    <mergeCell ref="U60:U61"/>
    <mergeCell ref="A57:A59"/>
    <mergeCell ref="A67:A68"/>
    <mergeCell ref="B67:B68"/>
    <mergeCell ref="C67:C68"/>
    <mergeCell ref="D67:D68"/>
    <mergeCell ref="E67:E68"/>
    <mergeCell ref="F67:F68"/>
    <mergeCell ref="G67:G68"/>
    <mergeCell ref="H67:H68"/>
    <mergeCell ref="M67:M68"/>
    <mergeCell ref="J60:J61"/>
    <mergeCell ref="K60:K61"/>
    <mergeCell ref="L60:L61"/>
    <mergeCell ref="I62:I66"/>
    <mergeCell ref="J62:J66"/>
    <mergeCell ref="K62:K66"/>
    <mergeCell ref="L62:L66"/>
    <mergeCell ref="D62:D66"/>
    <mergeCell ref="E62:E66"/>
    <mergeCell ref="F62:F66"/>
    <mergeCell ref="G62:G66"/>
    <mergeCell ref="H62:H66"/>
    <mergeCell ref="M62:M66"/>
    <mergeCell ref="D69:D70"/>
    <mergeCell ref="E69:E70"/>
    <mergeCell ref="F69:F70"/>
    <mergeCell ref="G69:G70"/>
    <mergeCell ref="H69:H70"/>
    <mergeCell ref="M69:M70"/>
    <mergeCell ref="O69:O70"/>
    <mergeCell ref="P69:P70"/>
    <mergeCell ref="Q69:Q70"/>
    <mergeCell ref="R69:R70"/>
    <mergeCell ref="S69:S70"/>
    <mergeCell ref="T69:T70"/>
    <mergeCell ref="R62:R66"/>
    <mergeCell ref="S62:S66"/>
    <mergeCell ref="T62:T66"/>
    <mergeCell ref="B57:B59"/>
    <mergeCell ref="C57:C59"/>
    <mergeCell ref="D57:D59"/>
    <mergeCell ref="V71:V73"/>
    <mergeCell ref="I71:I73"/>
    <mergeCell ref="J71:J73"/>
    <mergeCell ref="K71:K73"/>
    <mergeCell ref="L71:L73"/>
    <mergeCell ref="N71:N73"/>
    <mergeCell ref="U62:U66"/>
    <mergeCell ref="V62:V66"/>
    <mergeCell ref="O67:O68"/>
    <mergeCell ref="P67:P68"/>
    <mergeCell ref="Q67:Q68"/>
    <mergeCell ref="R67:R68"/>
    <mergeCell ref="S67:S68"/>
    <mergeCell ref="T67:T68"/>
    <mergeCell ref="U67:U68"/>
    <mergeCell ref="V67:V68"/>
    <mergeCell ref="I67:I68"/>
    <mergeCell ref="J67:J68"/>
    <mergeCell ref="K67:K68"/>
    <mergeCell ref="L67:L68"/>
    <mergeCell ref="U69:U70"/>
    <mergeCell ref="V69:V70"/>
    <mergeCell ref="I69:I70"/>
    <mergeCell ref="J69:J70"/>
    <mergeCell ref="K69:K70"/>
    <mergeCell ref="L69:L70"/>
    <mergeCell ref="N69:N70"/>
    <mergeCell ref="O62:O66"/>
    <mergeCell ref="P62:P66"/>
    <mergeCell ref="Q62:Q66"/>
    <mergeCell ref="T75:T76"/>
    <mergeCell ref="U75:U76"/>
    <mergeCell ref="A81:A82"/>
    <mergeCell ref="B81:B82"/>
    <mergeCell ref="C81:C82"/>
    <mergeCell ref="D81:D82"/>
    <mergeCell ref="E81:E82"/>
    <mergeCell ref="F81:F82"/>
    <mergeCell ref="G81:G82"/>
    <mergeCell ref="A71:A73"/>
    <mergeCell ref="B71:B73"/>
    <mergeCell ref="C71:C73"/>
    <mergeCell ref="D71:D73"/>
    <mergeCell ref="E71:E73"/>
    <mergeCell ref="F71:F73"/>
    <mergeCell ref="G71:G73"/>
    <mergeCell ref="H71:H73"/>
    <mergeCell ref="M71:M73"/>
    <mergeCell ref="O71:O73"/>
    <mergeCell ref="P71:P73"/>
    <mergeCell ref="Q71:Q73"/>
    <mergeCell ref="R71:R73"/>
    <mergeCell ref="S71:S73"/>
    <mergeCell ref="T71:T73"/>
    <mergeCell ref="U71:U73"/>
    <mergeCell ref="V77:V79"/>
    <mergeCell ref="I75:I76"/>
    <mergeCell ref="J75:J76"/>
    <mergeCell ref="K75:K76"/>
    <mergeCell ref="L75:L76"/>
    <mergeCell ref="I77:I79"/>
    <mergeCell ref="J77:J79"/>
    <mergeCell ref="K77:K79"/>
    <mergeCell ref="L77:L79"/>
    <mergeCell ref="A69:A70"/>
    <mergeCell ref="B69:B70"/>
    <mergeCell ref="C69:C70"/>
    <mergeCell ref="S81:S82"/>
    <mergeCell ref="T81:T82"/>
    <mergeCell ref="U81:U82"/>
    <mergeCell ref="V81:V82"/>
    <mergeCell ref="N75:N76"/>
    <mergeCell ref="N77:N79"/>
    <mergeCell ref="A75:A76"/>
    <mergeCell ref="B75:B76"/>
    <mergeCell ref="C75:C76"/>
    <mergeCell ref="D75:D76"/>
    <mergeCell ref="E75:E76"/>
    <mergeCell ref="F75:F76"/>
    <mergeCell ref="G75:G76"/>
    <mergeCell ref="H75:H76"/>
    <mergeCell ref="M75:M76"/>
    <mergeCell ref="O75:O76"/>
    <mergeCell ref="P75:P76"/>
    <mergeCell ref="Q75:Q76"/>
    <mergeCell ref="R75:R76"/>
    <mergeCell ref="S75:S76"/>
    <mergeCell ref="H81:H82"/>
    <mergeCell ref="N81:N82"/>
    <mergeCell ref="M81:M82"/>
    <mergeCell ref="O81:O82"/>
    <mergeCell ref="P81:P82"/>
    <mergeCell ref="Q81:Q82"/>
    <mergeCell ref="R81:R82"/>
    <mergeCell ref="I81:I82"/>
    <mergeCell ref="J81:J82"/>
    <mergeCell ref="K81:K82"/>
    <mergeCell ref="L81:L82"/>
    <mergeCell ref="I83:I84"/>
    <mergeCell ref="J83:J84"/>
    <mergeCell ref="K83:K84"/>
    <mergeCell ref="L83:L84"/>
    <mergeCell ref="V75:V76"/>
    <mergeCell ref="A77:A79"/>
    <mergeCell ref="B77:B79"/>
    <mergeCell ref="C77:C79"/>
    <mergeCell ref="D77:D79"/>
    <mergeCell ref="E77:E79"/>
    <mergeCell ref="F77:F79"/>
    <mergeCell ref="G77:G79"/>
    <mergeCell ref="H77:H79"/>
    <mergeCell ref="M77:M79"/>
    <mergeCell ref="O77:O79"/>
    <mergeCell ref="P77:P79"/>
    <mergeCell ref="Q77:Q79"/>
    <mergeCell ref="R77:R79"/>
    <mergeCell ref="S77:S79"/>
    <mergeCell ref="T77:T79"/>
    <mergeCell ref="U77:U79"/>
    <mergeCell ref="S91:S92"/>
    <mergeCell ref="T91:T92"/>
    <mergeCell ref="U91:U92"/>
    <mergeCell ref="V91:V92"/>
    <mergeCell ref="S83:S84"/>
    <mergeCell ref="T83:T84"/>
    <mergeCell ref="U83:U84"/>
    <mergeCell ref="V83:V84"/>
    <mergeCell ref="N83:N84"/>
    <mergeCell ref="A83:A84"/>
    <mergeCell ref="B83:B84"/>
    <mergeCell ref="C83:C84"/>
    <mergeCell ref="D83:D84"/>
    <mergeCell ref="E83:E84"/>
    <mergeCell ref="F83:F84"/>
    <mergeCell ref="G83:G84"/>
    <mergeCell ref="H83:H84"/>
    <mergeCell ref="M83:M84"/>
    <mergeCell ref="O83:O84"/>
    <mergeCell ref="P83:P84"/>
    <mergeCell ref="Q83:Q84"/>
    <mergeCell ref="R83:R84"/>
    <mergeCell ref="O91:O92"/>
    <mergeCell ref="P91:P92"/>
    <mergeCell ref="Q91:Q92"/>
    <mergeCell ref="R91:R92"/>
    <mergeCell ref="G93:G94"/>
    <mergeCell ref="H93:H94"/>
    <mergeCell ref="N93:N94"/>
    <mergeCell ref="M93:M94"/>
    <mergeCell ref="A91:A92"/>
    <mergeCell ref="B91:B92"/>
    <mergeCell ref="C91:C92"/>
    <mergeCell ref="D91:D92"/>
    <mergeCell ref="E91:E92"/>
    <mergeCell ref="F91:F92"/>
    <mergeCell ref="G91:G92"/>
    <mergeCell ref="H91:H92"/>
    <mergeCell ref="M91:M92"/>
    <mergeCell ref="I93:I94"/>
    <mergeCell ref="J93:J94"/>
    <mergeCell ref="K93:K94"/>
    <mergeCell ref="L93:L94"/>
    <mergeCell ref="I91:I92"/>
    <mergeCell ref="J91:J92"/>
    <mergeCell ref="K91:K92"/>
    <mergeCell ref="L91:L92"/>
    <mergeCell ref="N91:N92"/>
    <mergeCell ref="O93:O94"/>
    <mergeCell ref="P93:P94"/>
    <mergeCell ref="Q93:Q94"/>
    <mergeCell ref="R93:R94"/>
    <mergeCell ref="S97:S98"/>
    <mergeCell ref="T97:T98"/>
    <mergeCell ref="U97:U98"/>
    <mergeCell ref="V97:V98"/>
    <mergeCell ref="A97:A98"/>
    <mergeCell ref="B97:B98"/>
    <mergeCell ref="C97:C98"/>
    <mergeCell ref="D97:D98"/>
    <mergeCell ref="E97:E98"/>
    <mergeCell ref="F97:F98"/>
    <mergeCell ref="G97:G98"/>
    <mergeCell ref="H97:H98"/>
    <mergeCell ref="N97:N98"/>
    <mergeCell ref="M97:M98"/>
    <mergeCell ref="O97:O98"/>
    <mergeCell ref="P97:P98"/>
    <mergeCell ref="Q97:Q98"/>
    <mergeCell ref="R97:R98"/>
    <mergeCell ref="S93:S94"/>
    <mergeCell ref="T93:T94"/>
    <mergeCell ref="U93:U94"/>
    <mergeCell ref="V93:V94"/>
    <mergeCell ref="A93:A94"/>
    <mergeCell ref="B93:B94"/>
    <mergeCell ref="C93:C94"/>
    <mergeCell ref="D93:D94"/>
    <mergeCell ref="E93:E94"/>
    <mergeCell ref="F93:F94"/>
    <mergeCell ref="S104:S105"/>
    <mergeCell ref="T104:T105"/>
    <mergeCell ref="U104:U105"/>
    <mergeCell ref="V104:V105"/>
    <mergeCell ref="N102:N103"/>
    <mergeCell ref="S99:S100"/>
    <mergeCell ref="A104:A105"/>
    <mergeCell ref="B104:B105"/>
    <mergeCell ref="C104:C105"/>
    <mergeCell ref="D104:D105"/>
    <mergeCell ref="E104:E105"/>
    <mergeCell ref="F104:F105"/>
    <mergeCell ref="G104:G105"/>
    <mergeCell ref="H104:H105"/>
    <mergeCell ref="N104:N105"/>
    <mergeCell ref="M104:M105"/>
    <mergeCell ref="A102:A103"/>
    <mergeCell ref="B102:B103"/>
    <mergeCell ref="C102:C103"/>
    <mergeCell ref="D102:D103"/>
    <mergeCell ref="E102:E103"/>
    <mergeCell ref="F102:F103"/>
    <mergeCell ref="G102:G103"/>
    <mergeCell ref="H102:H103"/>
    <mergeCell ref="M102:M103"/>
    <mergeCell ref="O102:O103"/>
    <mergeCell ref="P102:P103"/>
    <mergeCell ref="Q102:Q103"/>
    <mergeCell ref="R102:R103"/>
    <mergeCell ref="S102:S103"/>
    <mergeCell ref="T102:T103"/>
    <mergeCell ref="U102:U103"/>
    <mergeCell ref="V102:V103"/>
    <mergeCell ref="I102:I103"/>
    <mergeCell ref="J102:J103"/>
    <mergeCell ref="K102:K103"/>
    <mergeCell ref="L102:L103"/>
    <mergeCell ref="R99:R101"/>
    <mergeCell ref="T99:T101"/>
    <mergeCell ref="U99:U101"/>
    <mergeCell ref="V99:V101"/>
    <mergeCell ref="O104:O105"/>
    <mergeCell ref="P104:P105"/>
    <mergeCell ref="Q104:Q105"/>
    <mergeCell ref="R104:R105"/>
    <mergeCell ref="N106:N109"/>
    <mergeCell ref="A106:A109"/>
    <mergeCell ref="B106:B109"/>
    <mergeCell ref="C106:C109"/>
    <mergeCell ref="D106:D109"/>
    <mergeCell ref="E106:E109"/>
    <mergeCell ref="F106:F109"/>
    <mergeCell ref="G106:G109"/>
    <mergeCell ref="H106:H109"/>
    <mergeCell ref="M106:M109"/>
    <mergeCell ref="O106:O109"/>
    <mergeCell ref="P106:P109"/>
    <mergeCell ref="Q106:Q109"/>
    <mergeCell ref="R106:R109"/>
    <mergeCell ref="I104:I105"/>
    <mergeCell ref="J104:J105"/>
    <mergeCell ref="K104:K105"/>
    <mergeCell ref="L104:L105"/>
    <mergeCell ref="I106:I109"/>
    <mergeCell ref="J106:J109"/>
    <mergeCell ref="K106:K109"/>
    <mergeCell ref="L106:L109"/>
    <mergeCell ref="S106:S109"/>
    <mergeCell ref="T106:T109"/>
    <mergeCell ref="U106:U109"/>
    <mergeCell ref="V106:V109"/>
    <mergeCell ref="S116:S119"/>
    <mergeCell ref="T116:T119"/>
    <mergeCell ref="U116:U119"/>
    <mergeCell ref="V116:V119"/>
    <mergeCell ref="N113:N115"/>
    <mergeCell ref="A116:A119"/>
    <mergeCell ref="B116:B119"/>
    <mergeCell ref="C116:C119"/>
    <mergeCell ref="D116:D119"/>
    <mergeCell ref="E116:E119"/>
    <mergeCell ref="F116:F119"/>
    <mergeCell ref="G116:G119"/>
    <mergeCell ref="H116:H119"/>
    <mergeCell ref="N116:N119"/>
    <mergeCell ref="M116:M119"/>
    <mergeCell ref="A113:A115"/>
    <mergeCell ref="B113:B115"/>
    <mergeCell ref="C113:C115"/>
    <mergeCell ref="D113:D115"/>
    <mergeCell ref="E113:E115"/>
    <mergeCell ref="F113:F115"/>
    <mergeCell ref="G113:G115"/>
    <mergeCell ref="H113:H115"/>
    <mergeCell ref="M113:M115"/>
    <mergeCell ref="O113:O115"/>
    <mergeCell ref="T113:T115"/>
    <mergeCell ref="U113:U115"/>
    <mergeCell ref="V113:V115"/>
    <mergeCell ref="I113:I115"/>
    <mergeCell ref="J113:J115"/>
    <mergeCell ref="K113:K115"/>
    <mergeCell ref="L113:L115"/>
    <mergeCell ref="O116:O119"/>
    <mergeCell ref="P116:P119"/>
    <mergeCell ref="Q116:Q119"/>
    <mergeCell ref="R116:R119"/>
    <mergeCell ref="S137:S138"/>
    <mergeCell ref="T137:T138"/>
    <mergeCell ref="U137:U138"/>
    <mergeCell ref="V137:V138"/>
    <mergeCell ref="N120:N123"/>
    <mergeCell ref="N124:N126"/>
    <mergeCell ref="V120:V123"/>
    <mergeCell ref="I128:I130"/>
    <mergeCell ref="J128:J130"/>
    <mergeCell ref="K128:K130"/>
    <mergeCell ref="L128:L130"/>
    <mergeCell ref="I116:I119"/>
    <mergeCell ref="J116:J119"/>
    <mergeCell ref="K116:K119"/>
    <mergeCell ref="L116:L119"/>
    <mergeCell ref="I120:I123"/>
    <mergeCell ref="J120:J123"/>
    <mergeCell ref="A120:A123"/>
    <mergeCell ref="B120:B123"/>
    <mergeCell ref="C120:C123"/>
    <mergeCell ref="D120:D123"/>
    <mergeCell ref="E120:E123"/>
    <mergeCell ref="F120:F123"/>
    <mergeCell ref="G120:G123"/>
    <mergeCell ref="H120:H123"/>
    <mergeCell ref="M120:M123"/>
    <mergeCell ref="O120:O123"/>
    <mergeCell ref="P120:P123"/>
    <mergeCell ref="Q120:Q123"/>
    <mergeCell ref="R120:R123"/>
    <mergeCell ref="S120:S123"/>
    <mergeCell ref="P113:P115"/>
    <mergeCell ref="Q113:Q115"/>
    <mergeCell ref="R113:R115"/>
    <mergeCell ref="S113:S115"/>
    <mergeCell ref="T120:T123"/>
    <mergeCell ref="U120:U123"/>
    <mergeCell ref="A137:A138"/>
    <mergeCell ref="B137:B138"/>
    <mergeCell ref="C137:C138"/>
    <mergeCell ref="D137:D138"/>
    <mergeCell ref="E137:E138"/>
    <mergeCell ref="F137:F138"/>
    <mergeCell ref="G137:G138"/>
    <mergeCell ref="H137:H138"/>
    <mergeCell ref="N137:N138"/>
    <mergeCell ref="M137:M138"/>
    <mergeCell ref="A124:A126"/>
    <mergeCell ref="B124:B126"/>
    <mergeCell ref="C124:C126"/>
    <mergeCell ref="D124:D126"/>
    <mergeCell ref="E124:E126"/>
    <mergeCell ref="F124:F126"/>
    <mergeCell ref="G124:G126"/>
    <mergeCell ref="H124:H126"/>
    <mergeCell ref="M124:M126"/>
    <mergeCell ref="O124:O126"/>
    <mergeCell ref="P124:P126"/>
    <mergeCell ref="Q124:Q126"/>
    <mergeCell ref="R124:R126"/>
    <mergeCell ref="S124:S126"/>
    <mergeCell ref="T124:T126"/>
    <mergeCell ref="U124:U126"/>
    <mergeCell ref="A128:A130"/>
    <mergeCell ref="K120:K123"/>
    <mergeCell ref="L120:L123"/>
    <mergeCell ref="I124:I126"/>
    <mergeCell ref="V124:V126"/>
    <mergeCell ref="O137:O138"/>
    <mergeCell ref="P137:P138"/>
    <mergeCell ref="Q137:Q138"/>
    <mergeCell ref="R137:R138"/>
    <mergeCell ref="B128:B130"/>
    <mergeCell ref="C128:C130"/>
    <mergeCell ref="D128:D130"/>
    <mergeCell ref="O128:O130"/>
    <mergeCell ref="P128:P130"/>
    <mergeCell ref="Q128:Q130"/>
    <mergeCell ref="R128:R130"/>
    <mergeCell ref="S128:S130"/>
    <mergeCell ref="T128:T130"/>
    <mergeCell ref="U128:U130"/>
    <mergeCell ref="V128:V130"/>
    <mergeCell ref="M128:M130"/>
    <mergeCell ref="N128:N130"/>
    <mergeCell ref="V131:V136"/>
    <mergeCell ref="E128:E130"/>
    <mergeCell ref="F128:F130"/>
    <mergeCell ref="G128:G130"/>
    <mergeCell ref="S142:S143"/>
    <mergeCell ref="T142:T143"/>
    <mergeCell ref="U142:U143"/>
    <mergeCell ref="V142:V143"/>
    <mergeCell ref="N140:N141"/>
    <mergeCell ref="A142:A143"/>
    <mergeCell ref="B142:B143"/>
    <mergeCell ref="C142:C143"/>
    <mergeCell ref="D142:D143"/>
    <mergeCell ref="E142:E143"/>
    <mergeCell ref="F142:F143"/>
    <mergeCell ref="G142:G143"/>
    <mergeCell ref="H142:H143"/>
    <mergeCell ref="N142:N143"/>
    <mergeCell ref="M142:M143"/>
    <mergeCell ref="A140:A141"/>
    <mergeCell ref="B140:B141"/>
    <mergeCell ref="C140:C141"/>
    <mergeCell ref="D140:D141"/>
    <mergeCell ref="E140:E141"/>
    <mergeCell ref="F140:F141"/>
    <mergeCell ref="G140:G141"/>
    <mergeCell ref="H140:H141"/>
    <mergeCell ref="M140:M141"/>
    <mergeCell ref="O140:O141"/>
    <mergeCell ref="P140:P141"/>
    <mergeCell ref="Q140:Q141"/>
    <mergeCell ref="R140:R141"/>
    <mergeCell ref="S140:S141"/>
    <mergeCell ref="T140:T141"/>
    <mergeCell ref="U140:U141"/>
    <mergeCell ref="V140:V141"/>
    <mergeCell ref="O142:O143"/>
    <mergeCell ref="P142:P143"/>
    <mergeCell ref="Q142:Q143"/>
    <mergeCell ref="R142:R143"/>
    <mergeCell ref="S147:S148"/>
    <mergeCell ref="T147:T148"/>
    <mergeCell ref="U147:U148"/>
    <mergeCell ref="V147:V148"/>
    <mergeCell ref="N145:N146"/>
    <mergeCell ref="A147:A148"/>
    <mergeCell ref="B147:B148"/>
    <mergeCell ref="C147:C148"/>
    <mergeCell ref="D147:D148"/>
    <mergeCell ref="E147:E148"/>
    <mergeCell ref="F147:F148"/>
    <mergeCell ref="G147:G148"/>
    <mergeCell ref="H147:H148"/>
    <mergeCell ref="N147:N148"/>
    <mergeCell ref="M147:M148"/>
    <mergeCell ref="A145:A146"/>
    <mergeCell ref="B145:B146"/>
    <mergeCell ref="C145:C146"/>
    <mergeCell ref="D145:D146"/>
    <mergeCell ref="E145:E146"/>
    <mergeCell ref="F145:F146"/>
    <mergeCell ref="G145:G146"/>
    <mergeCell ref="H145:H146"/>
    <mergeCell ref="M145:M146"/>
    <mergeCell ref="O145:O146"/>
    <mergeCell ref="P145:P146"/>
    <mergeCell ref="Q145:Q146"/>
    <mergeCell ref="R145:R146"/>
    <mergeCell ref="S145:S146"/>
    <mergeCell ref="T145:T146"/>
    <mergeCell ref="U145:U146"/>
    <mergeCell ref="V145:V146"/>
    <mergeCell ref="O147:O148"/>
    <mergeCell ref="P147:P148"/>
    <mergeCell ref="Q147:Q148"/>
    <mergeCell ref="R147:R148"/>
    <mergeCell ref="S153:S155"/>
    <mergeCell ref="T153:T155"/>
    <mergeCell ref="U153:U155"/>
    <mergeCell ref="V153:V155"/>
    <mergeCell ref="N149:N150"/>
    <mergeCell ref="N151:N152"/>
    <mergeCell ref="V149:V150"/>
    <mergeCell ref="A149:A150"/>
    <mergeCell ref="B149:B150"/>
    <mergeCell ref="C149:C150"/>
    <mergeCell ref="D149:D150"/>
    <mergeCell ref="E149:E150"/>
    <mergeCell ref="F149:F150"/>
    <mergeCell ref="G149:G150"/>
    <mergeCell ref="H149:H150"/>
    <mergeCell ref="M149:M150"/>
    <mergeCell ref="O149:O150"/>
    <mergeCell ref="P149:P150"/>
    <mergeCell ref="Q149:Q150"/>
    <mergeCell ref="R149:R150"/>
    <mergeCell ref="S149:S150"/>
    <mergeCell ref="T149:T150"/>
    <mergeCell ref="U149:U150"/>
    <mergeCell ref="A153:A155"/>
    <mergeCell ref="B153:B155"/>
    <mergeCell ref="C153:C155"/>
    <mergeCell ref="D153:D155"/>
    <mergeCell ref="E153:E155"/>
    <mergeCell ref="F153:F155"/>
    <mergeCell ref="G153:G155"/>
    <mergeCell ref="H153:H155"/>
    <mergeCell ref="N153:N155"/>
    <mergeCell ref="M153:M155"/>
    <mergeCell ref="A151:A152"/>
    <mergeCell ref="B151:B152"/>
    <mergeCell ref="C151:C152"/>
    <mergeCell ref="D151:D152"/>
    <mergeCell ref="E151:E152"/>
    <mergeCell ref="F151:F152"/>
    <mergeCell ref="V156:V157"/>
    <mergeCell ref="G151:G152"/>
    <mergeCell ref="H151:H152"/>
    <mergeCell ref="M151:M152"/>
    <mergeCell ref="O151:O152"/>
    <mergeCell ref="P151:P152"/>
    <mergeCell ref="Q151:Q152"/>
    <mergeCell ref="R151:R152"/>
    <mergeCell ref="S151:S152"/>
    <mergeCell ref="T151:T152"/>
    <mergeCell ref="U151:U152"/>
    <mergeCell ref="V151:V152"/>
    <mergeCell ref="I151:I152"/>
    <mergeCell ref="J151:J152"/>
    <mergeCell ref="K151:K152"/>
    <mergeCell ref="L151:L152"/>
    <mergeCell ref="O153:O155"/>
    <mergeCell ref="P153:P155"/>
    <mergeCell ref="Q153:Q155"/>
    <mergeCell ref="R153:R155"/>
    <mergeCell ref="I156:I157"/>
    <mergeCell ref="J156:J157"/>
    <mergeCell ref="K156:K157"/>
    <mergeCell ref="L156:L157"/>
    <mergeCell ref="V158:V159"/>
    <mergeCell ref="S160:S161"/>
    <mergeCell ref="T160:T161"/>
    <mergeCell ref="U160:U161"/>
    <mergeCell ref="V160:V161"/>
    <mergeCell ref="N156:N157"/>
    <mergeCell ref="N158:N159"/>
    <mergeCell ref="A156:A157"/>
    <mergeCell ref="B156:B157"/>
    <mergeCell ref="C156:C157"/>
    <mergeCell ref="D156:D157"/>
    <mergeCell ref="E156:E157"/>
    <mergeCell ref="F156:F157"/>
    <mergeCell ref="G156:G157"/>
    <mergeCell ref="H156:H157"/>
    <mergeCell ref="M156:M157"/>
    <mergeCell ref="O156:O157"/>
    <mergeCell ref="P156:P157"/>
    <mergeCell ref="Q156:Q157"/>
    <mergeCell ref="R156:R157"/>
    <mergeCell ref="S156:S157"/>
    <mergeCell ref="T156:T157"/>
    <mergeCell ref="U156:U157"/>
    <mergeCell ref="A160:A161"/>
    <mergeCell ref="B160:B161"/>
    <mergeCell ref="C160:C161"/>
    <mergeCell ref="D160:D161"/>
    <mergeCell ref="E160:E161"/>
    <mergeCell ref="F160:F161"/>
    <mergeCell ref="H160:H161"/>
    <mergeCell ref="N160:N161"/>
    <mergeCell ref="M160:M161"/>
    <mergeCell ref="U163:U167"/>
    <mergeCell ref="A172:A173"/>
    <mergeCell ref="B172:B173"/>
    <mergeCell ref="C172:C173"/>
    <mergeCell ref="D172:D173"/>
    <mergeCell ref="E172:E173"/>
    <mergeCell ref="F172:F173"/>
    <mergeCell ref="M172:M173"/>
    <mergeCell ref="V163:V167"/>
    <mergeCell ref="A168:A171"/>
    <mergeCell ref="B168:B171"/>
    <mergeCell ref="O160:O161"/>
    <mergeCell ref="P160:P161"/>
    <mergeCell ref="Q160:Q161"/>
    <mergeCell ref="R160:R161"/>
    <mergeCell ref="G160:G161"/>
    <mergeCell ref="N168:N171"/>
    <mergeCell ref="I168:I171"/>
    <mergeCell ref="J168:J171"/>
    <mergeCell ref="K168:K171"/>
    <mergeCell ref="L168:L171"/>
    <mergeCell ref="M168:M171"/>
    <mergeCell ref="O168:O171"/>
    <mergeCell ref="P168:P171"/>
    <mergeCell ref="Q168:Q171"/>
    <mergeCell ref="A158:A159"/>
    <mergeCell ref="B158:B159"/>
    <mergeCell ref="C158:C159"/>
    <mergeCell ref="D158:D159"/>
    <mergeCell ref="E158:E159"/>
    <mergeCell ref="F158:F159"/>
    <mergeCell ref="G158:G159"/>
    <mergeCell ref="H158:H159"/>
    <mergeCell ref="M158:M159"/>
    <mergeCell ref="O158:O159"/>
    <mergeCell ref="P158:P159"/>
    <mergeCell ref="Q158:Q159"/>
    <mergeCell ref="R158:R159"/>
    <mergeCell ref="S158:S159"/>
    <mergeCell ref="T158:T159"/>
    <mergeCell ref="U158:U159"/>
    <mergeCell ref="N163:N167"/>
    <mergeCell ref="A163:A167"/>
    <mergeCell ref="B163:B167"/>
    <mergeCell ref="C163:C167"/>
    <mergeCell ref="D163:D167"/>
    <mergeCell ref="E163:E167"/>
    <mergeCell ref="F163:F167"/>
    <mergeCell ref="G163:G167"/>
    <mergeCell ref="H163:H167"/>
    <mergeCell ref="M163:M167"/>
    <mergeCell ref="O163:O167"/>
    <mergeCell ref="P163:P167"/>
    <mergeCell ref="Q163:Q167"/>
    <mergeCell ref="R163:R167"/>
    <mergeCell ref="S163:S167"/>
    <mergeCell ref="T163:T167"/>
    <mergeCell ref="R168:R171"/>
    <mergeCell ref="S168:S171"/>
    <mergeCell ref="T168:T171"/>
    <mergeCell ref="U168:U171"/>
    <mergeCell ref="V168:V171"/>
    <mergeCell ref="O172:O173"/>
    <mergeCell ref="P172:P173"/>
    <mergeCell ref="Q172:Q173"/>
    <mergeCell ref="R172:R173"/>
    <mergeCell ref="N172:N173"/>
    <mergeCell ref="S172:S173"/>
    <mergeCell ref="T172:T173"/>
    <mergeCell ref="U172:U173"/>
    <mergeCell ref="V172:V173"/>
    <mergeCell ref="R174:R177"/>
    <mergeCell ref="S174:S177"/>
    <mergeCell ref="T174:T177"/>
    <mergeCell ref="U174:U177"/>
    <mergeCell ref="V174:V177"/>
    <mergeCell ref="V178:V183"/>
    <mergeCell ref="N174:N177"/>
    <mergeCell ref="N178:N183"/>
    <mergeCell ref="A174:A177"/>
    <mergeCell ref="B174:B177"/>
    <mergeCell ref="C174:C177"/>
    <mergeCell ref="D174:D177"/>
    <mergeCell ref="E174:E177"/>
    <mergeCell ref="F174:F177"/>
    <mergeCell ref="G174:G177"/>
    <mergeCell ref="H174:H177"/>
    <mergeCell ref="Q174:Q177"/>
    <mergeCell ref="A184:A186"/>
    <mergeCell ref="B184:B186"/>
    <mergeCell ref="C184:C186"/>
    <mergeCell ref="D184:D186"/>
    <mergeCell ref="E184:E186"/>
    <mergeCell ref="F184:F186"/>
    <mergeCell ref="G184:G186"/>
    <mergeCell ref="H184:H186"/>
    <mergeCell ref="N184:N186"/>
    <mergeCell ref="M184:M186"/>
    <mergeCell ref="I178:I183"/>
    <mergeCell ref="J178:J183"/>
    <mergeCell ref="K178:K183"/>
    <mergeCell ref="L178:L183"/>
    <mergeCell ref="I184:I186"/>
    <mergeCell ref="J184:J186"/>
    <mergeCell ref="K184:K186"/>
    <mergeCell ref="A178:A183"/>
    <mergeCell ref="B178:B183"/>
    <mergeCell ref="C178:C183"/>
    <mergeCell ref="K195:K196"/>
    <mergeCell ref="L195:L196"/>
    <mergeCell ref="I191:I194"/>
    <mergeCell ref="J191:J194"/>
    <mergeCell ref="K191:K194"/>
    <mergeCell ref="L191:L194"/>
    <mergeCell ref="O195:O196"/>
    <mergeCell ref="P195:P196"/>
    <mergeCell ref="Q195:Q196"/>
    <mergeCell ref="R195:R196"/>
    <mergeCell ref="S195:S196"/>
    <mergeCell ref="T195:T196"/>
    <mergeCell ref="U195:U196"/>
    <mergeCell ref="G195:G196"/>
    <mergeCell ref="B187:B190"/>
    <mergeCell ref="A187:A190"/>
    <mergeCell ref="O178:O183"/>
    <mergeCell ref="P178:P183"/>
    <mergeCell ref="Q178:Q183"/>
    <mergeCell ref="R178:R183"/>
    <mergeCell ref="S178:S183"/>
    <mergeCell ref="T178:T183"/>
    <mergeCell ref="U178:U183"/>
    <mergeCell ref="D178:D183"/>
    <mergeCell ref="E178:E183"/>
    <mergeCell ref="F178:F183"/>
    <mergeCell ref="G178:G183"/>
    <mergeCell ref="H178:H183"/>
    <mergeCell ref="M178:M183"/>
    <mergeCell ref="L184:L186"/>
    <mergeCell ref="U210:U213"/>
    <mergeCell ref="V210:V213"/>
    <mergeCell ref="N203:N205"/>
    <mergeCell ref="N206:N209"/>
    <mergeCell ref="A203:A205"/>
    <mergeCell ref="B203:B205"/>
    <mergeCell ref="C203:C205"/>
    <mergeCell ref="D203:D205"/>
    <mergeCell ref="E203:E205"/>
    <mergeCell ref="F203:F205"/>
    <mergeCell ref="G203:G205"/>
    <mergeCell ref="V195:V196"/>
    <mergeCell ref="N187:N190"/>
    <mergeCell ref="N191:N194"/>
    <mergeCell ref="S184:S186"/>
    <mergeCell ref="T184:T186"/>
    <mergeCell ref="U184:U186"/>
    <mergeCell ref="V184:V186"/>
    <mergeCell ref="H203:H205"/>
    <mergeCell ref="M203:M205"/>
    <mergeCell ref="O203:O205"/>
    <mergeCell ref="P203:P205"/>
    <mergeCell ref="Q203:Q205"/>
    <mergeCell ref="R203:R205"/>
    <mergeCell ref="S203:S205"/>
    <mergeCell ref="T203:T205"/>
    <mergeCell ref="U203:U205"/>
    <mergeCell ref="A210:A213"/>
    <mergeCell ref="B210:B213"/>
    <mergeCell ref="C210:C213"/>
    <mergeCell ref="D210:D213"/>
    <mergeCell ref="E210:E213"/>
    <mergeCell ref="V203:V205"/>
    <mergeCell ref="A206:A209"/>
    <mergeCell ref="B206:B209"/>
    <mergeCell ref="C206:C209"/>
    <mergeCell ref="D206:D209"/>
    <mergeCell ref="E206:E209"/>
    <mergeCell ref="F206:F209"/>
    <mergeCell ref="G206:G209"/>
    <mergeCell ref="H206:H209"/>
    <mergeCell ref="M206:M209"/>
    <mergeCell ref="O206:O209"/>
    <mergeCell ref="P206:P209"/>
    <mergeCell ref="Q206:Q209"/>
    <mergeCell ref="R206:R209"/>
    <mergeCell ref="S206:S209"/>
    <mergeCell ref="T206:T209"/>
    <mergeCell ref="U206:U209"/>
    <mergeCell ref="V206:V209"/>
    <mergeCell ref="I203:I205"/>
    <mergeCell ref="J203:J205"/>
    <mergeCell ref="K203:K205"/>
    <mergeCell ref="L203:L205"/>
    <mergeCell ref="I206:I209"/>
    <mergeCell ref="J206:J209"/>
    <mergeCell ref="K206:K209"/>
    <mergeCell ref="L206:L209"/>
    <mergeCell ref="U214:U218"/>
    <mergeCell ref="A221:A223"/>
    <mergeCell ref="B221:B223"/>
    <mergeCell ref="C221:C223"/>
    <mergeCell ref="D221:D223"/>
    <mergeCell ref="E221:E223"/>
    <mergeCell ref="F221:F223"/>
    <mergeCell ref="G219:G220"/>
    <mergeCell ref="H219:H220"/>
    <mergeCell ref="M219:M220"/>
    <mergeCell ref="O219:O220"/>
    <mergeCell ref="P219:P220"/>
    <mergeCell ref="Q219:Q220"/>
    <mergeCell ref="A219:A220"/>
    <mergeCell ref="B219:B220"/>
    <mergeCell ref="R219:R220"/>
    <mergeCell ref="S219:S220"/>
    <mergeCell ref="T219:T220"/>
    <mergeCell ref="I221:I223"/>
    <mergeCell ref="J221:J223"/>
    <mergeCell ref="K221:K223"/>
    <mergeCell ref="L221:L223"/>
    <mergeCell ref="R221:R223"/>
    <mergeCell ref="M221:M223"/>
    <mergeCell ref="Q221:Q223"/>
    <mergeCell ref="I214:I218"/>
    <mergeCell ref="J214:J218"/>
    <mergeCell ref="K214:K218"/>
    <mergeCell ref="L214:L218"/>
    <mergeCell ref="O210:O213"/>
    <mergeCell ref="P210:P213"/>
    <mergeCell ref="Q210:Q213"/>
    <mergeCell ref="R210:R213"/>
    <mergeCell ref="S221:S223"/>
    <mergeCell ref="T221:T223"/>
    <mergeCell ref="S210:S213"/>
    <mergeCell ref="T210:T213"/>
    <mergeCell ref="N214:N218"/>
    <mergeCell ref="N219:N220"/>
    <mergeCell ref="A214:A218"/>
    <mergeCell ref="B214:B218"/>
    <mergeCell ref="C214:C218"/>
    <mergeCell ref="D214:D218"/>
    <mergeCell ref="E214:E218"/>
    <mergeCell ref="F214:F218"/>
    <mergeCell ref="G214:G218"/>
    <mergeCell ref="H214:H218"/>
    <mergeCell ref="M214:M218"/>
    <mergeCell ref="O214:O218"/>
    <mergeCell ref="C219:C220"/>
    <mergeCell ref="P214:P218"/>
    <mergeCell ref="Q214:Q218"/>
    <mergeCell ref="R214:R218"/>
    <mergeCell ref="S214:S218"/>
    <mergeCell ref="T214:T218"/>
    <mergeCell ref="F210:F213"/>
    <mergeCell ref="G210:G213"/>
    <mergeCell ref="H210:H213"/>
    <mergeCell ref="N210:N213"/>
    <mergeCell ref="M210:M213"/>
    <mergeCell ref="I210:I213"/>
    <mergeCell ref="D224:D228"/>
    <mergeCell ref="E224:E228"/>
    <mergeCell ref="F224:F228"/>
    <mergeCell ref="I224:I228"/>
    <mergeCell ref="J224:J228"/>
    <mergeCell ref="K224:K228"/>
    <mergeCell ref="L224:L228"/>
    <mergeCell ref="U219:U220"/>
    <mergeCell ref="V219:V220"/>
    <mergeCell ref="I219:I220"/>
    <mergeCell ref="J219:J220"/>
    <mergeCell ref="K219:K220"/>
    <mergeCell ref="L219:L220"/>
    <mergeCell ref="H224:H228"/>
    <mergeCell ref="M224:M228"/>
    <mergeCell ref="O224:O228"/>
    <mergeCell ref="P224:P228"/>
    <mergeCell ref="Q224:Q228"/>
    <mergeCell ref="R224:R228"/>
    <mergeCell ref="S224:S228"/>
    <mergeCell ref="T224:T228"/>
    <mergeCell ref="U224:U228"/>
    <mergeCell ref="U221:U223"/>
    <mergeCell ref="V221:V223"/>
    <mergeCell ref="D219:D220"/>
    <mergeCell ref="E219:E220"/>
    <mergeCell ref="F219:F220"/>
    <mergeCell ref="V234:V235"/>
    <mergeCell ref="A236:A237"/>
    <mergeCell ref="B236:B237"/>
    <mergeCell ref="C236:C237"/>
    <mergeCell ref="D236:D237"/>
    <mergeCell ref="E236:E237"/>
    <mergeCell ref="F236:F237"/>
    <mergeCell ref="H236:H237"/>
    <mergeCell ref="V236:V237"/>
    <mergeCell ref="V224:V228"/>
    <mergeCell ref="A229:A232"/>
    <mergeCell ref="B229:B232"/>
    <mergeCell ref="C229:C232"/>
    <mergeCell ref="D229:D232"/>
    <mergeCell ref="E229:E232"/>
    <mergeCell ref="F229:F232"/>
    <mergeCell ref="G229:G232"/>
    <mergeCell ref="H229:H232"/>
    <mergeCell ref="M229:M232"/>
    <mergeCell ref="O229:O232"/>
    <mergeCell ref="P229:P232"/>
    <mergeCell ref="Q229:Q232"/>
    <mergeCell ref="R229:R232"/>
    <mergeCell ref="S229:S232"/>
    <mergeCell ref="T229:T232"/>
    <mergeCell ref="U229:U232"/>
    <mergeCell ref="V229:V232"/>
    <mergeCell ref="I229:I232"/>
    <mergeCell ref="A234:A235"/>
    <mergeCell ref="B234:B235"/>
    <mergeCell ref="C234:C235"/>
    <mergeCell ref="D234:D235"/>
    <mergeCell ref="R240:R241"/>
    <mergeCell ref="S240:S241"/>
    <mergeCell ref="T240:T241"/>
    <mergeCell ref="U240:U241"/>
    <mergeCell ref="A238:A239"/>
    <mergeCell ref="B238:B239"/>
    <mergeCell ref="C238:C239"/>
    <mergeCell ref="D238:D239"/>
    <mergeCell ref="E238:E239"/>
    <mergeCell ref="F238:F239"/>
    <mergeCell ref="G238:G239"/>
    <mergeCell ref="H238:H239"/>
    <mergeCell ref="G224:G228"/>
    <mergeCell ref="I236:I237"/>
    <mergeCell ref="N238:N239"/>
    <mergeCell ref="H234:H235"/>
    <mergeCell ref="M234:M235"/>
    <mergeCell ref="O234:O235"/>
    <mergeCell ref="P234:P235"/>
    <mergeCell ref="Q234:Q235"/>
    <mergeCell ref="R234:R235"/>
    <mergeCell ref="S234:S235"/>
    <mergeCell ref="T234:T235"/>
    <mergeCell ref="U234:U235"/>
    <mergeCell ref="N224:N228"/>
    <mergeCell ref="J229:J232"/>
    <mergeCell ref="K229:K232"/>
    <mergeCell ref="L229:L232"/>
    <mergeCell ref="N229:N232"/>
    <mergeCell ref="A224:A228"/>
    <mergeCell ref="B224:B228"/>
    <mergeCell ref="C224:C228"/>
    <mergeCell ref="E234:E235"/>
    <mergeCell ref="F234:F235"/>
    <mergeCell ref="G234:G235"/>
    <mergeCell ref="G236:G237"/>
    <mergeCell ref="A240:A241"/>
    <mergeCell ref="B240:B241"/>
    <mergeCell ref="C240:C241"/>
    <mergeCell ref="D240:D241"/>
    <mergeCell ref="E240:E241"/>
    <mergeCell ref="F240:F241"/>
    <mergeCell ref="G240:G241"/>
    <mergeCell ref="H240:H241"/>
    <mergeCell ref="O236:O237"/>
    <mergeCell ref="O240:O241"/>
    <mergeCell ref="I234:I235"/>
    <mergeCell ref="J234:J235"/>
    <mergeCell ref="K234:K235"/>
    <mergeCell ref="L234:L235"/>
    <mergeCell ref="J236:J237"/>
    <mergeCell ref="K236:K237"/>
    <mergeCell ref="L236:L237"/>
    <mergeCell ref="I238:I239"/>
    <mergeCell ref="J238:J239"/>
    <mergeCell ref="K238:K239"/>
    <mergeCell ref="L238:L239"/>
    <mergeCell ref="I240:I241"/>
    <mergeCell ref="J240:J241"/>
    <mergeCell ref="K240:K241"/>
    <mergeCell ref="L240:L241"/>
    <mergeCell ref="A250:A251"/>
    <mergeCell ref="B250:B251"/>
    <mergeCell ref="C250:C251"/>
    <mergeCell ref="D250:D251"/>
    <mergeCell ref="E250:E251"/>
    <mergeCell ref="F250:F251"/>
    <mergeCell ref="G250:G251"/>
    <mergeCell ref="H250:H251"/>
    <mergeCell ref="M250:M251"/>
    <mergeCell ref="O250:O251"/>
    <mergeCell ref="P250:P251"/>
    <mergeCell ref="Q250:Q251"/>
    <mergeCell ref="R250:R251"/>
    <mergeCell ref="S250:S251"/>
    <mergeCell ref="T250:T251"/>
    <mergeCell ref="U250:U251"/>
    <mergeCell ref="J250:J251"/>
    <mergeCell ref="K250:K251"/>
    <mergeCell ref="L250:L251"/>
    <mergeCell ref="B243:B245"/>
    <mergeCell ref="C243:C245"/>
    <mergeCell ref="D243:D245"/>
    <mergeCell ref="E243:E245"/>
    <mergeCell ref="AM22:AM24"/>
    <mergeCell ref="AN22:AN24"/>
    <mergeCell ref="AO22:AO24"/>
    <mergeCell ref="AP22:AP24"/>
    <mergeCell ref="AQ22:AQ24"/>
    <mergeCell ref="AR22:AR24"/>
    <mergeCell ref="N250:N251"/>
    <mergeCell ref="N20:N21"/>
    <mergeCell ref="N22:N24"/>
    <mergeCell ref="N25:N26"/>
    <mergeCell ref="N27:N28"/>
    <mergeCell ref="N29:N32"/>
    <mergeCell ref="N33:N37"/>
    <mergeCell ref="N38:N39"/>
    <mergeCell ref="N40:N41"/>
    <mergeCell ref="N54:N56"/>
    <mergeCell ref="N57:N59"/>
    <mergeCell ref="N60:N61"/>
    <mergeCell ref="N62:N66"/>
    <mergeCell ref="N67:N68"/>
    <mergeCell ref="M240:M241"/>
    <mergeCell ref="M236:M237"/>
    <mergeCell ref="G221:G223"/>
    <mergeCell ref="H221:H223"/>
    <mergeCell ref="N221:N223"/>
    <mergeCell ref="AM120:AM123"/>
    <mergeCell ref="AN120:AN123"/>
    <mergeCell ref="AO120:AO123"/>
    <mergeCell ref="AP120:AP123"/>
    <mergeCell ref="AQ120:AQ123"/>
    <mergeCell ref="AR120:AR123"/>
    <mergeCell ref="AM124:AM126"/>
    <mergeCell ref="AN124:AN126"/>
    <mergeCell ref="AO124:AO126"/>
    <mergeCell ref="AP124:AP126"/>
    <mergeCell ref="AQ124:AQ126"/>
    <mergeCell ref="AR124:AR126"/>
    <mergeCell ref="AM145:AM146"/>
    <mergeCell ref="AN145:AN146"/>
    <mergeCell ref="AO145:AO146"/>
    <mergeCell ref="AQ145:AQ146"/>
    <mergeCell ref="AP145:AP146"/>
    <mergeCell ref="AR145:AR146"/>
    <mergeCell ref="AM191:AM194"/>
    <mergeCell ref="AN191:AN194"/>
    <mergeCell ref="AO191:AO194"/>
    <mergeCell ref="AP191:AP194"/>
    <mergeCell ref="AQ191:AQ194"/>
    <mergeCell ref="AR191:AR194"/>
    <mergeCell ref="AM174:AM177"/>
    <mergeCell ref="AN174:AN177"/>
    <mergeCell ref="AO174:AO177"/>
    <mergeCell ref="AP174:AP177"/>
    <mergeCell ref="AQ174:AQ177"/>
    <mergeCell ref="AR174:AR177"/>
    <mergeCell ref="AM203:AM205"/>
    <mergeCell ref="AN203:AN205"/>
    <mergeCell ref="AO203:AO205"/>
    <mergeCell ref="AP203:AP205"/>
    <mergeCell ref="AQ203:AQ205"/>
    <mergeCell ref="AR203:AR205"/>
    <mergeCell ref="AM178:AM183"/>
    <mergeCell ref="AN178:AN183"/>
    <mergeCell ref="AO178:AO183"/>
    <mergeCell ref="AP178:AP183"/>
    <mergeCell ref="AQ178:AQ183"/>
    <mergeCell ref="AR178:AR183"/>
    <mergeCell ref="AM187:AM190"/>
    <mergeCell ref="AN187:AN190"/>
    <mergeCell ref="AO187:AO190"/>
    <mergeCell ref="AP187:AP190"/>
    <mergeCell ref="AQ187:AQ190"/>
    <mergeCell ref="AR187:AR190"/>
    <mergeCell ref="AM234:AM235"/>
    <mergeCell ref="AN234:AN235"/>
    <mergeCell ref="AO234:AO235"/>
    <mergeCell ref="AP234:AP235"/>
    <mergeCell ref="AQ234:AQ235"/>
    <mergeCell ref="AR234:AR235"/>
    <mergeCell ref="I250:I251"/>
    <mergeCell ref="U238:U239"/>
    <mergeCell ref="A253:A254"/>
    <mergeCell ref="B253:B254"/>
    <mergeCell ref="C253:C254"/>
    <mergeCell ref="D253:D254"/>
    <mergeCell ref="E253:E254"/>
    <mergeCell ref="F253:F254"/>
    <mergeCell ref="G253:G254"/>
    <mergeCell ref="H253:H254"/>
    <mergeCell ref="I253:I254"/>
    <mergeCell ref="J253:J254"/>
    <mergeCell ref="K253:K254"/>
    <mergeCell ref="L253:L254"/>
    <mergeCell ref="M253:M254"/>
    <mergeCell ref="N253:N254"/>
    <mergeCell ref="O253:O254"/>
    <mergeCell ref="P253:P254"/>
    <mergeCell ref="Q253:Q254"/>
    <mergeCell ref="R253:R254"/>
    <mergeCell ref="S253:S254"/>
    <mergeCell ref="T253:T254"/>
    <mergeCell ref="M246:M248"/>
    <mergeCell ref="N246:N248"/>
    <mergeCell ref="O246:O248"/>
    <mergeCell ref="P246:P248"/>
    <mergeCell ref="E246:E248"/>
    <mergeCell ref="F246:F248"/>
    <mergeCell ref="G246:G248"/>
    <mergeCell ref="H246:H248"/>
    <mergeCell ref="I246:I248"/>
    <mergeCell ref="J246:J248"/>
    <mergeCell ref="K246:K248"/>
    <mergeCell ref="L246:L248"/>
    <mergeCell ref="U253:U254"/>
    <mergeCell ref="V253:V254"/>
    <mergeCell ref="N195:N196"/>
    <mergeCell ref="M195:M196"/>
    <mergeCell ref="V250:V251"/>
    <mergeCell ref="V240:V241"/>
    <mergeCell ref="N240:N241"/>
    <mergeCell ref="M238:M239"/>
    <mergeCell ref="O238:O239"/>
    <mergeCell ref="P238:P239"/>
    <mergeCell ref="Q238:Q239"/>
    <mergeCell ref="R238:R239"/>
    <mergeCell ref="S238:S239"/>
    <mergeCell ref="T238:T239"/>
    <mergeCell ref="V214:V218"/>
    <mergeCell ref="O221:O223"/>
    <mergeCell ref="P221:P223"/>
    <mergeCell ref="V238:V239"/>
    <mergeCell ref="N234:N235"/>
    <mergeCell ref="N236:N237"/>
    <mergeCell ref="P236:P237"/>
    <mergeCell ref="Q236:Q237"/>
    <mergeCell ref="R236:R237"/>
    <mergeCell ref="S236:S237"/>
    <mergeCell ref="A197:A199"/>
    <mergeCell ref="A200:A202"/>
    <mergeCell ref="B197:B199"/>
    <mergeCell ref="B200:B202"/>
    <mergeCell ref="C197:C199"/>
    <mergeCell ref="C200:C202"/>
    <mergeCell ref="D197:D199"/>
    <mergeCell ref="D200:D202"/>
    <mergeCell ref="E197:E199"/>
    <mergeCell ref="F197:F199"/>
    <mergeCell ref="G197:G199"/>
    <mergeCell ref="H197:H199"/>
    <mergeCell ref="E200:E202"/>
    <mergeCell ref="F200:F202"/>
    <mergeCell ref="G200:G202"/>
    <mergeCell ref="H200:H202"/>
    <mergeCell ref="A191:A194"/>
    <mergeCell ref="B191:B194"/>
    <mergeCell ref="C191:C194"/>
    <mergeCell ref="D191:D194"/>
    <mergeCell ref="E191:E194"/>
    <mergeCell ref="F191:F194"/>
    <mergeCell ref="G191:G194"/>
    <mergeCell ref="H191:H194"/>
    <mergeCell ref="C195:C196"/>
    <mergeCell ref="D195:D196"/>
    <mergeCell ref="E195:E196"/>
    <mergeCell ref="A195:A196"/>
    <mergeCell ref="B195:B196"/>
    <mergeCell ref="F195:F196"/>
    <mergeCell ref="C168:C171"/>
    <mergeCell ref="D168:D171"/>
    <mergeCell ref="E168:E171"/>
    <mergeCell ref="F168:F171"/>
    <mergeCell ref="G168:G171"/>
    <mergeCell ref="H168:H171"/>
    <mergeCell ref="H128:H130"/>
    <mergeCell ref="H195:H196"/>
    <mergeCell ref="G172:G173"/>
    <mergeCell ref="H172:H173"/>
    <mergeCell ref="O191:O194"/>
    <mergeCell ref="P191:P194"/>
    <mergeCell ref="Q191:Q194"/>
    <mergeCell ref="R191:R194"/>
    <mergeCell ref="S191:S194"/>
    <mergeCell ref="T191:T194"/>
    <mergeCell ref="U191:U194"/>
    <mergeCell ref="M174:M177"/>
    <mergeCell ref="O174:O177"/>
    <mergeCell ref="P174:P177"/>
    <mergeCell ref="O184:O186"/>
    <mergeCell ref="P184:P186"/>
    <mergeCell ref="Q184:Q186"/>
    <mergeCell ref="R184:R186"/>
    <mergeCell ref="C187:C190"/>
    <mergeCell ref="D187:D190"/>
    <mergeCell ref="E187:E190"/>
    <mergeCell ref="F187:F190"/>
    <mergeCell ref="G187:G190"/>
    <mergeCell ref="H187:H190"/>
    <mergeCell ref="M187:M190"/>
    <mergeCell ref="U187:U190"/>
    <mergeCell ref="V191:V194"/>
    <mergeCell ref="I187:I190"/>
    <mergeCell ref="P200:P202"/>
    <mergeCell ref="P197:P199"/>
    <mergeCell ref="V187:V190"/>
    <mergeCell ref="M191:M194"/>
    <mergeCell ref="Q197:Q199"/>
    <mergeCell ref="R197:R199"/>
    <mergeCell ref="S197:S199"/>
    <mergeCell ref="T197:T199"/>
    <mergeCell ref="J187:J190"/>
    <mergeCell ref="K187:K190"/>
    <mergeCell ref="L187:L190"/>
    <mergeCell ref="O197:O199"/>
    <mergeCell ref="O200:O202"/>
    <mergeCell ref="R187:R190"/>
    <mergeCell ref="S187:S190"/>
    <mergeCell ref="T187:T190"/>
    <mergeCell ref="M197:M199"/>
    <mergeCell ref="M200:M202"/>
    <mergeCell ref="N197:N199"/>
    <mergeCell ref="N200:N202"/>
    <mergeCell ref="I197:I199"/>
    <mergeCell ref="J197:J199"/>
    <mergeCell ref="K197:K199"/>
    <mergeCell ref="L197:L199"/>
    <mergeCell ref="I200:I202"/>
    <mergeCell ref="J200:J202"/>
    <mergeCell ref="K200:K202"/>
    <mergeCell ref="L200:L202"/>
    <mergeCell ref="I195:I196"/>
    <mergeCell ref="J195:J196"/>
    <mergeCell ref="O243:O245"/>
    <mergeCell ref="P243:P245"/>
    <mergeCell ref="Q243:Q245"/>
    <mergeCell ref="R131:R136"/>
    <mergeCell ref="S131:S136"/>
    <mergeCell ref="T131:T136"/>
    <mergeCell ref="U131:U136"/>
    <mergeCell ref="Q131:Q136"/>
    <mergeCell ref="R246:R248"/>
    <mergeCell ref="S246:S248"/>
    <mergeCell ref="T246:T248"/>
    <mergeCell ref="U246:U248"/>
    <mergeCell ref="U197:U199"/>
    <mergeCell ref="V197:V199"/>
    <mergeCell ref="O187:O190"/>
    <mergeCell ref="P187:P190"/>
    <mergeCell ref="Q187:Q190"/>
    <mergeCell ref="R243:R245"/>
    <mergeCell ref="S243:S245"/>
    <mergeCell ref="T243:T245"/>
    <mergeCell ref="U243:U245"/>
    <mergeCell ref="V243:V245"/>
    <mergeCell ref="Q200:Q202"/>
    <mergeCell ref="R200:R202"/>
    <mergeCell ref="S200:S202"/>
    <mergeCell ref="T200:T202"/>
    <mergeCell ref="U200:U202"/>
    <mergeCell ref="V200:V202"/>
    <mergeCell ref="T236:T237"/>
    <mergeCell ref="U236:U237"/>
    <mergeCell ref="P240:P241"/>
    <mergeCell ref="Q240:Q241"/>
    <mergeCell ref="V246:V248"/>
    <mergeCell ref="A243:A245"/>
    <mergeCell ref="B246:B248"/>
    <mergeCell ref="C246:C248"/>
    <mergeCell ref="D246:D248"/>
    <mergeCell ref="A246:A248"/>
    <mergeCell ref="A131:A136"/>
    <mergeCell ref="B131:B136"/>
    <mergeCell ref="C131:C136"/>
    <mergeCell ref="D131:D136"/>
    <mergeCell ref="E131:E136"/>
    <mergeCell ref="F131:F136"/>
    <mergeCell ref="G131:G136"/>
    <mergeCell ref="H131:H136"/>
    <mergeCell ref="I131:I136"/>
    <mergeCell ref="J131:J136"/>
    <mergeCell ref="K131:K136"/>
    <mergeCell ref="L131:L136"/>
    <mergeCell ref="M131:M136"/>
    <mergeCell ref="N131:N136"/>
    <mergeCell ref="O131:O136"/>
    <mergeCell ref="P131:P136"/>
    <mergeCell ref="Q246:Q248"/>
    <mergeCell ref="F243:F245"/>
    <mergeCell ref="G243:G245"/>
    <mergeCell ref="H243:H245"/>
    <mergeCell ref="I243:I245"/>
    <mergeCell ref="J243:J245"/>
    <mergeCell ref="K243:K245"/>
    <mergeCell ref="L243:L245"/>
    <mergeCell ref="M243:M245"/>
    <mergeCell ref="N243:N245"/>
  </mergeCells>
  <conditionalFormatting sqref="P13 P15 P116 P120 AG249:AG254 AG137:AG242 AG13:AG130">
    <cfRule type="cellIs" dxfId="183" priority="1417" stopIfTrue="1" operator="equal">
      <formula>"Muy Alta"</formula>
    </cfRule>
    <cfRule type="cellIs" dxfId="182" priority="1418" stopIfTrue="1" operator="equal">
      <formula>"Alta"</formula>
    </cfRule>
    <cfRule type="cellIs" dxfId="181" priority="1419" stopIfTrue="1" operator="equal">
      <formula>"Media"</formula>
    </cfRule>
    <cfRule type="cellIs" dxfId="180" priority="1420" stopIfTrue="1" operator="equal">
      <formula>"Baja"</formula>
    </cfRule>
    <cfRule type="cellIs" dxfId="179" priority="1421" stopIfTrue="1" operator="equal">
      <formula>"Muy Baja"</formula>
    </cfRule>
  </conditionalFormatting>
  <conditionalFormatting sqref="AI249:AI254 AI137:AI242 AI13:AI130">
    <cfRule type="cellIs" dxfId="178" priority="1398" stopIfTrue="1" operator="equal">
      <formula>"Catastrófico"</formula>
    </cfRule>
    <cfRule type="cellIs" dxfId="177" priority="1399" stopIfTrue="1" operator="equal">
      <formula>"Mayor"</formula>
    </cfRule>
    <cfRule type="cellIs" dxfId="176" priority="1400" stopIfTrue="1" operator="equal">
      <formula>"Moderado"</formula>
    </cfRule>
    <cfRule type="cellIs" dxfId="175" priority="1401" stopIfTrue="1" operator="equal">
      <formula>"Menor"</formula>
    </cfRule>
    <cfRule type="cellIs" dxfId="174" priority="1402" stopIfTrue="1" operator="equal">
      <formula>"Leve"</formula>
    </cfRule>
  </conditionalFormatting>
  <conditionalFormatting sqref="AK249:AK254 AK137:AK242 AK13:AK130">
    <cfRule type="cellIs" dxfId="173" priority="1394" stopIfTrue="1" operator="equal">
      <formula>"Extremo"</formula>
    </cfRule>
    <cfRule type="cellIs" dxfId="172" priority="1395" stopIfTrue="1" operator="equal">
      <formula>"Alto"</formula>
    </cfRule>
    <cfRule type="cellIs" dxfId="171" priority="1396" stopIfTrue="1" operator="equal">
      <formula>"Moderado"</formula>
    </cfRule>
    <cfRule type="cellIs" dxfId="170" priority="1397" stopIfTrue="1" operator="equal">
      <formula>"Bajo"</formula>
    </cfRule>
  </conditionalFormatting>
  <conditionalFormatting sqref="P33 P145">
    <cfRule type="cellIs" dxfId="169" priority="1151" stopIfTrue="1" operator="equal">
      <formula>"Muy Alta"</formula>
    </cfRule>
    <cfRule type="cellIs" dxfId="168" priority="1152" stopIfTrue="1" operator="equal">
      <formula>"Alta"</formula>
    </cfRule>
    <cfRule type="cellIs" dxfId="167" priority="1153" stopIfTrue="1" operator="equal">
      <formula>"Media"</formula>
    </cfRule>
    <cfRule type="cellIs" dxfId="166" priority="1154" stopIfTrue="1" operator="equal">
      <formula>"Baja"</formula>
    </cfRule>
    <cfRule type="cellIs" dxfId="165" priority="1155" stopIfTrue="1" operator="equal">
      <formula>"Muy Baja"</formula>
    </cfRule>
  </conditionalFormatting>
  <conditionalFormatting sqref="P17 P124 P127:P128 P131">
    <cfRule type="cellIs" dxfId="164" priority="1319" stopIfTrue="1" operator="equal">
      <formula>"Muy Alta"</formula>
    </cfRule>
    <cfRule type="cellIs" dxfId="163" priority="1320" stopIfTrue="1" operator="equal">
      <formula>"Alta"</formula>
    </cfRule>
    <cfRule type="cellIs" dxfId="162" priority="1321" stopIfTrue="1" operator="equal">
      <formula>"Media"</formula>
    </cfRule>
    <cfRule type="cellIs" dxfId="161" priority="1322" stopIfTrue="1" operator="equal">
      <formula>"Baja"</formula>
    </cfRule>
    <cfRule type="cellIs" dxfId="160" priority="1323" stopIfTrue="1" operator="equal">
      <formula>"Muy Baja"</formula>
    </cfRule>
  </conditionalFormatting>
  <conditionalFormatting sqref="P20 P137">
    <cfRule type="cellIs" dxfId="159" priority="1291" stopIfTrue="1" operator="equal">
      <formula>"Muy Alta"</formula>
    </cfRule>
    <cfRule type="cellIs" dxfId="158" priority="1292" stopIfTrue="1" operator="equal">
      <formula>"Alta"</formula>
    </cfRule>
    <cfRule type="cellIs" dxfId="157" priority="1293" stopIfTrue="1" operator="equal">
      <formula>"Media"</formula>
    </cfRule>
    <cfRule type="cellIs" dxfId="156" priority="1294" stopIfTrue="1" operator="equal">
      <formula>"Baja"</formula>
    </cfRule>
    <cfRule type="cellIs" dxfId="155" priority="1295" stopIfTrue="1" operator="equal">
      <formula>"Muy Baja"</formula>
    </cfRule>
  </conditionalFormatting>
  <conditionalFormatting sqref="P22 P139">
    <cfRule type="cellIs" dxfId="154" priority="1263" stopIfTrue="1" operator="equal">
      <formula>"Muy Alta"</formula>
    </cfRule>
    <cfRule type="cellIs" dxfId="153" priority="1264" stopIfTrue="1" operator="equal">
      <formula>"Alta"</formula>
    </cfRule>
    <cfRule type="cellIs" dxfId="152" priority="1265" stopIfTrue="1" operator="equal">
      <formula>"Media"</formula>
    </cfRule>
    <cfRule type="cellIs" dxfId="151" priority="1266" stopIfTrue="1" operator="equal">
      <formula>"Baja"</formula>
    </cfRule>
    <cfRule type="cellIs" dxfId="150" priority="1267" stopIfTrue="1" operator="equal">
      <formula>"Muy Baja"</formula>
    </cfRule>
  </conditionalFormatting>
  <conditionalFormatting sqref="P25 P140">
    <cfRule type="cellIs" dxfId="149" priority="1235" stopIfTrue="1" operator="equal">
      <formula>"Muy Alta"</formula>
    </cfRule>
    <cfRule type="cellIs" dxfId="148" priority="1236" stopIfTrue="1" operator="equal">
      <formula>"Alta"</formula>
    </cfRule>
    <cfRule type="cellIs" dxfId="147" priority="1237" stopIfTrue="1" operator="equal">
      <formula>"Media"</formula>
    </cfRule>
    <cfRule type="cellIs" dxfId="146" priority="1238" stopIfTrue="1" operator="equal">
      <formula>"Baja"</formula>
    </cfRule>
    <cfRule type="cellIs" dxfId="145" priority="1239" stopIfTrue="1" operator="equal">
      <formula>"Muy Baja"</formula>
    </cfRule>
  </conditionalFormatting>
  <conditionalFormatting sqref="P27 P142">
    <cfRule type="cellIs" dxfId="144" priority="1207" stopIfTrue="1" operator="equal">
      <formula>"Muy Alta"</formula>
    </cfRule>
    <cfRule type="cellIs" dxfId="143" priority="1208" stopIfTrue="1" operator="equal">
      <formula>"Alta"</formula>
    </cfRule>
    <cfRule type="cellIs" dxfId="142" priority="1209" stopIfTrue="1" operator="equal">
      <formula>"Media"</formula>
    </cfRule>
    <cfRule type="cellIs" dxfId="141" priority="1210" stopIfTrue="1" operator="equal">
      <formula>"Baja"</formula>
    </cfRule>
    <cfRule type="cellIs" dxfId="140" priority="1211" stopIfTrue="1" operator="equal">
      <formula>"Muy Baja"</formula>
    </cfRule>
  </conditionalFormatting>
  <conditionalFormatting sqref="P29 P144">
    <cfRule type="cellIs" dxfId="139" priority="1179" stopIfTrue="1" operator="equal">
      <formula>"Muy Alta"</formula>
    </cfRule>
    <cfRule type="cellIs" dxfId="138" priority="1180" stopIfTrue="1" operator="equal">
      <formula>"Alta"</formula>
    </cfRule>
    <cfRule type="cellIs" dxfId="137" priority="1181" stopIfTrue="1" operator="equal">
      <formula>"Media"</formula>
    </cfRule>
    <cfRule type="cellIs" dxfId="136" priority="1182" stopIfTrue="1" operator="equal">
      <formula>"Baja"</formula>
    </cfRule>
    <cfRule type="cellIs" dxfId="135" priority="1183" stopIfTrue="1" operator="equal">
      <formula>"Muy Baja"</formula>
    </cfRule>
  </conditionalFormatting>
  <conditionalFormatting sqref="P38 P40 P54 P42:P45 P57 P60 P62 P67 P69 P71 P74:P75 P77 P83 P85:P91 P93 P95:P97 P99 P102 P104 P106 P110:P113 P147 P149 P151 P153 P156 P160 P158 P162:P163 P168 P172 P174 P178 P184 P191 P187 P195 P203 P206 P210 P214 P219 P221 P224 P229 P233:P234 P236 P238 P240 P242 P249:P250 P252:P253 P197 P200 P80:P81">
    <cfRule type="cellIs" dxfId="134" priority="1123" stopIfTrue="1" operator="equal">
      <formula>"Muy Alta"</formula>
    </cfRule>
    <cfRule type="cellIs" dxfId="133" priority="1124" stopIfTrue="1" operator="equal">
      <formula>"Alta"</formula>
    </cfRule>
    <cfRule type="cellIs" dxfId="132" priority="1125" stopIfTrue="1" operator="equal">
      <formula>"Media"</formula>
    </cfRule>
    <cfRule type="cellIs" dxfId="131" priority="1126" stopIfTrue="1" operator="equal">
      <formula>"Baja"</formula>
    </cfRule>
    <cfRule type="cellIs" dxfId="130" priority="1127" stopIfTrue="1" operator="equal">
      <formula>"Muy Baja"</formula>
    </cfRule>
  </conditionalFormatting>
  <conditionalFormatting sqref="S13:S45 S249:S254 S54:S242">
    <cfRule type="containsText" dxfId="129" priority="1099" stopIfTrue="1" operator="containsText" text="❌">
      <formula>NOT(ISERROR(SEARCH("❌",S13)))</formula>
    </cfRule>
  </conditionalFormatting>
  <conditionalFormatting sqref="S13 S15 S17 S20 S22 S25 S27 S29 S33 S38 S40 S42:S45 S54 S57 S60 S62 S67 S69 S71 S74:S75 S77 S83 S85:S91 S93 S95:S97 S99 S102 S104 S106 S110:S113 S116 S120 S124 S137 S139:S140 S142 S144:S145 S147 S149 S151 S153 S156 S158 S160 S162:S163 S168 S172 S174 S178 S184 S187 S191 S195 S203 S206 S210 S214 S219 S221 S224 S229 S233:S234 S236 S238 S240 S242 S249:S250 S252:S253 S127:S128 S197 S200 S131 S80:S81">
    <cfRule type="cellIs" dxfId="128" priority="1416" stopIfTrue="1" operator="equal">
      <formula>"Leve"</formula>
    </cfRule>
  </conditionalFormatting>
  <conditionalFormatting sqref="T13 T15 T17 T20 T22 T25 T27 T29 T33 T38 T40 T42:T45 T54 T57 T60 T62 T67 T69 T71 T74:T75 T77 T83 T85:T91 T93 T95:T97 T99 T102 T104 T106 T110:T113 T116 T120 T124 T137 T139:T140 T142 T144:T145 T147 T149 T151 T153 T156 T158 T160 T162:T163 T168 T172 T174 T178 T184 T187 T191 T195 T203 T206 T210 T214 T219 T221 T224 T229 T233:T234 T236 T238 T240 T242 T249:T250 T252:T253 T127:T128 T197 T200 T131 T80:T81">
    <cfRule type="cellIs" dxfId="127" priority="957" stopIfTrue="1" operator="equal">
      <formula>"Catastrófico"</formula>
    </cfRule>
    <cfRule type="cellIs" dxfId="126" priority="958" stopIfTrue="1" operator="equal">
      <formula>"Mayor"</formula>
    </cfRule>
    <cfRule type="cellIs" dxfId="125" priority="959" stopIfTrue="1" operator="equal">
      <formula>"Moderado"</formula>
    </cfRule>
    <cfRule type="cellIs" dxfId="124" priority="960" stopIfTrue="1" operator="equal">
      <formula>"Menor"</formula>
    </cfRule>
    <cfRule type="cellIs" dxfId="123" priority="961" stopIfTrue="1" operator="equal">
      <formula>"Leve"</formula>
    </cfRule>
  </conditionalFormatting>
  <conditionalFormatting sqref="V13 V15 V17 V20 V22 V25 V27 V29 V33 V38 V40 V42:V45 V54 V57 V60 V62 V67 V69 V71 V74:V75 V77 V83 V85:V91 V93 V95:V97 V99 V102 V104 V106 V110:V113 V116 V120 V124 V137 V139:V140 V142 V144:V145 V147 V149 V151 V153 V156 V158 V160 V162:V163 V168 V172 V174 V178 V184 V187 V191 V195 V203 V206 V210 V214 V219 V221 V224 V229 V233:V234 V236 V238 V240 V242 V249:V250 V252:V253 V127:V128 V197 V200 V131 V80:V81">
    <cfRule type="cellIs" dxfId="122" priority="953" stopIfTrue="1" operator="equal">
      <formula>"Extremo"</formula>
    </cfRule>
    <cfRule type="cellIs" dxfId="121" priority="954" stopIfTrue="1" operator="equal">
      <formula>"Alto"</formula>
    </cfRule>
    <cfRule type="cellIs" dxfId="120" priority="955" stopIfTrue="1" operator="equal">
      <formula>"Moderado"</formula>
    </cfRule>
    <cfRule type="cellIs" dxfId="119" priority="956" stopIfTrue="1" operator="equal">
      <formula>"Bajo"</formula>
    </cfRule>
  </conditionalFormatting>
  <conditionalFormatting sqref="AG243:AG245">
    <cfRule type="cellIs" dxfId="118" priority="103" stopIfTrue="1" operator="equal">
      <formula>"Muy Alta"</formula>
    </cfRule>
    <cfRule type="cellIs" dxfId="117" priority="104" stopIfTrue="1" operator="equal">
      <formula>"Alta"</formula>
    </cfRule>
    <cfRule type="cellIs" dxfId="116" priority="105" stopIfTrue="1" operator="equal">
      <formula>"Media"</formula>
    </cfRule>
    <cfRule type="cellIs" dxfId="115" priority="106" stopIfTrue="1" operator="equal">
      <formula>"Baja"</formula>
    </cfRule>
    <cfRule type="cellIs" dxfId="114" priority="107" stopIfTrue="1" operator="equal">
      <formula>"Muy Baja"</formula>
    </cfRule>
  </conditionalFormatting>
  <conditionalFormatting sqref="AI243:AI245">
    <cfRule type="cellIs" dxfId="113" priority="98" stopIfTrue="1" operator="equal">
      <formula>"Catastrófico"</formula>
    </cfRule>
    <cfRule type="cellIs" dxfId="112" priority="99" stopIfTrue="1" operator="equal">
      <formula>"Mayor"</formula>
    </cfRule>
    <cfRule type="cellIs" dxfId="111" priority="100" stopIfTrue="1" operator="equal">
      <formula>"Moderado"</formula>
    </cfRule>
    <cfRule type="cellIs" dxfId="110" priority="101" stopIfTrue="1" operator="equal">
      <formula>"Menor"</formula>
    </cfRule>
    <cfRule type="cellIs" dxfId="109" priority="102" stopIfTrue="1" operator="equal">
      <formula>"Leve"</formula>
    </cfRule>
  </conditionalFormatting>
  <conditionalFormatting sqref="AK243:AK245">
    <cfRule type="cellIs" dxfId="108" priority="94" stopIfTrue="1" operator="equal">
      <formula>"Extremo"</formula>
    </cfRule>
    <cfRule type="cellIs" dxfId="107" priority="95" stopIfTrue="1" operator="equal">
      <formula>"Alto"</formula>
    </cfRule>
    <cfRule type="cellIs" dxfId="106" priority="96" stopIfTrue="1" operator="equal">
      <formula>"Moderado"</formula>
    </cfRule>
    <cfRule type="cellIs" dxfId="105" priority="97" stopIfTrue="1" operator="equal">
      <formula>"Bajo"</formula>
    </cfRule>
  </conditionalFormatting>
  <conditionalFormatting sqref="P243">
    <cfRule type="cellIs" dxfId="104" priority="89" stopIfTrue="1" operator="equal">
      <formula>"Muy Alta"</formula>
    </cfRule>
    <cfRule type="cellIs" dxfId="103" priority="90" stopIfTrue="1" operator="equal">
      <formula>"Alta"</formula>
    </cfRule>
    <cfRule type="cellIs" dxfId="102" priority="91" stopIfTrue="1" operator="equal">
      <formula>"Media"</formula>
    </cfRule>
    <cfRule type="cellIs" dxfId="101" priority="92" stopIfTrue="1" operator="equal">
      <formula>"Baja"</formula>
    </cfRule>
    <cfRule type="cellIs" dxfId="100" priority="93" stopIfTrue="1" operator="equal">
      <formula>"Muy Baja"</formula>
    </cfRule>
  </conditionalFormatting>
  <conditionalFormatting sqref="S243:S245">
    <cfRule type="containsText" dxfId="99" priority="88" stopIfTrue="1" operator="containsText" text="❌">
      <formula>NOT(ISERROR(SEARCH("❌",S243)))</formula>
    </cfRule>
  </conditionalFormatting>
  <conditionalFormatting sqref="S243">
    <cfRule type="cellIs" dxfId="98" priority="108" stopIfTrue="1" operator="equal">
      <formula>"Leve"</formula>
    </cfRule>
  </conditionalFormatting>
  <conditionalFormatting sqref="T243">
    <cfRule type="cellIs" dxfId="97" priority="83" stopIfTrue="1" operator="equal">
      <formula>"Catastrófico"</formula>
    </cfRule>
    <cfRule type="cellIs" dxfId="96" priority="84" stopIfTrue="1" operator="equal">
      <formula>"Mayor"</formula>
    </cfRule>
    <cfRule type="cellIs" dxfId="95" priority="85" stopIfTrue="1" operator="equal">
      <formula>"Moderado"</formula>
    </cfRule>
    <cfRule type="cellIs" dxfId="94" priority="86" stopIfTrue="1" operator="equal">
      <formula>"Menor"</formula>
    </cfRule>
    <cfRule type="cellIs" dxfId="93" priority="87" stopIfTrue="1" operator="equal">
      <formula>"Leve"</formula>
    </cfRule>
  </conditionalFormatting>
  <conditionalFormatting sqref="V243">
    <cfRule type="cellIs" dxfId="92" priority="79" stopIfTrue="1" operator="equal">
      <formula>"Extremo"</formula>
    </cfRule>
    <cfRule type="cellIs" dxfId="91" priority="80" stopIfTrue="1" operator="equal">
      <formula>"Alto"</formula>
    </cfRule>
    <cfRule type="cellIs" dxfId="90" priority="81" stopIfTrue="1" operator="equal">
      <formula>"Moderado"</formula>
    </cfRule>
    <cfRule type="cellIs" dxfId="89" priority="82" stopIfTrue="1" operator="equal">
      <formula>"Bajo"</formula>
    </cfRule>
  </conditionalFormatting>
  <conditionalFormatting sqref="AG246:AG248">
    <cfRule type="cellIs" dxfId="88" priority="59" stopIfTrue="1" operator="equal">
      <formula>"Muy Alta"</formula>
    </cfRule>
    <cfRule type="cellIs" dxfId="87" priority="60" stopIfTrue="1" operator="equal">
      <formula>"Alta"</formula>
    </cfRule>
    <cfRule type="cellIs" dxfId="86" priority="61" stopIfTrue="1" operator="equal">
      <formula>"Media"</formula>
    </cfRule>
    <cfRule type="cellIs" dxfId="85" priority="62" stopIfTrue="1" operator="equal">
      <formula>"Baja"</formula>
    </cfRule>
    <cfRule type="cellIs" dxfId="84" priority="63" stopIfTrue="1" operator="equal">
      <formula>"Muy Baja"</formula>
    </cfRule>
  </conditionalFormatting>
  <conditionalFormatting sqref="AI246:AI248">
    <cfRule type="cellIs" dxfId="83" priority="54" stopIfTrue="1" operator="equal">
      <formula>"Catastrófico"</formula>
    </cfRule>
    <cfRule type="cellIs" dxfId="82" priority="55" stopIfTrue="1" operator="equal">
      <formula>"Mayor"</formula>
    </cfRule>
    <cfRule type="cellIs" dxfId="81" priority="56" stopIfTrue="1" operator="equal">
      <formula>"Moderado"</formula>
    </cfRule>
    <cfRule type="cellIs" dxfId="80" priority="57" stopIfTrue="1" operator="equal">
      <formula>"Menor"</formula>
    </cfRule>
    <cfRule type="cellIs" dxfId="79" priority="58" stopIfTrue="1" operator="equal">
      <formula>"Leve"</formula>
    </cfRule>
  </conditionalFormatting>
  <conditionalFormatting sqref="AK246:AK248">
    <cfRule type="cellIs" dxfId="78" priority="50" stopIfTrue="1" operator="equal">
      <formula>"Extremo"</formula>
    </cfRule>
    <cfRule type="cellIs" dxfId="77" priority="51" stopIfTrue="1" operator="equal">
      <formula>"Alto"</formula>
    </cfRule>
    <cfRule type="cellIs" dxfId="76" priority="52" stopIfTrue="1" operator="equal">
      <formula>"Moderado"</formula>
    </cfRule>
    <cfRule type="cellIs" dxfId="75" priority="53" stopIfTrue="1" operator="equal">
      <formula>"Bajo"</formula>
    </cfRule>
  </conditionalFormatting>
  <conditionalFormatting sqref="P246">
    <cfRule type="cellIs" dxfId="74" priority="45" stopIfTrue="1" operator="equal">
      <formula>"Muy Alta"</formula>
    </cfRule>
    <cfRule type="cellIs" dxfId="73" priority="46" stopIfTrue="1" operator="equal">
      <formula>"Alta"</formula>
    </cfRule>
    <cfRule type="cellIs" dxfId="72" priority="47" stopIfTrue="1" operator="equal">
      <formula>"Media"</formula>
    </cfRule>
    <cfRule type="cellIs" dxfId="71" priority="48" stopIfTrue="1" operator="equal">
      <formula>"Baja"</formula>
    </cfRule>
    <cfRule type="cellIs" dxfId="70" priority="49" stopIfTrue="1" operator="equal">
      <formula>"Muy Baja"</formula>
    </cfRule>
  </conditionalFormatting>
  <conditionalFormatting sqref="S246:S248">
    <cfRule type="containsText" dxfId="69" priority="44" stopIfTrue="1" operator="containsText" text="❌">
      <formula>NOT(ISERROR(SEARCH("❌",S246)))</formula>
    </cfRule>
  </conditionalFormatting>
  <conditionalFormatting sqref="S246">
    <cfRule type="cellIs" dxfId="68" priority="64" stopIfTrue="1" operator="equal">
      <formula>"Leve"</formula>
    </cfRule>
  </conditionalFormatting>
  <conditionalFormatting sqref="T246">
    <cfRule type="cellIs" dxfId="67" priority="39" stopIfTrue="1" operator="equal">
      <formula>"Catastrófico"</formula>
    </cfRule>
    <cfRule type="cellIs" dxfId="66" priority="40" stopIfTrue="1" operator="equal">
      <formula>"Mayor"</formula>
    </cfRule>
    <cfRule type="cellIs" dxfId="65" priority="41" stopIfTrue="1" operator="equal">
      <formula>"Moderado"</formula>
    </cfRule>
    <cfRule type="cellIs" dxfId="64" priority="42" stopIfTrue="1" operator="equal">
      <formula>"Menor"</formula>
    </cfRule>
    <cfRule type="cellIs" dxfId="63" priority="43" stopIfTrue="1" operator="equal">
      <formula>"Leve"</formula>
    </cfRule>
  </conditionalFormatting>
  <conditionalFormatting sqref="V246">
    <cfRule type="cellIs" dxfId="62" priority="35" stopIfTrue="1" operator="equal">
      <formula>"Extremo"</formula>
    </cfRule>
    <cfRule type="cellIs" dxfId="61" priority="36" stopIfTrue="1" operator="equal">
      <formula>"Alto"</formula>
    </cfRule>
    <cfRule type="cellIs" dxfId="60" priority="37" stopIfTrue="1" operator="equal">
      <formula>"Moderado"</formula>
    </cfRule>
    <cfRule type="cellIs" dxfId="59" priority="38" stopIfTrue="1" operator="equal">
      <formula>"Bajo"</formula>
    </cfRule>
  </conditionalFormatting>
  <conditionalFormatting sqref="AG131:AG136">
    <cfRule type="cellIs" dxfId="58" priority="10" stopIfTrue="1" operator="equal">
      <formula>"Muy Alta"</formula>
    </cfRule>
    <cfRule type="cellIs" dxfId="57" priority="11" stopIfTrue="1" operator="equal">
      <formula>"Alta"</formula>
    </cfRule>
    <cfRule type="cellIs" dxfId="56" priority="12" stopIfTrue="1" operator="equal">
      <formula>"Media"</formula>
    </cfRule>
    <cfRule type="cellIs" dxfId="55" priority="13" stopIfTrue="1" operator="equal">
      <formula>"Baja"</formula>
    </cfRule>
    <cfRule type="cellIs" dxfId="54" priority="14" stopIfTrue="1" operator="equal">
      <formula>"Muy Baja"</formula>
    </cfRule>
  </conditionalFormatting>
  <conditionalFormatting sqref="AI131:AI136">
    <cfRule type="cellIs" dxfId="53" priority="5" stopIfTrue="1" operator="equal">
      <formula>"Catastrófico"</formula>
    </cfRule>
    <cfRule type="cellIs" dxfId="52" priority="6" stopIfTrue="1" operator="equal">
      <formula>"Mayor"</formula>
    </cfRule>
    <cfRule type="cellIs" dxfId="51" priority="7" stopIfTrue="1" operator="equal">
      <formula>"Moderado"</formula>
    </cfRule>
    <cfRule type="cellIs" dxfId="50" priority="8" stopIfTrue="1" operator="equal">
      <formula>"Menor"</formula>
    </cfRule>
    <cfRule type="cellIs" dxfId="49" priority="9" stopIfTrue="1" operator="equal">
      <formula>"Leve"</formula>
    </cfRule>
  </conditionalFormatting>
  <conditionalFormatting sqref="AK131:AK136">
    <cfRule type="cellIs" dxfId="48" priority="1" stopIfTrue="1" operator="equal">
      <formula>"Extremo"</formula>
    </cfRule>
    <cfRule type="cellIs" dxfId="47" priority="2" stopIfTrue="1" operator="equal">
      <formula>"Alto"</formula>
    </cfRule>
    <cfRule type="cellIs" dxfId="46" priority="3" stopIfTrue="1" operator="equal">
      <formula>"Moderado"</formula>
    </cfRule>
    <cfRule type="cellIs" dxfId="45" priority="4" stopIfTrue="1" operator="equal">
      <formula>"Bajo"</formula>
    </cfRule>
  </conditionalFormatting>
  <pageMargins left="0.70866141732283472" right="0.70866141732283472" top="0.74803149606299213" bottom="0.74803149606299213" header="0.31496062992125984" footer="0.31496062992125984"/>
  <pageSetup scale="16" fitToWidth="2" fitToHeight="20" orientation="landscape" r:id="rId1"/>
  <rowBreaks count="14" manualBreakCount="14">
    <brk id="24" min="1" max="43" man="1"/>
    <brk id="41" min="1" max="43" man="1"/>
    <brk id="53" min="1" max="43" man="1"/>
    <brk id="70" min="1" max="43" man="1"/>
    <brk id="86" min="1" max="43" man="1"/>
    <brk id="98" min="1" max="43" man="1"/>
    <brk id="115" min="1" max="43" man="1"/>
    <brk id="132" min="1" max="43" man="1"/>
    <brk id="155" min="1" max="43" man="1"/>
    <brk id="177" min="1" max="43" man="1"/>
    <brk id="194" min="1" max="43" man="1"/>
    <brk id="213" min="1" max="43" man="1"/>
    <brk id="235" min="1" max="43" man="1"/>
    <brk id="249" min="1" max="43" man="1"/>
  </rowBreaks>
  <colBreaks count="1" manualBreakCount="1">
    <brk id="22" max="257" man="1"/>
  </colBreaks>
  <ignoredErrors>
    <ignoredError sqref="AF15 AF17 AF20 AF22 AF25 AF27 AF29 AF33 AF38 AF40 AF42 AF43 AF44 AF45 AF54 AF57 AF60 AF62 AF67 AF69 AF71 AF74 AF75 AF77 AF81 AF83 AF85 AF86 AF87 AF88 AF89 AF90 AF91 AF93 AF95 AF96 AF97 AF99 AF102 AF104 AF106 AF110 AF111 AF112 AF113 AF116 AF120 AF124 AF137 AF139 AF140 AF142 AF144 AF145 AF147 AF149 AF151 AF153 AF156 AF158 AF160 AF162 AF163 AF168 AF172 AF174 AF178 AF184 AF187 AF191 AF195 AF203 AF206 AF210 AF214 AF219 AF221 AF224 AF229 AF233 AF234 AF236 AF238 AF240 AF242 AF249 AF250" formula="1"/>
  </ignoredErrors>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1489" id="{A09C5F6F-733E-40DA-9A0E-34C9FCA4D387}">
            <xm:f>M13='Opciones Tratamiento'!$C$11</xm:f>
            <x14:dxf>
              <fill>
                <patternFill patternType="darkGray"/>
              </fill>
            </x14:dxf>
          </x14:cfRule>
          <x14:cfRule type="expression" priority="1490" id="{46577976-4003-45B7-BD2C-6725E691A4CE}">
            <xm:f>M13='Opciones Tratamiento'!$C$10</xm:f>
            <x14:dxf>
              <fill>
                <patternFill patternType="darkGray"/>
              </fill>
            </x14:dxf>
          </x14:cfRule>
          <x14:cfRule type="expression" priority="1491" id="{49A353F6-ADF2-4B65-93C6-4AE97D972ED8}">
            <xm:f>M13='Opciones Tratamiento'!$C$7</xm:f>
            <x14:dxf>
              <fill>
                <patternFill patternType="darkGray"/>
              </fill>
            </x14:dxf>
          </x14:cfRule>
          <x14:cfRule type="expression" priority="1492" id="{23AF7F7E-8614-4ED6-96C9-4FA7C6421417}">
            <xm:f>M13='Opciones Tratamiento'!$C$6</xm:f>
            <x14:dxf>
              <fill>
                <patternFill patternType="darkGray"/>
              </fill>
            </x14:dxf>
          </x14:cfRule>
          <x14:cfRule type="expression" priority="1493" id="{A7F83DCF-1DAC-450F-9729-979E83F33745}">
            <xm:f>M13='Opciones Tratamiento'!$C$9</xm:f>
            <x14:dxf>
              <fill>
                <patternFill patternType="darkGray"/>
              </fill>
            </x14:dxf>
          </x14:cfRule>
          <x14:cfRule type="expression" priority="1494" id="{DC1A034C-4F1B-4EF9-A785-817A9B34E74A}">
            <xm:f>M13='Opciones Tratamiento'!$C$8</xm:f>
            <x14:dxf>
              <fill>
                <patternFill patternType="darkGray"/>
              </fill>
            </x14:dxf>
          </x14:cfRule>
          <x14:cfRule type="expression" priority="1495" id="{A57A189D-FAB6-4DE0-A123-BAC3D8B8E036}">
            <xm:f>M13='Opciones Tratamiento'!$C$5</xm:f>
            <x14:dxf>
              <fill>
                <patternFill patternType="darkGray"/>
              </fill>
            </x14:dxf>
          </x14:cfRule>
          <xm:sqref>N13:N28 N42:N50 N102:N254 N54:N100</xm:sqref>
        </x14:conditionalFormatting>
        <x14:conditionalFormatting xmlns:xm="http://schemas.microsoft.com/office/excel/2006/main">
          <x14:cfRule type="expression" priority="1496" id="{B522B72E-FB29-4C71-A6FD-C3693F9D0912}">
            <xm:f>M13='Opciones Tratamiento'!$C$12</xm:f>
            <x14:dxf>
              <fill>
                <patternFill patternType="darkGray">
                  <bgColor auto="1"/>
                </patternFill>
              </fill>
            </x14:dxf>
          </x14:cfRule>
          <xm:sqref>N13:N28 N42:N50 N102:N254 N54:N100</xm:sqref>
        </x14:conditionalFormatting>
        <x14:conditionalFormatting xmlns:xm="http://schemas.microsoft.com/office/excel/2006/main">
          <x14:cfRule type="expression" priority="155" id="{8CE4DD0D-FB0C-4382-937F-A39C5A4B4166}">
            <xm:f>M13='Opciones Tratamiento'!$C$18</xm:f>
            <x14:dxf>
              <fill>
                <patternFill patternType="darkGray"/>
              </fill>
            </x14:dxf>
          </x14:cfRule>
          <x14:cfRule type="expression" priority="156" id="{8B8E0C80-AA9C-4F6D-93EB-3C9181B404E5}">
            <xm:f>M13='Opciones Tratamiento'!$C$17</xm:f>
            <x14:dxf>
              <fill>
                <patternFill patternType="darkGray"/>
              </fill>
            </x14:dxf>
          </x14:cfRule>
          <x14:cfRule type="expression" priority="157" id="{CE3DBFEB-3F94-4BEA-851A-A062EE4F1804}">
            <xm:f>M13='Opciones Tratamiento'!$C$16</xm:f>
            <x14:dxf>
              <fill>
                <patternFill patternType="darkGray"/>
              </fill>
            </x14:dxf>
          </x14:cfRule>
          <x14:cfRule type="expression" priority="158" id="{E0DB60F0-8B95-480A-ABA7-09DB8FAFDB82}">
            <xm:f>M13='Opciones Tratamiento'!$C$15</xm:f>
            <x14:dxf>
              <fill>
                <patternFill patternType="darkGray"/>
              </fill>
            </x14:dxf>
          </x14:cfRule>
          <x14:cfRule type="expression" priority="159" id="{63593A40-61ED-49E1-A345-DE2A1C9F728B}">
            <xm:f>M13='Opciones Tratamiento'!$C$14</xm:f>
            <x14:dxf>
              <fill>
                <patternFill patternType="darkGray"/>
              </fill>
            </x14:dxf>
          </x14:cfRule>
          <x14:cfRule type="expression" priority="160" id="{B53650AD-C0C1-4A2F-BE44-26F5BD6C26D3}">
            <xm:f>M13='Opciones Tratamiento'!$C$13</xm:f>
            <x14:dxf>
              <fill>
                <patternFill patternType="darkGray"/>
              </fill>
            </x14:dxf>
          </x14:cfRule>
          <xm:sqref>N13:N28 N42:N50 N102:N254 N54:N100</xm:sqref>
        </x14:conditionalFormatting>
        <x14:conditionalFormatting xmlns:xm="http://schemas.microsoft.com/office/excel/2006/main">
          <x14:cfRule type="expression" priority="147" id="{02F55451-7AE7-4899-A6D8-30CB74F56DE7}">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48" id="{D3FA1C27-262B-4858-869F-0B18247CEF0C}">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49" id="{1DB62160-5D1C-4C7F-8CCE-310A928E7456}">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50" id="{BA405024-2A2A-48C3-A7F2-CB1317093C83}">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51" id="{94BC175C-1BFA-416E-A737-0A577918E9B9}">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52" id="{1013E2C3-7987-4BC1-89DD-DBA955EFE04A}">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53" id="{9B6D3B9A-F8F2-4321-BA39-A76A442BB2DA}">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m:sqref>N29:N32</xm:sqref>
        </x14:conditionalFormatting>
        <x14:conditionalFormatting xmlns:xm="http://schemas.microsoft.com/office/excel/2006/main">
          <x14:cfRule type="expression" priority="154" id="{195ACEBE-5FD6-4DB3-84E6-9A7CBE1CDA46}">
            <xm:f>M29='C:\Users\nicolas.corredor\OneDrive - Hospital Militar Central\Documentos\HOMIL -NCR\ADMINISTRACIÓN DE RIESGOS\2024\RIESGOS 2024\Mapa_de_Riesgos_por_Proceso_2024\[MR_Tecnologías_de_la_información_2024.xlsx]Opciones Tratamiento'!#REF!</xm:f>
            <x14:dxf>
              <fill>
                <patternFill patternType="darkGray">
                  <bgColor auto="1"/>
                </patternFill>
              </fill>
            </x14:dxf>
          </x14:cfRule>
          <xm:sqref>N29:N32</xm:sqref>
        </x14:conditionalFormatting>
        <x14:conditionalFormatting xmlns:xm="http://schemas.microsoft.com/office/excel/2006/main">
          <x14:cfRule type="expression" priority="141" id="{CAD6FA93-B1B0-460A-ADE1-963DC7AB42B0}">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42" id="{D5A53E1A-D484-47BF-854F-FD39C5B7D299}">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43" id="{BFC9FC19-362D-462F-8B27-FD2AE3CEDF29}">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44" id="{BE04C893-E075-4F9E-8248-54076C79B96E}">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45" id="{C7A7ECCF-773D-4965-B9D0-14BD42A2C054}">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14:cfRule type="expression" priority="146" id="{7733531A-461C-4C51-BBFF-19F62758DA6F}">
            <xm:f>M29='C:\Users\nicolas.corredor\OneDrive - Hospital Militar Central\Documentos\HOMIL -NCR\ADMINISTRACIÓN DE RIESGOS\2024\RIESGOS 2024\Mapa_de_Riesgos_por_Proceso_2024\[MR_Tecnologías_de_la_información_2024.xlsx]Opciones Tratamiento'!#REF!</xm:f>
            <x14:dxf>
              <fill>
                <patternFill patternType="darkGray"/>
              </fill>
            </x14:dxf>
          </x14:cfRule>
          <xm:sqref>N29:N32</xm:sqref>
        </x14:conditionalFormatting>
        <x14:conditionalFormatting xmlns:xm="http://schemas.microsoft.com/office/excel/2006/main">
          <x14:cfRule type="expression" priority="140" id="{B85F2A6A-737F-4DC5-B06F-6D55070BB6C4}">
            <xm:f>M33='C:\Users\nicolas.corredor\OneDrive - Hospital Militar Central\HOMIL -NCR\ADMINISTRACIÓN DE RIESGOS\2023\Mapa de Riesgos por proceso 2023\[Mapa_de_Riesgos_Tecnologías_de_la_Información_2023.xlsx]Opciones Tratamiento'!#REF!</xm:f>
            <x14:dxf>
              <fill>
                <patternFill patternType="darkGray">
                  <bgColor auto="1"/>
                </patternFill>
              </fill>
            </x14:dxf>
          </x14:cfRule>
          <xm:sqref>N33:N41</xm:sqref>
        </x14:conditionalFormatting>
        <x14:conditionalFormatting xmlns:xm="http://schemas.microsoft.com/office/excel/2006/main">
          <x14:cfRule type="expression" priority="133" id="{20F10899-E487-4B9D-AA2F-578D98295B3D}">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34" id="{6EF100F9-E69B-4CB8-9F7B-ED81C36F2A2C}">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35" id="{D96C9B48-7416-4522-9568-343556674F2E}">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36" id="{B4D01437-B772-4A4A-9636-A6D4AFA541BA}">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37" id="{03B9EBBE-51D7-4013-B5D0-E9B10DE91068}">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38" id="{3FC8F8E6-0288-4800-99E6-14347722F7B3}">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14:cfRule type="expression" priority="139" id="{FA672467-34A8-4D61-A128-FB665B876991}">
            <xm:f>M33='C:\Users\nicolas.corredor\OneDrive - Hospital Militar Central\HOMIL -NCR\ADMINISTRACIÓN DE RIESGOS\2023\Mapa de Riesgos por proceso 2023\[Mapa_de_Riesgos_Tecnologías_de_la_Información_2023.xlsx]Opciones Tratamiento'!#REF!</xm:f>
            <x14:dxf>
              <fill>
                <patternFill patternType="darkGray"/>
              </fill>
            </x14:dxf>
          </x14:cfRule>
          <xm:sqref>N33:N41</xm:sqref>
        </x14:conditionalFormatting>
      </x14:conditionalFormattings>
    </ext>
    <ext xmlns:x14="http://schemas.microsoft.com/office/spreadsheetml/2009/9/main" uri="{CCE6A557-97BC-4b89-ADB6-D9C93CAAB3DF}">
      <x14:dataValidations xmlns:xm="http://schemas.microsoft.com/office/excel/2006/main" count="19">
        <x14:dataValidation type="list" allowBlank="1" showInputMessage="1" showErrorMessage="1">
          <x14:formula1>
            <xm:f>'Opciones Tratamiento'!$B$4:$B$7</xm:f>
          </x14:formula1>
          <xm:sqref>E45:E50</xm:sqref>
        </x14:dataValidation>
        <x14:dataValidation type="list" allowBlank="1" showInputMessage="1" showErrorMessage="1">
          <x14:formula1>
            <xm:f>'Opciones Tratamiento'!$D$4:$D$17</xm:f>
          </x14:formula1>
          <xm:sqref>R13:R50 R102:R254 R54:R100</xm:sqref>
        </x14:dataValidation>
        <x14:dataValidation type="list" allowBlank="1" showInputMessage="1" showErrorMessage="1">
          <x14:formula1>
            <xm:f>'Opciones Tratamiento'!$B$34:$B$49</xm:f>
          </x14:formula1>
          <xm:sqref>AR17:AR18 AR22 E13:E27 C13:C28 E42:E44 C42:C50 C67:C74 E67:E74 C102:C139 C246 E137:E139 E174:E202 C174:C202 E249:E254 E236:E242 C249:C254 C236:C243 E102:E126 E80:E100 C77:C100</xm:sqref>
        </x14:dataValidation>
        <x14:dataValidation type="list" allowBlank="1" showInputMessage="1" showErrorMessage="1">
          <x14:formula1>
            <xm:f>'Opciones Tratamiento'!$C$27:$C$29</xm:f>
          </x14:formula1>
          <xm:sqref>AR35:AR37 AR40 AR184:AR186 AR13:AR16 AR19:AR21 AR25:AR32 AR124 AR127:AR145 AR195:AR202 AR206:AR233 AR236:AR252 AR147:AR174 AR42:AR120</xm:sqref>
        </x14:dataValidation>
        <x14:dataValidation type="list" allowBlank="1" showInputMessage="1" showErrorMessage="1">
          <x14:formula1>
            <xm:f>'Opciones Tratamiento'!$C$4:$C$23</xm:f>
          </x14:formula1>
          <xm:sqref>M13:M50 M137:M254 M102:M127 M54:M100</xm:sqref>
        </x14:dataValidation>
        <x14:dataValidation type="list" allowBlank="1" showInputMessage="1" showErrorMessage="1">
          <x14:formula1>
            <xm:f>'[3]Opciones Tratamiento'!#REF!</xm:f>
          </x14:formula1>
          <xm:sqref>AR33:AR34 AR38:AR39 C29:C41 E29:E41</xm:sqref>
        </x14:dataValidation>
        <x14:dataValidation type="list" allowBlank="1" showInputMessage="1" showErrorMessage="1">
          <x14:formula1>
            <xm:f>'[4]Opciones Tratamiento'!#REF!</xm:f>
          </x14:formula1>
          <xm:sqref>C54:C66 E54:E66 E75:E79 C75:C76</xm:sqref>
        </x14:dataValidation>
        <x14:dataValidation type="list" allowBlank="1" showInputMessage="1" showErrorMessage="1">
          <x14:formula1>
            <xm:f>'[5]Opciones Tratamiento'!#REF!</xm:f>
          </x14:formula1>
          <xm:sqref>C140:C173 E243:E248 E140:E173</xm:sqref>
        </x14:dataValidation>
        <x14:dataValidation type="list" allowBlank="1" showInputMessage="1" showErrorMessage="1">
          <x14:formula1>
            <xm:f>'[6]Opciones Tratamiento'!#REF!</xm:f>
          </x14:formula1>
          <xm:sqref>AR178 AR187 AR191</xm:sqref>
        </x14:dataValidation>
        <x14:dataValidation type="list" allowBlank="1" showInputMessage="1" showErrorMessage="1">
          <x14:formula1>
            <xm:f>'[7]Opciones Tratamiento'!#REF!</xm:f>
          </x14:formula1>
          <xm:sqref>AR203 AR234</xm:sqref>
        </x14:dataValidation>
        <x14:dataValidation type="list" allowBlank="1" showInputMessage="1" showErrorMessage="1">
          <x14:formula1>
            <xm:f>'[8]Opciones Tratamiento'!#REF!</xm:f>
          </x14:formula1>
          <xm:sqref>AR253:AR254</xm:sqref>
        </x14:dataValidation>
        <x14:dataValidation type="list" allowBlank="1" showInputMessage="1" showErrorMessage="1">
          <x14:formula1>
            <xm:f>'[9]Opciones Tratamiento'!#REF!</xm:f>
          </x14:formula1>
          <xm:sqref>E127:E136 M128:M136</xm:sqref>
        </x14:dataValidation>
        <x14:dataValidation type="list" allowBlank="1" showInputMessage="1" showErrorMessage="1">
          <x14:formula1>
            <xm:f>'[10]Opciones Tratamiento'!#REF!</xm:f>
          </x14:formula1>
          <xm:sqref>C203:C235 E203:E235</xm:sqref>
        </x14:dataValidation>
        <x14:dataValidation type="list" allowBlank="1" showInputMessage="1" showErrorMessage="1">
          <x14:formula1>
            <xm:f>'Tabla Valoración controles'!$D$4:$D$6</xm:f>
          </x14:formula1>
          <xm:sqref>Z88:Z254 Z13:Z87</xm:sqref>
        </x14:dataValidation>
        <x14:dataValidation type="list" allowBlank="1" showInputMessage="1" showErrorMessage="1">
          <x14:formula1>
            <xm:f>'Tabla Valoración controles'!$D$7:$D$8</xm:f>
          </x14:formula1>
          <xm:sqref>AA88:AA254 AA13:AA87</xm:sqref>
        </x14:dataValidation>
        <x14:dataValidation type="list" allowBlank="1" showInputMessage="1" showErrorMessage="1">
          <x14:formula1>
            <xm:f>'Tabla Valoración controles'!$D$9:$D$10</xm:f>
          </x14:formula1>
          <xm:sqref>AC88:AC254 AC13:AC87</xm:sqref>
        </x14:dataValidation>
        <x14:dataValidation type="list" allowBlank="1" showInputMessage="1" showErrorMessage="1">
          <x14:formula1>
            <xm:f>'Tabla Valoración controles'!$D$11:$D$12</xm:f>
          </x14:formula1>
          <xm:sqref>AD88:AD254 AD13:AD87</xm:sqref>
        </x14:dataValidation>
        <x14:dataValidation type="list" allowBlank="1" showInputMessage="1" showErrorMessage="1">
          <x14:formula1>
            <xm:f>'Opciones Tratamiento'!$B$27:$B$31</xm:f>
          </x14:formula1>
          <xm:sqref>AL88:AL254 AL13:AL87</xm:sqref>
        </x14:dataValidation>
        <x14:dataValidation type="list" allowBlank="1" showInputMessage="1" showErrorMessage="1">
          <x14:formula1>
            <xm:f>'Tabla Valoración controles'!$D$13:$D$14</xm:f>
          </x14:formula1>
          <xm:sqref>AE88:AE254 AE13:AE87</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0"/>
  <dimension ref="A1:BR71"/>
  <sheetViews>
    <sheetView view="pageBreakPreview" topLeftCell="A7" zoomScale="40" zoomScaleNormal="40" zoomScaleSheetLayoutView="40" workbookViewId="0">
      <selection activeCell="D10" sqref="D10:D11"/>
    </sheetView>
  </sheetViews>
  <sheetFormatPr baseColWidth="10" defaultColWidth="11.42578125" defaultRowHeight="16.5" x14ac:dyDescent="0.25"/>
  <cols>
    <col min="1" max="1" width="81.42578125" style="266" customWidth="1"/>
    <col min="2" max="2" width="22.28515625" style="266" bestFit="1" customWidth="1"/>
    <col min="3" max="3" width="100.28515625" style="266" customWidth="1"/>
    <col min="4" max="4" width="90.5703125" style="266" customWidth="1"/>
    <col min="5" max="5" width="42.28515625" style="266" customWidth="1"/>
    <col min="6" max="6" width="91" style="266" customWidth="1"/>
    <col min="7" max="8" width="48.140625" style="266" customWidth="1"/>
    <col min="9" max="10" width="90.85546875" style="266" customWidth="1"/>
    <col min="11" max="11" width="48.28515625" style="266" customWidth="1"/>
    <col min="12" max="12" width="35.42578125" style="266" customWidth="1"/>
    <col min="13" max="13" width="68.85546875" style="266" customWidth="1"/>
    <col min="14" max="14" width="20.42578125" style="266" customWidth="1"/>
    <col min="15" max="15" width="35.85546875" style="266" customWidth="1"/>
    <col min="16" max="16384" width="11.42578125" style="266"/>
  </cols>
  <sheetData>
    <row r="1" spans="1:70" s="255" customFormat="1" ht="24" thickBot="1" x14ac:dyDescent="0.3">
      <c r="A1" s="253"/>
      <c r="B1" s="253"/>
      <c r="C1" s="253"/>
      <c r="D1" s="253"/>
      <c r="E1" s="253"/>
      <c r="F1" s="253"/>
      <c r="G1" s="253"/>
      <c r="H1" s="253"/>
      <c r="I1" s="253"/>
      <c r="J1" s="253"/>
      <c r="K1" s="253"/>
      <c r="L1" s="253"/>
      <c r="M1" s="253"/>
      <c r="N1" s="254"/>
      <c r="O1" s="254"/>
      <c r="P1" s="254"/>
      <c r="Q1" s="254"/>
      <c r="R1" s="254"/>
      <c r="S1" s="254"/>
      <c r="T1" s="254"/>
      <c r="U1" s="254"/>
      <c r="V1" s="254"/>
      <c r="W1" s="254"/>
      <c r="X1" s="254"/>
      <c r="Y1" s="254"/>
      <c r="Z1" s="254"/>
      <c r="AA1" s="254"/>
      <c r="AB1" s="254"/>
      <c r="AC1" s="254"/>
      <c r="AD1" s="254"/>
      <c r="AE1" s="254"/>
      <c r="AF1" s="254"/>
      <c r="AG1" s="254"/>
      <c r="AH1" s="254"/>
      <c r="AI1" s="254"/>
      <c r="AJ1" s="254"/>
      <c r="AK1" s="254"/>
      <c r="AL1" s="254"/>
      <c r="AM1" s="254"/>
      <c r="AN1" s="254"/>
      <c r="AO1" s="254"/>
      <c r="AP1" s="254"/>
      <c r="AQ1" s="254"/>
      <c r="AR1" s="254"/>
      <c r="AS1" s="254"/>
      <c r="AT1" s="254"/>
      <c r="AU1" s="254"/>
      <c r="AV1" s="254"/>
      <c r="AW1" s="254"/>
      <c r="AX1" s="254"/>
      <c r="AY1" s="254"/>
      <c r="AZ1" s="254"/>
      <c r="BA1" s="254"/>
      <c r="BB1" s="254"/>
      <c r="BC1" s="254"/>
      <c r="BD1" s="254"/>
      <c r="BE1" s="254"/>
      <c r="BF1" s="254"/>
      <c r="BG1" s="254"/>
      <c r="BH1" s="254"/>
      <c r="BI1" s="254"/>
      <c r="BJ1" s="254"/>
      <c r="BK1" s="254"/>
      <c r="BL1" s="254"/>
      <c r="BM1" s="254"/>
      <c r="BN1" s="254"/>
      <c r="BO1" s="254"/>
      <c r="BP1" s="254"/>
      <c r="BQ1" s="254"/>
      <c r="BR1" s="254"/>
    </row>
    <row r="2" spans="1:70" s="255" customFormat="1" ht="70.5" customHeight="1" x14ac:dyDescent="0.25">
      <c r="A2" s="436" t="s">
        <v>60</v>
      </c>
      <c r="B2" s="437"/>
      <c r="C2" s="437"/>
      <c r="D2" s="454" t="s">
        <v>106</v>
      </c>
      <c r="E2" s="455"/>
      <c r="F2" s="455"/>
      <c r="G2" s="455"/>
      <c r="H2" s="455"/>
      <c r="I2" s="455"/>
      <c r="J2" s="455"/>
      <c r="K2" s="455"/>
      <c r="L2" s="456"/>
      <c r="M2" s="438" t="s">
        <v>107</v>
      </c>
      <c r="N2" s="254"/>
      <c r="O2" s="254"/>
      <c r="P2" s="254"/>
      <c r="Q2" s="254"/>
      <c r="R2" s="254"/>
      <c r="S2" s="254"/>
      <c r="T2" s="254"/>
      <c r="U2" s="254"/>
      <c r="V2" s="254"/>
      <c r="W2" s="254"/>
      <c r="X2" s="254"/>
      <c r="Y2" s="254"/>
      <c r="Z2" s="254"/>
      <c r="AA2" s="254"/>
      <c r="AB2" s="254"/>
      <c r="AC2" s="254"/>
      <c r="AD2" s="254"/>
      <c r="AE2" s="254"/>
      <c r="AF2" s="254"/>
      <c r="AG2" s="254"/>
      <c r="AH2" s="254"/>
      <c r="AI2" s="254"/>
      <c r="AJ2" s="254"/>
      <c r="AK2" s="254"/>
      <c r="AL2" s="254"/>
      <c r="AM2" s="254"/>
      <c r="AN2" s="254"/>
      <c r="AO2" s="254"/>
      <c r="AP2" s="254"/>
      <c r="AQ2" s="254"/>
      <c r="AR2" s="254"/>
      <c r="AS2" s="254"/>
      <c r="AT2" s="254"/>
      <c r="AU2" s="254"/>
      <c r="AV2" s="254"/>
      <c r="AW2" s="254"/>
      <c r="AX2" s="254"/>
      <c r="AY2" s="254"/>
      <c r="AZ2" s="254"/>
      <c r="BA2" s="254"/>
      <c r="BB2" s="254"/>
      <c r="BC2" s="254"/>
      <c r="BD2" s="254"/>
      <c r="BE2" s="254"/>
      <c r="BF2" s="254"/>
      <c r="BG2" s="254"/>
      <c r="BH2" s="254"/>
      <c r="BI2" s="254"/>
      <c r="BJ2" s="254"/>
      <c r="BK2" s="254"/>
      <c r="BL2" s="254"/>
      <c r="BM2" s="254"/>
      <c r="BN2" s="254"/>
      <c r="BO2" s="254"/>
      <c r="BP2" s="254"/>
      <c r="BQ2" s="254"/>
      <c r="BR2" s="254"/>
    </row>
    <row r="3" spans="1:70" s="255" customFormat="1" ht="34.5" customHeight="1" x14ac:dyDescent="0.25">
      <c r="A3" s="440"/>
      <c r="B3" s="441"/>
      <c r="C3" s="441"/>
      <c r="D3" s="448" t="s">
        <v>63</v>
      </c>
      <c r="E3" s="449"/>
      <c r="F3" s="449"/>
      <c r="G3" s="449"/>
      <c r="H3" s="449"/>
      <c r="I3" s="449"/>
      <c r="J3" s="449"/>
      <c r="K3" s="449"/>
      <c r="L3" s="450"/>
      <c r="M3" s="439"/>
      <c r="N3" s="256"/>
      <c r="O3" s="256"/>
      <c r="P3" s="256"/>
      <c r="Q3" s="256"/>
      <c r="R3" s="256"/>
      <c r="S3" s="256"/>
      <c r="T3" s="256"/>
      <c r="X3" s="254"/>
      <c r="Y3" s="254"/>
      <c r="Z3" s="254"/>
      <c r="AA3" s="254"/>
      <c r="AB3" s="254"/>
      <c r="AC3" s="254"/>
      <c r="AD3" s="254"/>
      <c r="AE3" s="254"/>
      <c r="AF3" s="254"/>
      <c r="AG3" s="254"/>
      <c r="AH3" s="254"/>
      <c r="AI3" s="254"/>
      <c r="AJ3" s="254"/>
      <c r="AK3" s="254"/>
      <c r="AL3" s="254"/>
      <c r="AM3" s="254"/>
      <c r="AN3" s="254"/>
      <c r="AO3" s="254"/>
      <c r="AP3" s="254"/>
      <c r="AQ3" s="254"/>
      <c r="AR3" s="254"/>
      <c r="AS3" s="254"/>
      <c r="AT3" s="254"/>
      <c r="AU3" s="254"/>
      <c r="AV3" s="254"/>
      <c r="AW3" s="254"/>
      <c r="AX3" s="254"/>
      <c r="AY3" s="254"/>
      <c r="AZ3" s="254"/>
      <c r="BA3" s="254"/>
      <c r="BB3" s="254"/>
      <c r="BC3" s="254"/>
      <c r="BD3" s="254"/>
      <c r="BE3" s="254"/>
      <c r="BF3" s="254"/>
      <c r="BG3" s="254"/>
      <c r="BH3" s="254"/>
      <c r="BI3" s="254"/>
      <c r="BJ3" s="254"/>
      <c r="BK3" s="254"/>
      <c r="BL3" s="254"/>
      <c r="BM3" s="254"/>
      <c r="BN3" s="254"/>
      <c r="BO3" s="254"/>
      <c r="BP3" s="254"/>
      <c r="BQ3" s="254"/>
      <c r="BR3" s="254"/>
    </row>
    <row r="4" spans="1:70" s="255" customFormat="1" ht="34.5" customHeight="1" x14ac:dyDescent="0.25">
      <c r="A4" s="440"/>
      <c r="B4" s="441"/>
      <c r="C4" s="441"/>
      <c r="D4" s="451"/>
      <c r="E4" s="452"/>
      <c r="F4" s="452"/>
      <c r="G4" s="452"/>
      <c r="H4" s="452"/>
      <c r="I4" s="452"/>
      <c r="J4" s="452"/>
      <c r="K4" s="452"/>
      <c r="L4" s="453"/>
      <c r="M4" s="257" t="s">
        <v>64</v>
      </c>
      <c r="N4" s="254"/>
      <c r="P4" s="258"/>
      <c r="Q4" s="258"/>
      <c r="R4" s="258"/>
      <c r="S4" s="258"/>
      <c r="T4" s="258"/>
      <c r="U4" s="258"/>
      <c r="V4" s="258"/>
      <c r="W4" s="258"/>
      <c r="X4" s="254"/>
      <c r="Y4" s="254"/>
      <c r="Z4" s="254"/>
      <c r="AA4" s="254"/>
      <c r="AB4" s="254"/>
      <c r="AC4" s="254"/>
      <c r="AD4" s="254"/>
      <c r="AE4" s="254"/>
      <c r="AF4" s="254"/>
      <c r="AG4" s="254"/>
      <c r="AH4" s="254"/>
      <c r="AI4" s="254"/>
      <c r="AJ4" s="254"/>
      <c r="AK4" s="254"/>
      <c r="AL4" s="254"/>
      <c r="AM4" s="254"/>
      <c r="AN4" s="254"/>
      <c r="AO4" s="254"/>
      <c r="AP4" s="254"/>
      <c r="AQ4" s="254"/>
      <c r="AR4" s="254"/>
      <c r="AS4" s="254"/>
      <c r="AT4" s="254"/>
      <c r="AU4" s="254"/>
      <c r="AV4" s="254"/>
      <c r="AW4" s="254"/>
      <c r="AX4" s="254"/>
      <c r="AY4" s="254"/>
      <c r="AZ4" s="254"/>
      <c r="BA4" s="254"/>
      <c r="BB4" s="254"/>
      <c r="BC4" s="254"/>
      <c r="BD4" s="254"/>
      <c r="BE4" s="254"/>
      <c r="BF4" s="254"/>
      <c r="BG4" s="254"/>
      <c r="BH4" s="254"/>
      <c r="BI4" s="254"/>
      <c r="BJ4" s="254"/>
      <c r="BK4" s="254"/>
      <c r="BL4" s="254"/>
      <c r="BM4" s="254"/>
      <c r="BN4" s="254"/>
      <c r="BO4" s="254"/>
      <c r="BP4" s="254"/>
      <c r="BQ4" s="254"/>
      <c r="BR4" s="254"/>
    </row>
    <row r="5" spans="1:70" s="255" customFormat="1" ht="34.5" customHeight="1" x14ac:dyDescent="0.25">
      <c r="A5" s="440"/>
      <c r="B5" s="441"/>
      <c r="C5" s="441"/>
      <c r="D5" s="460" t="s">
        <v>65</v>
      </c>
      <c r="E5" s="461"/>
      <c r="F5" s="461"/>
      <c r="G5" s="461"/>
      <c r="H5" s="461"/>
      <c r="I5" s="461"/>
      <c r="J5" s="461"/>
      <c r="K5" s="461"/>
      <c r="L5" s="462"/>
      <c r="M5" s="257" t="s">
        <v>108</v>
      </c>
      <c r="N5" s="254"/>
      <c r="P5" s="258"/>
      <c r="Q5" s="258"/>
      <c r="R5" s="258"/>
      <c r="S5" s="258"/>
      <c r="T5" s="258"/>
      <c r="U5" s="258"/>
      <c r="V5" s="258"/>
      <c r="W5" s="258"/>
      <c r="X5" s="254"/>
      <c r="Y5" s="254"/>
      <c r="Z5" s="254"/>
      <c r="AA5" s="254"/>
      <c r="AB5" s="254"/>
      <c r="AC5" s="254"/>
      <c r="AD5" s="254"/>
      <c r="AE5" s="254"/>
      <c r="AF5" s="254"/>
      <c r="AG5" s="254"/>
      <c r="AH5" s="254"/>
      <c r="AI5" s="254"/>
      <c r="AJ5" s="254"/>
      <c r="AK5" s="254"/>
      <c r="AL5" s="254"/>
      <c r="AM5" s="254"/>
      <c r="AN5" s="254"/>
      <c r="AO5" s="254"/>
      <c r="AP5" s="254"/>
      <c r="AQ5" s="254"/>
      <c r="AR5" s="254"/>
      <c r="AS5" s="254"/>
      <c r="AT5" s="254"/>
      <c r="AU5" s="254"/>
      <c r="AV5" s="254"/>
      <c r="AW5" s="254"/>
      <c r="AX5" s="254"/>
      <c r="AY5" s="254"/>
      <c r="AZ5" s="254"/>
      <c r="BA5" s="254"/>
      <c r="BB5" s="254"/>
      <c r="BC5" s="254"/>
      <c r="BD5" s="254"/>
      <c r="BE5" s="254"/>
      <c r="BF5" s="254"/>
      <c r="BG5" s="254"/>
      <c r="BH5" s="254"/>
      <c r="BI5" s="254"/>
      <c r="BJ5" s="254"/>
      <c r="BK5" s="254"/>
      <c r="BL5" s="254"/>
      <c r="BM5" s="254"/>
      <c r="BN5" s="254"/>
      <c r="BO5" s="254"/>
      <c r="BP5" s="254"/>
      <c r="BQ5" s="254"/>
      <c r="BR5" s="254"/>
    </row>
    <row r="6" spans="1:70" s="255" customFormat="1" ht="34.5" customHeight="1" x14ac:dyDescent="0.25">
      <c r="A6" s="440"/>
      <c r="B6" s="441"/>
      <c r="C6" s="441"/>
      <c r="D6" s="457" t="s">
        <v>67</v>
      </c>
      <c r="E6" s="458"/>
      <c r="F6" s="458"/>
      <c r="G6" s="458"/>
      <c r="H6" s="458"/>
      <c r="I6" s="458"/>
      <c r="J6" s="458"/>
      <c r="K6" s="458"/>
      <c r="L6" s="459"/>
      <c r="M6" s="257" t="s">
        <v>68</v>
      </c>
      <c r="N6" s="254"/>
      <c r="P6" s="259"/>
      <c r="Q6" s="259"/>
      <c r="R6" s="259"/>
      <c r="S6" s="259"/>
      <c r="T6" s="259"/>
      <c r="U6" s="259"/>
      <c r="V6" s="259"/>
      <c r="W6" s="259"/>
      <c r="X6" s="254"/>
      <c r="Y6" s="254"/>
      <c r="Z6" s="254"/>
      <c r="AA6" s="254"/>
      <c r="AB6" s="254"/>
      <c r="AC6" s="254"/>
      <c r="AD6" s="254"/>
      <c r="AE6" s="254"/>
      <c r="AF6" s="254"/>
      <c r="AG6" s="254"/>
      <c r="AH6" s="254"/>
      <c r="AI6" s="254"/>
      <c r="AJ6" s="254"/>
      <c r="AK6" s="254"/>
      <c r="AL6" s="254"/>
      <c r="AM6" s="254"/>
      <c r="AN6" s="254"/>
      <c r="AO6" s="254"/>
      <c r="AP6" s="254"/>
      <c r="AQ6" s="254"/>
      <c r="AR6" s="254"/>
      <c r="AS6" s="254"/>
      <c r="AT6" s="254"/>
      <c r="AU6" s="254"/>
      <c r="AV6" s="254"/>
      <c r="AW6" s="254"/>
      <c r="AX6" s="254"/>
      <c r="AY6" s="254"/>
      <c r="AZ6" s="254"/>
      <c r="BA6" s="254"/>
      <c r="BB6" s="254"/>
      <c r="BC6" s="254"/>
      <c r="BD6" s="254"/>
      <c r="BE6" s="254"/>
      <c r="BF6" s="254"/>
      <c r="BG6" s="254"/>
      <c r="BH6" s="254"/>
      <c r="BI6" s="254"/>
      <c r="BJ6" s="254"/>
      <c r="BK6" s="254"/>
      <c r="BL6" s="254"/>
      <c r="BM6" s="254"/>
      <c r="BN6" s="254"/>
      <c r="BO6" s="254"/>
      <c r="BP6" s="254"/>
      <c r="BQ6" s="254"/>
      <c r="BR6" s="254"/>
    </row>
    <row r="7" spans="1:70" s="255" customFormat="1" ht="33" customHeight="1" thickBot="1" x14ac:dyDescent="0.3">
      <c r="A7" s="442"/>
      <c r="B7" s="443"/>
      <c r="C7" s="443"/>
      <c r="D7" s="443"/>
      <c r="E7" s="443"/>
      <c r="F7" s="443"/>
      <c r="G7" s="443"/>
      <c r="H7" s="443"/>
      <c r="I7" s="443"/>
      <c r="J7" s="443"/>
      <c r="K7" s="443"/>
      <c r="L7" s="443"/>
      <c r="M7" s="444"/>
      <c r="N7" s="254"/>
      <c r="O7" s="259"/>
      <c r="P7" s="259"/>
      <c r="Q7" s="259"/>
      <c r="R7" s="259"/>
      <c r="S7" s="259"/>
      <c r="T7" s="259"/>
      <c r="U7" s="259"/>
      <c r="V7" s="259"/>
      <c r="W7" s="259"/>
      <c r="X7" s="254"/>
      <c r="Y7" s="254"/>
      <c r="Z7" s="254"/>
      <c r="AA7" s="254"/>
      <c r="AB7" s="254"/>
      <c r="AC7" s="254"/>
      <c r="AD7" s="254"/>
      <c r="AE7" s="254"/>
      <c r="AF7" s="254"/>
      <c r="AG7" s="254"/>
      <c r="AH7" s="254"/>
      <c r="AI7" s="254"/>
      <c r="AJ7" s="254"/>
      <c r="AK7" s="254"/>
      <c r="AL7" s="254"/>
      <c r="AM7" s="254"/>
      <c r="AN7" s="254"/>
      <c r="AO7" s="254"/>
      <c r="AP7" s="254"/>
      <c r="AQ7" s="254"/>
      <c r="AR7" s="254"/>
      <c r="AS7" s="254"/>
      <c r="AT7" s="254"/>
      <c r="AU7" s="254"/>
      <c r="AV7" s="254"/>
      <c r="AW7" s="254"/>
      <c r="AX7" s="254"/>
      <c r="AY7" s="254"/>
      <c r="AZ7" s="254"/>
      <c r="BA7" s="254"/>
      <c r="BB7" s="254"/>
      <c r="BC7" s="254"/>
      <c r="BD7" s="254"/>
      <c r="BE7" s="254"/>
      <c r="BF7" s="254"/>
      <c r="BG7" s="254"/>
      <c r="BH7" s="254"/>
      <c r="BI7" s="254"/>
      <c r="BJ7" s="254"/>
      <c r="BK7" s="254"/>
      <c r="BL7" s="254"/>
      <c r="BM7" s="254"/>
      <c r="BN7" s="254"/>
      <c r="BO7" s="254"/>
      <c r="BP7" s="254"/>
      <c r="BQ7" s="254"/>
      <c r="BR7" s="254"/>
    </row>
    <row r="8" spans="1:70" s="255" customFormat="1" ht="29.25" customHeight="1" x14ac:dyDescent="0.25">
      <c r="A8" s="260"/>
      <c r="B8" s="253"/>
      <c r="C8" s="261"/>
      <c r="D8" s="261"/>
      <c r="E8" s="261"/>
      <c r="F8" s="261"/>
      <c r="G8" s="261"/>
      <c r="H8" s="261"/>
      <c r="I8" s="261"/>
      <c r="J8" s="261"/>
      <c r="K8" s="261"/>
      <c r="L8" s="261"/>
      <c r="M8" s="261"/>
      <c r="N8" s="254"/>
      <c r="O8" s="254"/>
      <c r="P8" s="254"/>
      <c r="Q8" s="254"/>
      <c r="R8" s="254"/>
      <c r="S8" s="254"/>
      <c r="T8" s="254"/>
      <c r="U8" s="254"/>
      <c r="V8" s="254"/>
      <c r="W8" s="254"/>
      <c r="X8" s="254"/>
      <c r="Y8" s="254"/>
      <c r="Z8" s="254"/>
      <c r="AA8" s="254"/>
      <c r="AB8" s="254"/>
      <c r="AC8" s="254"/>
      <c r="AD8" s="254"/>
      <c r="AE8" s="254"/>
      <c r="AF8" s="254"/>
      <c r="AG8" s="254"/>
      <c r="AH8" s="254"/>
      <c r="AI8" s="254"/>
      <c r="AJ8" s="254"/>
      <c r="AK8" s="254"/>
      <c r="AL8" s="254"/>
      <c r="AM8" s="254"/>
      <c r="AN8" s="254"/>
      <c r="AO8" s="254"/>
      <c r="AP8" s="254"/>
      <c r="AQ8" s="254"/>
      <c r="AR8" s="254"/>
      <c r="AS8" s="254"/>
      <c r="AT8" s="254"/>
      <c r="AU8" s="254"/>
      <c r="AV8" s="254"/>
      <c r="AW8" s="254"/>
      <c r="AX8" s="254"/>
      <c r="AY8" s="254"/>
      <c r="AZ8" s="254"/>
      <c r="BA8" s="254"/>
      <c r="BB8" s="254"/>
      <c r="BC8" s="254"/>
      <c r="BD8" s="254"/>
      <c r="BE8" s="254"/>
      <c r="BF8" s="254"/>
      <c r="BG8" s="254"/>
      <c r="BH8" s="254"/>
      <c r="BI8" s="254"/>
      <c r="BJ8" s="254"/>
      <c r="BK8" s="254"/>
      <c r="BL8" s="254"/>
      <c r="BM8" s="254"/>
      <c r="BN8" s="254"/>
      <c r="BO8" s="254"/>
      <c r="BP8" s="254"/>
      <c r="BQ8" s="254"/>
      <c r="BR8" s="254"/>
    </row>
    <row r="9" spans="1:70" s="255" customFormat="1" ht="177" customHeight="1" x14ac:dyDescent="0.25">
      <c r="A9" s="445" t="s">
        <v>941</v>
      </c>
      <c r="B9" s="446"/>
      <c r="C9" s="446"/>
      <c r="D9" s="446"/>
      <c r="E9" s="446"/>
      <c r="F9" s="446"/>
      <c r="G9" s="446"/>
      <c r="H9" s="446"/>
      <c r="I9" s="446"/>
      <c r="J9" s="446"/>
      <c r="K9" s="446"/>
      <c r="L9" s="446"/>
      <c r="M9" s="446"/>
      <c r="N9" s="254"/>
      <c r="O9" s="254"/>
      <c r="P9" s="254"/>
      <c r="Q9" s="254"/>
      <c r="R9" s="254"/>
      <c r="S9" s="254"/>
      <c r="T9" s="254"/>
      <c r="U9" s="254"/>
      <c r="V9" s="254"/>
      <c r="W9" s="254"/>
      <c r="X9" s="254"/>
      <c r="Y9" s="254"/>
      <c r="Z9" s="254"/>
      <c r="AA9" s="254"/>
      <c r="AB9" s="254"/>
      <c r="AC9" s="254"/>
      <c r="AD9" s="254"/>
      <c r="AE9" s="254"/>
      <c r="AF9" s="254"/>
      <c r="AG9" s="254"/>
      <c r="AH9" s="254"/>
      <c r="AI9" s="254"/>
      <c r="AJ9" s="254"/>
      <c r="AK9" s="254"/>
      <c r="AL9" s="254"/>
      <c r="AM9" s="254"/>
      <c r="AN9" s="254"/>
      <c r="AO9" s="254"/>
      <c r="AP9" s="254"/>
      <c r="AQ9" s="254"/>
      <c r="AR9" s="254"/>
      <c r="AS9" s="254"/>
      <c r="AT9" s="254"/>
      <c r="AU9" s="254"/>
      <c r="AV9" s="254"/>
      <c r="AW9" s="254"/>
      <c r="AX9" s="254"/>
      <c r="AY9" s="254"/>
      <c r="AZ9" s="254"/>
      <c r="BA9" s="254"/>
      <c r="BB9" s="254"/>
      <c r="BC9" s="254"/>
      <c r="BD9" s="254"/>
      <c r="BE9" s="254"/>
      <c r="BF9" s="254"/>
      <c r="BG9" s="254"/>
      <c r="BH9" s="254"/>
      <c r="BI9" s="254"/>
      <c r="BJ9" s="254"/>
      <c r="BK9" s="254"/>
      <c r="BL9" s="254"/>
      <c r="BM9" s="254"/>
      <c r="BN9" s="254"/>
      <c r="BO9" s="254"/>
      <c r="BP9" s="254"/>
      <c r="BQ9" s="254"/>
      <c r="BR9" s="254"/>
    </row>
    <row r="10" spans="1:70" s="255" customFormat="1" ht="106.5" customHeight="1" x14ac:dyDescent="0.25">
      <c r="A10" s="447" t="s">
        <v>109</v>
      </c>
      <c r="B10" s="447" t="s">
        <v>110</v>
      </c>
      <c r="C10" s="447"/>
      <c r="D10" s="447" t="s">
        <v>111</v>
      </c>
      <c r="E10" s="447" t="s">
        <v>112</v>
      </c>
      <c r="F10" s="447" t="s">
        <v>113</v>
      </c>
      <c r="G10" s="447"/>
      <c r="H10" s="447"/>
      <c r="I10" s="447"/>
      <c r="J10" s="447"/>
      <c r="K10" s="447"/>
      <c r="L10" s="447"/>
      <c r="M10" s="447"/>
      <c r="N10" s="254"/>
      <c r="O10" s="254"/>
      <c r="P10" s="254"/>
      <c r="Q10" s="254"/>
      <c r="R10" s="254"/>
      <c r="S10" s="254"/>
      <c r="T10" s="254"/>
      <c r="U10" s="254"/>
      <c r="V10" s="254"/>
      <c r="W10" s="254"/>
      <c r="X10" s="254"/>
      <c r="Y10" s="254"/>
      <c r="Z10" s="254"/>
      <c r="AA10" s="254"/>
      <c r="AB10" s="254"/>
      <c r="AC10" s="254"/>
      <c r="AD10" s="254"/>
      <c r="AE10" s="254"/>
      <c r="AF10" s="254"/>
      <c r="AG10" s="254"/>
      <c r="AH10" s="254"/>
      <c r="AI10" s="254"/>
      <c r="AJ10" s="254"/>
      <c r="AK10" s="254"/>
      <c r="AL10" s="254"/>
      <c r="AM10" s="254"/>
      <c r="AN10" s="254"/>
      <c r="AO10" s="254"/>
      <c r="AP10" s="254"/>
      <c r="AQ10" s="254"/>
      <c r="AR10" s="254"/>
      <c r="AS10" s="254"/>
      <c r="AT10" s="254"/>
      <c r="AU10" s="254"/>
      <c r="AV10" s="254"/>
      <c r="AW10" s="254"/>
      <c r="AX10" s="254"/>
      <c r="AY10" s="254"/>
      <c r="AZ10" s="254"/>
      <c r="BA10" s="254"/>
      <c r="BB10" s="254"/>
      <c r="BC10" s="254"/>
      <c r="BD10" s="254"/>
      <c r="BE10" s="254"/>
      <c r="BF10" s="254"/>
      <c r="BG10" s="254"/>
      <c r="BH10" s="254"/>
      <c r="BI10" s="254"/>
      <c r="BJ10" s="254"/>
      <c r="BK10" s="254"/>
      <c r="BL10" s="254"/>
      <c r="BM10" s="254"/>
      <c r="BN10" s="254"/>
      <c r="BO10" s="254"/>
      <c r="BP10" s="254"/>
      <c r="BQ10" s="254"/>
      <c r="BR10" s="254"/>
    </row>
    <row r="11" spans="1:70" s="255" customFormat="1" ht="206.25" customHeight="1" x14ac:dyDescent="0.25">
      <c r="A11" s="447"/>
      <c r="B11" s="262" t="s">
        <v>114</v>
      </c>
      <c r="C11" s="262" t="s">
        <v>21</v>
      </c>
      <c r="D11" s="447"/>
      <c r="E11" s="447"/>
      <c r="F11" s="262" t="s">
        <v>115</v>
      </c>
      <c r="G11" s="262" t="s">
        <v>116</v>
      </c>
      <c r="H11" s="262" t="s">
        <v>117</v>
      </c>
      <c r="I11" s="262" t="s">
        <v>118</v>
      </c>
      <c r="J11" s="262" t="s">
        <v>119</v>
      </c>
      <c r="K11" s="262" t="s">
        <v>93</v>
      </c>
      <c r="L11" s="262" t="s">
        <v>120</v>
      </c>
      <c r="M11" s="262" t="s">
        <v>121</v>
      </c>
      <c r="N11" s="254"/>
      <c r="O11" s="254"/>
      <c r="P11" s="254"/>
      <c r="Q11" s="254"/>
      <c r="R11" s="254"/>
      <c r="S11" s="254"/>
      <c r="T11" s="254"/>
      <c r="U11" s="254"/>
      <c r="V11" s="254"/>
      <c r="W11" s="254"/>
      <c r="X11" s="254"/>
      <c r="Y11" s="254"/>
      <c r="Z11" s="254"/>
      <c r="AA11" s="254"/>
      <c r="AB11" s="254"/>
      <c r="AC11" s="254"/>
      <c r="AD11" s="254"/>
      <c r="AE11" s="254"/>
      <c r="AF11" s="254"/>
      <c r="AG11" s="254"/>
      <c r="AH11" s="254"/>
      <c r="AI11" s="254"/>
      <c r="AJ11" s="254"/>
      <c r="AK11" s="254"/>
      <c r="AL11" s="254"/>
      <c r="AM11" s="254"/>
      <c r="AN11" s="254"/>
      <c r="AO11" s="254"/>
      <c r="AP11" s="254"/>
      <c r="AQ11" s="254"/>
      <c r="AR11" s="254"/>
      <c r="AS11" s="254"/>
      <c r="AT11" s="254"/>
      <c r="AU11" s="254"/>
      <c r="AV11" s="254"/>
      <c r="AW11" s="254"/>
      <c r="AX11" s="254"/>
      <c r="AY11" s="254"/>
      <c r="AZ11" s="254"/>
      <c r="BA11" s="254"/>
      <c r="BB11" s="254"/>
      <c r="BC11" s="254"/>
      <c r="BD11" s="254"/>
      <c r="BE11" s="254"/>
      <c r="BF11" s="254"/>
      <c r="BG11" s="254"/>
      <c r="BH11" s="254"/>
      <c r="BI11" s="254"/>
      <c r="BJ11" s="254"/>
      <c r="BK11" s="254"/>
      <c r="BL11" s="254"/>
      <c r="BM11" s="254"/>
      <c r="BN11" s="254"/>
      <c r="BO11" s="254"/>
      <c r="BP11" s="254"/>
      <c r="BQ11" s="254"/>
      <c r="BR11" s="254"/>
    </row>
    <row r="12" spans="1:70" s="264" customFormat="1" ht="92.25" customHeight="1" x14ac:dyDescent="0.25">
      <c r="A12" s="432" t="str">
        <f>A9</f>
        <v>MATRIZ DE MONITOREO DE RIESGOS I TRIMESTRE
(ENERO - MARZO)</v>
      </c>
      <c r="B12" s="433" t="str">
        <f>'Mapa final'!B13</f>
        <v>GBG_02</v>
      </c>
      <c r="C12" s="434"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435"/>
      <c r="E12" s="435"/>
      <c r="F12" s="431" t="str">
        <f t="shared" ref="F12:M12" si="0">IFERROR(IF($E12="","No",IF($E12="No","No"," "))," ")</f>
        <v>No</v>
      </c>
      <c r="G12" s="431" t="str">
        <f t="shared" si="0"/>
        <v>No</v>
      </c>
      <c r="H12" s="431" t="str">
        <f t="shared" si="0"/>
        <v>No</v>
      </c>
      <c r="I12" s="431" t="str">
        <f t="shared" si="0"/>
        <v>No</v>
      </c>
      <c r="J12" s="431" t="str">
        <f t="shared" si="0"/>
        <v>No</v>
      </c>
      <c r="K12" s="431" t="str">
        <f t="shared" si="0"/>
        <v>No</v>
      </c>
      <c r="L12" s="431" t="str">
        <f t="shared" si="0"/>
        <v>No</v>
      </c>
      <c r="M12" s="431" t="str">
        <f t="shared" si="0"/>
        <v>No</v>
      </c>
      <c r="N12" s="263"/>
      <c r="O12" s="263"/>
      <c r="P12" s="263"/>
      <c r="Q12" s="263"/>
      <c r="R12" s="263"/>
      <c r="S12" s="263"/>
      <c r="T12" s="263"/>
      <c r="U12" s="263"/>
      <c r="V12" s="263"/>
      <c r="W12" s="263"/>
      <c r="X12" s="263"/>
      <c r="Y12" s="263"/>
      <c r="Z12" s="263"/>
      <c r="AA12" s="263"/>
      <c r="AB12" s="263"/>
      <c r="AC12" s="263"/>
      <c r="AD12" s="263"/>
      <c r="AE12" s="263"/>
      <c r="AF12" s="263"/>
      <c r="AG12" s="263"/>
      <c r="AH12" s="263"/>
      <c r="AI12" s="263"/>
      <c r="AJ12" s="263"/>
      <c r="AK12" s="263"/>
      <c r="AL12" s="263"/>
      <c r="AM12" s="263"/>
      <c r="AN12" s="263"/>
      <c r="AO12" s="263"/>
      <c r="AP12" s="263"/>
      <c r="AQ12" s="263"/>
      <c r="AR12" s="263"/>
      <c r="AS12" s="263"/>
      <c r="AT12" s="263"/>
      <c r="AU12" s="263"/>
      <c r="AV12" s="263"/>
      <c r="AW12" s="263"/>
      <c r="AX12" s="263"/>
      <c r="AY12" s="263"/>
      <c r="AZ12" s="263"/>
      <c r="BA12" s="263"/>
      <c r="BB12" s="263"/>
      <c r="BC12" s="263"/>
      <c r="BD12" s="263"/>
      <c r="BE12" s="263"/>
      <c r="BF12" s="263"/>
      <c r="BG12" s="263"/>
      <c r="BH12" s="263"/>
      <c r="BI12" s="263"/>
      <c r="BJ12" s="263"/>
      <c r="BK12" s="263"/>
      <c r="BL12" s="263"/>
      <c r="BM12" s="263"/>
      <c r="BN12" s="263"/>
      <c r="BO12" s="263"/>
      <c r="BP12" s="263"/>
      <c r="BQ12" s="263"/>
      <c r="BR12" s="263"/>
    </row>
    <row r="13" spans="1:70" s="264" customFormat="1" ht="92.25" customHeight="1" x14ac:dyDescent="0.25">
      <c r="A13" s="432"/>
      <c r="B13" s="433"/>
      <c r="C13" s="434"/>
      <c r="D13" s="435"/>
      <c r="E13" s="435"/>
      <c r="F13" s="431"/>
      <c r="G13" s="431"/>
      <c r="H13" s="431"/>
      <c r="I13" s="431"/>
      <c r="J13" s="431"/>
      <c r="K13" s="431"/>
      <c r="L13" s="431"/>
      <c r="M13" s="431"/>
      <c r="N13" s="263"/>
      <c r="O13" s="263"/>
      <c r="P13" s="263"/>
      <c r="Q13" s="263"/>
      <c r="R13" s="263"/>
      <c r="S13" s="263"/>
      <c r="T13" s="263"/>
      <c r="U13" s="263"/>
      <c r="V13" s="263"/>
      <c r="W13" s="263"/>
      <c r="X13" s="263"/>
      <c r="Y13" s="263"/>
      <c r="Z13" s="263"/>
      <c r="AA13" s="263"/>
      <c r="AB13" s="263"/>
      <c r="AC13" s="263"/>
      <c r="AD13" s="263"/>
      <c r="AE13" s="263"/>
      <c r="AF13" s="263"/>
      <c r="AG13" s="263"/>
      <c r="AH13" s="263"/>
      <c r="AI13" s="263"/>
      <c r="AJ13" s="263"/>
      <c r="AK13" s="263"/>
      <c r="AL13" s="263"/>
      <c r="AM13" s="263"/>
      <c r="AN13" s="263"/>
      <c r="AO13" s="263"/>
      <c r="AP13" s="263"/>
      <c r="AQ13" s="263"/>
      <c r="AR13" s="263"/>
      <c r="AS13" s="263"/>
      <c r="AT13" s="263"/>
      <c r="AU13" s="263"/>
      <c r="AV13" s="263"/>
      <c r="AW13" s="263"/>
      <c r="AX13" s="263"/>
      <c r="AY13" s="263"/>
      <c r="AZ13" s="263"/>
      <c r="BA13" s="263"/>
      <c r="BB13" s="263"/>
      <c r="BC13" s="263"/>
      <c r="BD13" s="263"/>
      <c r="BE13" s="263"/>
      <c r="BF13" s="263"/>
      <c r="BG13" s="263"/>
      <c r="BH13" s="263"/>
      <c r="BI13" s="263"/>
      <c r="BJ13" s="263"/>
      <c r="BK13" s="263"/>
      <c r="BL13" s="263"/>
      <c r="BM13" s="263"/>
      <c r="BN13" s="263"/>
      <c r="BO13" s="263"/>
      <c r="BP13" s="263"/>
      <c r="BQ13" s="263"/>
      <c r="BR13" s="263"/>
    </row>
    <row r="14" spans="1:70" s="264" customFormat="1" ht="92.25" customHeight="1" x14ac:dyDescent="0.25">
      <c r="A14" s="432"/>
      <c r="B14" s="433"/>
      <c r="C14" s="434"/>
      <c r="D14" s="435"/>
      <c r="E14" s="435"/>
      <c r="F14" s="431"/>
      <c r="G14" s="431"/>
      <c r="H14" s="431"/>
      <c r="I14" s="431"/>
      <c r="J14" s="431"/>
      <c r="K14" s="431"/>
      <c r="L14" s="431"/>
      <c r="M14" s="431"/>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c r="AO14" s="263"/>
      <c r="AP14" s="263"/>
      <c r="AQ14" s="263"/>
      <c r="AR14" s="263"/>
      <c r="AS14" s="263"/>
      <c r="AT14" s="263"/>
      <c r="AU14" s="263"/>
      <c r="AV14" s="263"/>
      <c r="AW14" s="263"/>
      <c r="AX14" s="263"/>
      <c r="AY14" s="263"/>
      <c r="AZ14" s="263"/>
      <c r="BA14" s="263"/>
      <c r="BB14" s="263"/>
      <c r="BC14" s="263"/>
      <c r="BD14" s="263"/>
      <c r="BE14" s="263"/>
      <c r="BF14" s="263"/>
      <c r="BG14" s="263"/>
      <c r="BH14" s="263"/>
      <c r="BI14" s="263"/>
      <c r="BJ14" s="263"/>
      <c r="BK14" s="263"/>
      <c r="BL14" s="263"/>
      <c r="BM14" s="263"/>
      <c r="BN14" s="263"/>
      <c r="BO14" s="263"/>
      <c r="BP14" s="263"/>
      <c r="BQ14" s="263"/>
      <c r="BR14" s="263"/>
    </row>
    <row r="15" spans="1:70" s="264" customFormat="1" ht="92.25" customHeight="1" x14ac:dyDescent="0.25">
      <c r="A15" s="432"/>
      <c r="B15" s="433" t="str">
        <f>'Mapa final'!$B$15</f>
        <v>GBG_03</v>
      </c>
      <c r="C15" s="434" t="str">
        <f>'Mapa final'!$H$15</f>
        <v>Posibilidad de afectación económica y reputacional por demandas legales y sanciones, debido a la omisión de la declaración de impedimento o recusación ante la posibilidad real o aparente de un conflicto de interés.</v>
      </c>
      <c r="D15" s="435"/>
      <c r="E15" s="435"/>
      <c r="F15" s="431" t="str">
        <f t="shared" ref="F15:M39" si="1">IFERROR(IF($E15="","No",IF($E15="No","No"," "))," ")</f>
        <v>No</v>
      </c>
      <c r="G15" s="431" t="str">
        <f t="shared" si="1"/>
        <v>No</v>
      </c>
      <c r="H15" s="431" t="str">
        <f t="shared" si="1"/>
        <v>No</v>
      </c>
      <c r="I15" s="431" t="str">
        <f t="shared" si="1"/>
        <v>No</v>
      </c>
      <c r="J15" s="431" t="str">
        <f t="shared" si="1"/>
        <v>No</v>
      </c>
      <c r="K15" s="431" t="str">
        <f t="shared" si="1"/>
        <v>No</v>
      </c>
      <c r="L15" s="431" t="str">
        <f t="shared" si="1"/>
        <v>No</v>
      </c>
      <c r="M15" s="431" t="str">
        <f t="shared" si="1"/>
        <v>No</v>
      </c>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c r="AO15" s="263"/>
      <c r="AP15" s="263"/>
      <c r="AQ15" s="263"/>
      <c r="AR15" s="263"/>
      <c r="AS15" s="263"/>
      <c r="AT15" s="263"/>
      <c r="AU15" s="263"/>
      <c r="AV15" s="263"/>
      <c r="AW15" s="263"/>
      <c r="AX15" s="263"/>
      <c r="AY15" s="263"/>
      <c r="AZ15" s="263"/>
      <c r="BA15" s="263"/>
      <c r="BB15" s="263"/>
      <c r="BC15" s="263"/>
      <c r="BD15" s="263"/>
      <c r="BE15" s="263"/>
      <c r="BF15" s="263"/>
      <c r="BG15" s="263"/>
      <c r="BH15" s="263"/>
      <c r="BI15" s="263"/>
      <c r="BJ15" s="263"/>
      <c r="BK15" s="263"/>
      <c r="BL15" s="263"/>
      <c r="BM15" s="263"/>
      <c r="BN15" s="263"/>
      <c r="BO15" s="263"/>
      <c r="BP15" s="263"/>
      <c r="BQ15" s="263"/>
      <c r="BR15" s="263"/>
    </row>
    <row r="16" spans="1:70" s="264" customFormat="1" ht="92.25" customHeight="1" x14ac:dyDescent="0.25">
      <c r="A16" s="432"/>
      <c r="B16" s="433"/>
      <c r="C16" s="434"/>
      <c r="D16" s="435"/>
      <c r="E16" s="435"/>
      <c r="F16" s="431"/>
      <c r="G16" s="431"/>
      <c r="H16" s="431"/>
      <c r="I16" s="431"/>
      <c r="J16" s="431"/>
      <c r="K16" s="431"/>
      <c r="L16" s="431"/>
      <c r="M16" s="431"/>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c r="AO16" s="263"/>
      <c r="AP16" s="263"/>
      <c r="AQ16" s="263"/>
      <c r="AR16" s="263"/>
      <c r="AS16" s="263"/>
      <c r="AT16" s="263"/>
      <c r="AU16" s="263"/>
      <c r="AV16" s="263"/>
      <c r="AW16" s="263"/>
      <c r="AX16" s="263"/>
      <c r="AY16" s="263"/>
      <c r="AZ16" s="263"/>
      <c r="BA16" s="263"/>
      <c r="BB16" s="263"/>
      <c r="BC16" s="263"/>
      <c r="BD16" s="263"/>
      <c r="BE16" s="263"/>
      <c r="BF16" s="263"/>
      <c r="BG16" s="263"/>
      <c r="BH16" s="263"/>
      <c r="BI16" s="263"/>
      <c r="BJ16" s="263"/>
      <c r="BK16" s="263"/>
      <c r="BL16" s="263"/>
      <c r="BM16" s="263"/>
      <c r="BN16" s="263"/>
      <c r="BO16" s="263"/>
      <c r="BP16" s="263"/>
      <c r="BQ16" s="263"/>
      <c r="BR16" s="263"/>
    </row>
    <row r="17" spans="1:70" s="264" customFormat="1" ht="92.25" customHeight="1" x14ac:dyDescent="0.25">
      <c r="A17" s="432"/>
      <c r="B17" s="433"/>
      <c r="C17" s="434"/>
      <c r="D17" s="435"/>
      <c r="E17" s="435"/>
      <c r="F17" s="431"/>
      <c r="G17" s="431"/>
      <c r="H17" s="431"/>
      <c r="I17" s="431"/>
      <c r="J17" s="431"/>
      <c r="K17" s="431"/>
      <c r="L17" s="431"/>
      <c r="M17" s="431"/>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c r="AO17" s="263"/>
      <c r="AP17" s="263"/>
      <c r="AQ17" s="263"/>
      <c r="AR17" s="263"/>
      <c r="AS17" s="263"/>
      <c r="AT17" s="263"/>
      <c r="AU17" s="263"/>
      <c r="AV17" s="263"/>
      <c r="AW17" s="263"/>
      <c r="AX17" s="263"/>
      <c r="AY17" s="263"/>
      <c r="AZ17" s="263"/>
      <c r="BA17" s="263"/>
      <c r="BB17" s="263"/>
      <c r="BC17" s="263"/>
      <c r="BD17" s="263"/>
      <c r="BE17" s="263"/>
      <c r="BF17" s="263"/>
      <c r="BG17" s="263"/>
      <c r="BH17" s="263"/>
      <c r="BI17" s="263"/>
      <c r="BJ17" s="263"/>
      <c r="BK17" s="263"/>
      <c r="BL17" s="263"/>
      <c r="BM17" s="263"/>
      <c r="BN17" s="263"/>
      <c r="BO17" s="263"/>
      <c r="BP17" s="263"/>
      <c r="BQ17" s="263"/>
      <c r="BR17" s="263"/>
    </row>
    <row r="18" spans="1:70" s="264" customFormat="1" ht="92.25" customHeight="1" x14ac:dyDescent="0.25">
      <c r="A18" s="432"/>
      <c r="B18" s="433" t="str">
        <f>'Mapa final'!$B$17</f>
        <v>OAP_01</v>
      </c>
      <c r="C18" s="434" t="str">
        <f>'Mapa final'!$H$17</f>
        <v>Posibilidad de afectación económica por la no prestación integral de los servicios de salud a los usuarios del  HOMIL,  debido a la inadecuada identificación de necesidades para la adquisición de bienes y/o servicios.</v>
      </c>
      <c r="D18" s="435"/>
      <c r="E18" s="435"/>
      <c r="F18" s="431" t="str">
        <f t="shared" si="1"/>
        <v>No</v>
      </c>
      <c r="G18" s="431" t="str">
        <f t="shared" si="1"/>
        <v>No</v>
      </c>
      <c r="H18" s="431" t="str">
        <f t="shared" si="1"/>
        <v>No</v>
      </c>
      <c r="I18" s="431" t="str">
        <f t="shared" si="1"/>
        <v>No</v>
      </c>
      <c r="J18" s="431" t="str">
        <f t="shared" si="1"/>
        <v>No</v>
      </c>
      <c r="K18" s="431" t="str">
        <f t="shared" si="1"/>
        <v>No</v>
      </c>
      <c r="L18" s="431" t="str">
        <f t="shared" si="1"/>
        <v>No</v>
      </c>
      <c r="M18" s="431" t="str">
        <f t="shared" si="1"/>
        <v>No</v>
      </c>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c r="AO18" s="263"/>
      <c r="AP18" s="263"/>
      <c r="AQ18" s="263"/>
      <c r="AR18" s="263"/>
      <c r="AS18" s="263"/>
      <c r="AT18" s="263"/>
      <c r="AU18" s="263"/>
      <c r="AV18" s="263"/>
      <c r="AW18" s="263"/>
      <c r="AX18" s="263"/>
      <c r="AY18" s="263"/>
      <c r="AZ18" s="263"/>
      <c r="BA18" s="263"/>
      <c r="BB18" s="263"/>
      <c r="BC18" s="263"/>
      <c r="BD18" s="263"/>
      <c r="BE18" s="263"/>
      <c r="BF18" s="263"/>
      <c r="BG18" s="263"/>
      <c r="BH18" s="263"/>
      <c r="BI18" s="263"/>
      <c r="BJ18" s="263"/>
      <c r="BK18" s="263"/>
      <c r="BL18" s="263"/>
      <c r="BM18" s="263"/>
      <c r="BN18" s="263"/>
      <c r="BO18" s="263"/>
      <c r="BP18" s="263"/>
      <c r="BQ18" s="263"/>
      <c r="BR18" s="263"/>
    </row>
    <row r="19" spans="1:70" s="264" customFormat="1" ht="92.25" customHeight="1" x14ac:dyDescent="0.25">
      <c r="A19" s="432"/>
      <c r="B19" s="433"/>
      <c r="C19" s="434"/>
      <c r="D19" s="435"/>
      <c r="E19" s="435"/>
      <c r="F19" s="431"/>
      <c r="G19" s="431"/>
      <c r="H19" s="431"/>
      <c r="I19" s="431"/>
      <c r="J19" s="431"/>
      <c r="K19" s="431"/>
      <c r="L19" s="431"/>
      <c r="M19" s="431"/>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c r="AO19" s="263"/>
      <c r="AP19" s="263"/>
      <c r="AQ19" s="263"/>
      <c r="AR19" s="263"/>
      <c r="AS19" s="263"/>
      <c r="AT19" s="263"/>
      <c r="AU19" s="263"/>
      <c r="AV19" s="263"/>
      <c r="AW19" s="263"/>
      <c r="AX19" s="263"/>
      <c r="AY19" s="263"/>
      <c r="AZ19" s="263"/>
      <c r="BA19" s="263"/>
      <c r="BB19" s="263"/>
      <c r="BC19" s="263"/>
      <c r="BD19" s="263"/>
      <c r="BE19" s="263"/>
      <c r="BF19" s="263"/>
      <c r="BG19" s="263"/>
      <c r="BH19" s="263"/>
      <c r="BI19" s="263"/>
      <c r="BJ19" s="263"/>
      <c r="BK19" s="263"/>
      <c r="BL19" s="263"/>
      <c r="BM19" s="263"/>
      <c r="BN19" s="263"/>
      <c r="BO19" s="263"/>
      <c r="BP19" s="263"/>
      <c r="BQ19" s="263"/>
      <c r="BR19" s="263"/>
    </row>
    <row r="20" spans="1:70" s="264" customFormat="1" ht="92.25" customHeight="1" x14ac:dyDescent="0.25">
      <c r="A20" s="432"/>
      <c r="B20" s="433"/>
      <c r="C20" s="434"/>
      <c r="D20" s="435"/>
      <c r="E20" s="435"/>
      <c r="F20" s="431"/>
      <c r="G20" s="431"/>
      <c r="H20" s="431"/>
      <c r="I20" s="431"/>
      <c r="J20" s="431"/>
      <c r="K20" s="431"/>
      <c r="L20" s="431"/>
      <c r="M20" s="431"/>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c r="AO20" s="263"/>
      <c r="AP20" s="263"/>
      <c r="AQ20" s="263"/>
      <c r="AR20" s="263"/>
      <c r="AS20" s="263"/>
      <c r="AT20" s="263"/>
      <c r="AU20" s="263"/>
      <c r="AV20" s="263"/>
      <c r="AW20" s="263"/>
      <c r="AX20" s="263"/>
      <c r="AY20" s="263"/>
      <c r="AZ20" s="263"/>
      <c r="BA20" s="263"/>
      <c r="BB20" s="263"/>
      <c r="BC20" s="263"/>
      <c r="BD20" s="263"/>
      <c r="BE20" s="263"/>
      <c r="BF20" s="263"/>
      <c r="BG20" s="263"/>
      <c r="BH20" s="263"/>
      <c r="BI20" s="263"/>
      <c r="BJ20" s="263"/>
      <c r="BK20" s="263"/>
      <c r="BL20" s="263"/>
      <c r="BM20" s="263"/>
      <c r="BN20" s="263"/>
      <c r="BO20" s="263"/>
      <c r="BP20" s="263"/>
      <c r="BQ20" s="263"/>
      <c r="BR20" s="263"/>
    </row>
    <row r="21" spans="1:70" s="264" customFormat="1" ht="92.25" customHeight="1" x14ac:dyDescent="0.25">
      <c r="A21" s="432"/>
      <c r="B21" s="433" t="str">
        <f>'Mapa final'!$B$20</f>
        <v>OAP_02</v>
      </c>
      <c r="C21" s="434" t="str">
        <f>'Mapa final'!$H$20</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35"/>
      <c r="E21" s="435"/>
      <c r="F21" s="431" t="str">
        <f t="shared" si="1"/>
        <v>No</v>
      </c>
      <c r="G21" s="431" t="str">
        <f t="shared" si="1"/>
        <v>No</v>
      </c>
      <c r="H21" s="431" t="str">
        <f t="shared" si="1"/>
        <v>No</v>
      </c>
      <c r="I21" s="431" t="str">
        <f t="shared" si="1"/>
        <v>No</v>
      </c>
      <c r="J21" s="431" t="str">
        <f t="shared" si="1"/>
        <v>No</v>
      </c>
      <c r="K21" s="431" t="str">
        <f t="shared" si="1"/>
        <v>No</v>
      </c>
      <c r="L21" s="431" t="str">
        <f t="shared" si="1"/>
        <v>No</v>
      </c>
      <c r="M21" s="431" t="str">
        <f t="shared" si="1"/>
        <v>No</v>
      </c>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c r="AO21" s="263"/>
      <c r="AP21" s="263"/>
      <c r="AQ21" s="263"/>
      <c r="AR21" s="263"/>
      <c r="AS21" s="263"/>
      <c r="AT21" s="263"/>
      <c r="AU21" s="263"/>
      <c r="AV21" s="263"/>
      <c r="AW21" s="263"/>
      <c r="AX21" s="263"/>
      <c r="AY21" s="263"/>
      <c r="AZ21" s="263"/>
      <c r="BA21" s="263"/>
      <c r="BB21" s="263"/>
      <c r="BC21" s="263"/>
      <c r="BD21" s="263"/>
      <c r="BE21" s="263"/>
      <c r="BF21" s="263"/>
      <c r="BG21" s="263"/>
      <c r="BH21" s="263"/>
      <c r="BI21" s="263"/>
      <c r="BJ21" s="263"/>
      <c r="BK21" s="263"/>
      <c r="BL21" s="263"/>
      <c r="BM21" s="263"/>
      <c r="BN21" s="263"/>
      <c r="BO21" s="263"/>
      <c r="BP21" s="263"/>
      <c r="BQ21" s="263"/>
      <c r="BR21" s="263"/>
    </row>
    <row r="22" spans="1:70" s="264" customFormat="1" ht="92.25" customHeight="1" x14ac:dyDescent="0.25">
      <c r="A22" s="432"/>
      <c r="B22" s="433"/>
      <c r="C22" s="434"/>
      <c r="D22" s="435"/>
      <c r="E22" s="435"/>
      <c r="F22" s="431"/>
      <c r="G22" s="431"/>
      <c r="H22" s="431"/>
      <c r="I22" s="431"/>
      <c r="J22" s="431"/>
      <c r="K22" s="431"/>
      <c r="L22" s="431"/>
      <c r="M22" s="431"/>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c r="AO22" s="263"/>
      <c r="AP22" s="263"/>
      <c r="AQ22" s="263"/>
      <c r="AR22" s="263"/>
      <c r="AS22" s="263"/>
      <c r="AT22" s="263"/>
      <c r="AU22" s="263"/>
      <c r="AV22" s="263"/>
      <c r="AW22" s="263"/>
      <c r="AX22" s="263"/>
      <c r="AY22" s="263"/>
      <c r="AZ22" s="263"/>
      <c r="BA22" s="263"/>
      <c r="BB22" s="263"/>
      <c r="BC22" s="263"/>
      <c r="BD22" s="263"/>
      <c r="BE22" s="263"/>
      <c r="BF22" s="263"/>
      <c r="BG22" s="263"/>
      <c r="BH22" s="263"/>
      <c r="BI22" s="263"/>
      <c r="BJ22" s="263"/>
      <c r="BK22" s="263"/>
      <c r="BL22" s="263"/>
      <c r="BM22" s="263"/>
      <c r="BN22" s="263"/>
      <c r="BO22" s="263"/>
      <c r="BP22" s="263"/>
      <c r="BQ22" s="263"/>
      <c r="BR22" s="263"/>
    </row>
    <row r="23" spans="1:70" s="264" customFormat="1" ht="92.25" customHeight="1" x14ac:dyDescent="0.25">
      <c r="A23" s="432"/>
      <c r="B23" s="433"/>
      <c r="C23" s="434"/>
      <c r="D23" s="435"/>
      <c r="E23" s="435"/>
      <c r="F23" s="431"/>
      <c r="G23" s="431"/>
      <c r="H23" s="431"/>
      <c r="I23" s="431"/>
      <c r="J23" s="431"/>
      <c r="K23" s="431"/>
      <c r="L23" s="431"/>
      <c r="M23" s="431"/>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c r="AO23" s="263"/>
      <c r="AP23" s="263"/>
      <c r="AQ23" s="263"/>
      <c r="AR23" s="263"/>
      <c r="AS23" s="263"/>
      <c r="AT23" s="263"/>
      <c r="AU23" s="263"/>
      <c r="AV23" s="263"/>
      <c r="AW23" s="263"/>
      <c r="AX23" s="263"/>
      <c r="AY23" s="263"/>
      <c r="AZ23" s="263"/>
      <c r="BA23" s="263"/>
      <c r="BB23" s="263"/>
      <c r="BC23" s="263"/>
      <c r="BD23" s="263"/>
      <c r="BE23" s="263"/>
      <c r="BF23" s="263"/>
      <c r="BG23" s="263"/>
      <c r="BH23" s="263"/>
      <c r="BI23" s="263"/>
      <c r="BJ23" s="263"/>
      <c r="BK23" s="263"/>
      <c r="BL23" s="263"/>
      <c r="BM23" s="263"/>
      <c r="BN23" s="263"/>
      <c r="BO23" s="263"/>
      <c r="BP23" s="263"/>
      <c r="BQ23" s="263"/>
      <c r="BR23" s="263"/>
    </row>
    <row r="24" spans="1:70" s="264" customFormat="1" ht="92.25" customHeight="1" x14ac:dyDescent="0.25">
      <c r="A24" s="432"/>
      <c r="B24" s="433" t="str">
        <f>'Mapa final'!$B$22</f>
        <v>OAP_03</v>
      </c>
      <c r="C24" s="434" t="str">
        <f>'Mapa final'!$H$22</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435"/>
      <c r="E24" s="435"/>
      <c r="F24" s="431" t="str">
        <f t="shared" si="1"/>
        <v>No</v>
      </c>
      <c r="G24" s="431" t="str">
        <f t="shared" si="1"/>
        <v>No</v>
      </c>
      <c r="H24" s="431" t="str">
        <f t="shared" si="1"/>
        <v>No</v>
      </c>
      <c r="I24" s="431" t="str">
        <f t="shared" si="1"/>
        <v>No</v>
      </c>
      <c r="J24" s="431" t="str">
        <f t="shared" si="1"/>
        <v>No</v>
      </c>
      <c r="K24" s="431" t="str">
        <f t="shared" si="1"/>
        <v>No</v>
      </c>
      <c r="L24" s="431" t="str">
        <f t="shared" si="1"/>
        <v>No</v>
      </c>
      <c r="M24" s="431" t="str">
        <f t="shared" si="1"/>
        <v>No</v>
      </c>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c r="AO24" s="263"/>
      <c r="AP24" s="263"/>
      <c r="AQ24" s="263"/>
      <c r="AR24" s="263"/>
      <c r="AS24" s="263"/>
      <c r="AT24" s="263"/>
      <c r="AU24" s="263"/>
      <c r="AV24" s="263"/>
      <c r="AW24" s="263"/>
      <c r="AX24" s="263"/>
      <c r="AY24" s="263"/>
      <c r="AZ24" s="263"/>
      <c r="BA24" s="263"/>
      <c r="BB24" s="263"/>
      <c r="BC24" s="263"/>
      <c r="BD24" s="263"/>
      <c r="BE24" s="263"/>
      <c r="BF24" s="263"/>
      <c r="BG24" s="263"/>
      <c r="BH24" s="263"/>
      <c r="BI24" s="263"/>
      <c r="BJ24" s="263"/>
      <c r="BK24" s="263"/>
      <c r="BL24" s="263"/>
      <c r="BM24" s="263"/>
      <c r="BN24" s="263"/>
      <c r="BO24" s="263"/>
      <c r="BP24" s="263"/>
      <c r="BQ24" s="263"/>
      <c r="BR24" s="263"/>
    </row>
    <row r="25" spans="1:70" s="264" customFormat="1" ht="92.25" customHeight="1" x14ac:dyDescent="0.25">
      <c r="A25" s="432"/>
      <c r="B25" s="433"/>
      <c r="C25" s="434"/>
      <c r="D25" s="435"/>
      <c r="E25" s="435"/>
      <c r="F25" s="431"/>
      <c r="G25" s="431"/>
      <c r="H25" s="431"/>
      <c r="I25" s="431"/>
      <c r="J25" s="431"/>
      <c r="K25" s="431"/>
      <c r="L25" s="431"/>
      <c r="M25" s="431"/>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c r="AO25" s="263"/>
      <c r="AP25" s="263"/>
      <c r="AQ25" s="263"/>
      <c r="AR25" s="263"/>
      <c r="AS25" s="263"/>
      <c r="AT25" s="263"/>
      <c r="AU25" s="263"/>
      <c r="AV25" s="263"/>
      <c r="AW25" s="263"/>
      <c r="AX25" s="263"/>
      <c r="AY25" s="263"/>
      <c r="AZ25" s="263"/>
      <c r="BA25" s="263"/>
      <c r="BB25" s="263"/>
      <c r="BC25" s="263"/>
      <c r="BD25" s="263"/>
      <c r="BE25" s="263"/>
      <c r="BF25" s="263"/>
      <c r="BG25" s="263"/>
      <c r="BH25" s="263"/>
      <c r="BI25" s="263"/>
      <c r="BJ25" s="263"/>
      <c r="BK25" s="263"/>
      <c r="BL25" s="263"/>
      <c r="BM25" s="263"/>
      <c r="BN25" s="263"/>
      <c r="BO25" s="263"/>
      <c r="BP25" s="263"/>
      <c r="BQ25" s="263"/>
      <c r="BR25" s="263"/>
    </row>
    <row r="26" spans="1:70" s="264" customFormat="1" ht="92.25" customHeight="1" x14ac:dyDescent="0.25">
      <c r="A26" s="432"/>
      <c r="B26" s="433"/>
      <c r="C26" s="434"/>
      <c r="D26" s="435"/>
      <c r="E26" s="435"/>
      <c r="F26" s="431"/>
      <c r="G26" s="431"/>
      <c r="H26" s="431"/>
      <c r="I26" s="431"/>
      <c r="J26" s="431"/>
      <c r="K26" s="431"/>
      <c r="L26" s="431"/>
      <c r="M26" s="431"/>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c r="AO26" s="263"/>
      <c r="AP26" s="263"/>
      <c r="AQ26" s="263"/>
      <c r="AR26" s="263"/>
      <c r="AS26" s="263"/>
      <c r="AT26" s="263"/>
      <c r="AU26" s="263"/>
      <c r="AV26" s="263"/>
      <c r="AW26" s="263"/>
      <c r="AX26" s="263"/>
      <c r="AY26" s="263"/>
      <c r="AZ26" s="263"/>
      <c r="BA26" s="263"/>
      <c r="BB26" s="263"/>
      <c r="BC26" s="263"/>
      <c r="BD26" s="263"/>
      <c r="BE26" s="263"/>
      <c r="BF26" s="263"/>
      <c r="BG26" s="263"/>
      <c r="BH26" s="263"/>
      <c r="BI26" s="263"/>
      <c r="BJ26" s="263"/>
      <c r="BK26" s="263"/>
      <c r="BL26" s="263"/>
      <c r="BM26" s="263"/>
      <c r="BN26" s="263"/>
      <c r="BO26" s="263"/>
      <c r="BP26" s="263"/>
      <c r="BQ26" s="263"/>
      <c r="BR26" s="263"/>
    </row>
    <row r="27" spans="1:70" s="264" customFormat="1" ht="92.25" customHeight="1" x14ac:dyDescent="0.25">
      <c r="A27" s="432"/>
      <c r="B27" s="433" t="str">
        <f>'Mapa final'!$B$25</f>
        <v>OAP_04</v>
      </c>
      <c r="C27" s="434" t="str">
        <f>'Mapa final'!$H$25</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435"/>
      <c r="E27" s="435"/>
      <c r="F27" s="431" t="str">
        <f t="shared" si="1"/>
        <v>No</v>
      </c>
      <c r="G27" s="431" t="str">
        <f t="shared" si="1"/>
        <v>No</v>
      </c>
      <c r="H27" s="431" t="str">
        <f t="shared" si="1"/>
        <v>No</v>
      </c>
      <c r="I27" s="431" t="str">
        <f t="shared" si="1"/>
        <v>No</v>
      </c>
      <c r="J27" s="431" t="str">
        <f t="shared" si="1"/>
        <v>No</v>
      </c>
      <c r="K27" s="431" t="str">
        <f t="shared" si="1"/>
        <v>No</v>
      </c>
      <c r="L27" s="431" t="str">
        <f t="shared" si="1"/>
        <v>No</v>
      </c>
      <c r="M27" s="431" t="str">
        <f t="shared" si="1"/>
        <v>No</v>
      </c>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c r="AO27" s="263"/>
      <c r="AP27" s="263"/>
      <c r="AQ27" s="263"/>
      <c r="AR27" s="263"/>
      <c r="AS27" s="263"/>
      <c r="AT27" s="263"/>
      <c r="AU27" s="263"/>
      <c r="AV27" s="263"/>
      <c r="AW27" s="263"/>
      <c r="AX27" s="263"/>
      <c r="AY27" s="263"/>
      <c r="AZ27" s="263"/>
      <c r="BA27" s="263"/>
      <c r="BB27" s="263"/>
      <c r="BC27" s="263"/>
      <c r="BD27" s="263"/>
      <c r="BE27" s="263"/>
      <c r="BF27" s="263"/>
      <c r="BG27" s="263"/>
      <c r="BH27" s="263"/>
      <c r="BI27" s="263"/>
      <c r="BJ27" s="263"/>
      <c r="BK27" s="263"/>
      <c r="BL27" s="263"/>
      <c r="BM27" s="263"/>
      <c r="BN27" s="263"/>
      <c r="BO27" s="263"/>
      <c r="BP27" s="263"/>
      <c r="BQ27" s="263"/>
      <c r="BR27" s="263"/>
    </row>
    <row r="28" spans="1:70" s="264" customFormat="1" ht="92.25" customHeight="1" x14ac:dyDescent="0.25">
      <c r="A28" s="432"/>
      <c r="B28" s="433"/>
      <c r="C28" s="434"/>
      <c r="D28" s="435"/>
      <c r="E28" s="435"/>
      <c r="F28" s="431"/>
      <c r="G28" s="431"/>
      <c r="H28" s="431"/>
      <c r="I28" s="431"/>
      <c r="J28" s="431"/>
      <c r="K28" s="431"/>
      <c r="L28" s="431"/>
      <c r="M28" s="431"/>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c r="AO28" s="263"/>
      <c r="AP28" s="263"/>
      <c r="AQ28" s="263"/>
      <c r="AR28" s="263"/>
      <c r="AS28" s="263"/>
      <c r="AT28" s="263"/>
      <c r="AU28" s="263"/>
      <c r="AV28" s="263"/>
      <c r="AW28" s="263"/>
      <c r="AX28" s="263"/>
      <c r="AY28" s="263"/>
      <c r="AZ28" s="263"/>
      <c r="BA28" s="263"/>
      <c r="BB28" s="263"/>
      <c r="BC28" s="263"/>
      <c r="BD28" s="263"/>
      <c r="BE28" s="263"/>
      <c r="BF28" s="263"/>
      <c r="BG28" s="263"/>
      <c r="BH28" s="263"/>
      <c r="BI28" s="263"/>
      <c r="BJ28" s="263"/>
      <c r="BK28" s="263"/>
      <c r="BL28" s="263"/>
      <c r="BM28" s="263"/>
      <c r="BN28" s="263"/>
      <c r="BO28" s="263"/>
      <c r="BP28" s="263"/>
      <c r="BQ28" s="263"/>
      <c r="BR28" s="263"/>
    </row>
    <row r="29" spans="1:70" s="264" customFormat="1" ht="92.25" customHeight="1" x14ac:dyDescent="0.25">
      <c r="A29" s="432"/>
      <c r="B29" s="433"/>
      <c r="C29" s="434"/>
      <c r="D29" s="435"/>
      <c r="E29" s="435"/>
      <c r="F29" s="431"/>
      <c r="G29" s="431"/>
      <c r="H29" s="431"/>
      <c r="I29" s="431"/>
      <c r="J29" s="431"/>
      <c r="K29" s="431"/>
      <c r="L29" s="431"/>
      <c r="M29" s="431"/>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c r="AO29" s="263"/>
      <c r="AP29" s="263"/>
      <c r="AQ29" s="263"/>
      <c r="AR29" s="263"/>
      <c r="AS29" s="263"/>
      <c r="AT29" s="263"/>
      <c r="AU29" s="263"/>
      <c r="AV29" s="263"/>
      <c r="AW29" s="263"/>
      <c r="AX29" s="263"/>
      <c r="AY29" s="263"/>
      <c r="AZ29" s="263"/>
      <c r="BA29" s="263"/>
      <c r="BB29" s="263"/>
      <c r="BC29" s="263"/>
      <c r="BD29" s="263"/>
      <c r="BE29" s="263"/>
      <c r="BF29" s="263"/>
      <c r="BG29" s="263"/>
      <c r="BH29" s="263"/>
      <c r="BI29" s="263"/>
      <c r="BJ29" s="263"/>
      <c r="BK29" s="263"/>
      <c r="BL29" s="263"/>
      <c r="BM29" s="263"/>
      <c r="BN29" s="263"/>
      <c r="BO29" s="263"/>
      <c r="BP29" s="263"/>
      <c r="BQ29" s="263"/>
      <c r="BR29" s="263"/>
    </row>
    <row r="30" spans="1:70" s="264" customFormat="1" ht="92.25" customHeight="1" x14ac:dyDescent="0.25">
      <c r="A30" s="432"/>
      <c r="B30" s="433" t="str">
        <f>'Mapa final'!$B$27</f>
        <v>OAP_05</v>
      </c>
      <c r="C30" s="434" t="str">
        <f>'Mapa final'!$H$27</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35"/>
      <c r="E30" s="435"/>
      <c r="F30" s="431" t="str">
        <f t="shared" si="1"/>
        <v>No</v>
      </c>
      <c r="G30" s="431" t="str">
        <f t="shared" si="1"/>
        <v>No</v>
      </c>
      <c r="H30" s="431" t="str">
        <f t="shared" si="1"/>
        <v>No</v>
      </c>
      <c r="I30" s="431" t="str">
        <f t="shared" si="1"/>
        <v>No</v>
      </c>
      <c r="J30" s="431" t="str">
        <f t="shared" si="1"/>
        <v>No</v>
      </c>
      <c r="K30" s="431" t="str">
        <f t="shared" si="1"/>
        <v>No</v>
      </c>
      <c r="L30" s="431" t="str">
        <f t="shared" si="1"/>
        <v>No</v>
      </c>
      <c r="M30" s="431" t="str">
        <f t="shared" si="1"/>
        <v>No</v>
      </c>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c r="AO30" s="263"/>
      <c r="AP30" s="263"/>
      <c r="AQ30" s="263"/>
      <c r="AR30" s="263"/>
      <c r="AS30" s="263"/>
      <c r="AT30" s="263"/>
      <c r="AU30" s="263"/>
      <c r="AV30" s="263"/>
      <c r="AW30" s="263"/>
      <c r="AX30" s="263"/>
      <c r="AY30" s="263"/>
      <c r="AZ30" s="263"/>
      <c r="BA30" s="263"/>
      <c r="BB30" s="263"/>
      <c r="BC30" s="263"/>
      <c r="BD30" s="263"/>
      <c r="BE30" s="263"/>
      <c r="BF30" s="263"/>
      <c r="BG30" s="263"/>
      <c r="BH30" s="263"/>
      <c r="BI30" s="263"/>
      <c r="BJ30" s="263"/>
      <c r="BK30" s="263"/>
      <c r="BL30" s="263"/>
      <c r="BM30" s="263"/>
      <c r="BN30" s="263"/>
      <c r="BO30" s="263"/>
      <c r="BP30" s="263"/>
      <c r="BQ30" s="263"/>
      <c r="BR30" s="263"/>
    </row>
    <row r="31" spans="1:70" s="264" customFormat="1" ht="92.25" customHeight="1" x14ac:dyDescent="0.25">
      <c r="A31" s="432"/>
      <c r="B31" s="433"/>
      <c r="C31" s="434"/>
      <c r="D31" s="435"/>
      <c r="E31" s="435"/>
      <c r="F31" s="431"/>
      <c r="G31" s="431"/>
      <c r="H31" s="431"/>
      <c r="I31" s="431"/>
      <c r="J31" s="431"/>
      <c r="K31" s="431"/>
      <c r="L31" s="431"/>
      <c r="M31" s="431"/>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c r="AO31" s="263"/>
      <c r="AP31" s="263"/>
      <c r="AQ31" s="263"/>
      <c r="AR31" s="263"/>
      <c r="AS31" s="263"/>
      <c r="AT31" s="263"/>
      <c r="AU31" s="263"/>
      <c r="AV31" s="263"/>
      <c r="AW31" s="263"/>
      <c r="AX31" s="263"/>
      <c r="AY31" s="263"/>
      <c r="AZ31" s="263"/>
      <c r="BA31" s="263"/>
      <c r="BB31" s="263"/>
      <c r="BC31" s="263"/>
      <c r="BD31" s="263"/>
      <c r="BE31" s="263"/>
      <c r="BF31" s="263"/>
      <c r="BG31" s="263"/>
      <c r="BH31" s="263"/>
      <c r="BI31" s="263"/>
      <c r="BJ31" s="263"/>
      <c r="BK31" s="263"/>
      <c r="BL31" s="263"/>
      <c r="BM31" s="263"/>
      <c r="BN31" s="263"/>
      <c r="BO31" s="263"/>
      <c r="BP31" s="263"/>
      <c r="BQ31" s="263"/>
      <c r="BR31" s="263"/>
    </row>
    <row r="32" spans="1:70" s="264" customFormat="1" ht="92.25" customHeight="1" x14ac:dyDescent="0.25">
      <c r="A32" s="432"/>
      <c r="B32" s="433"/>
      <c r="C32" s="434"/>
      <c r="D32" s="435"/>
      <c r="E32" s="435"/>
      <c r="F32" s="431"/>
      <c r="G32" s="431"/>
      <c r="H32" s="431"/>
      <c r="I32" s="431"/>
      <c r="J32" s="431"/>
      <c r="K32" s="431"/>
      <c r="L32" s="431"/>
      <c r="M32" s="431"/>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c r="AO32" s="263"/>
      <c r="AP32" s="263"/>
      <c r="AQ32" s="263"/>
      <c r="AR32" s="263"/>
      <c r="AS32" s="263"/>
      <c r="AT32" s="263"/>
      <c r="AU32" s="263"/>
      <c r="AV32" s="263"/>
      <c r="AW32" s="263"/>
      <c r="AX32" s="263"/>
      <c r="AY32" s="263"/>
      <c r="AZ32" s="263"/>
      <c r="BA32" s="263"/>
      <c r="BB32" s="263"/>
      <c r="BC32" s="263"/>
      <c r="BD32" s="263"/>
      <c r="BE32" s="263"/>
      <c r="BF32" s="263"/>
      <c r="BG32" s="263"/>
      <c r="BH32" s="263"/>
      <c r="BI32" s="263"/>
      <c r="BJ32" s="263"/>
      <c r="BK32" s="263"/>
      <c r="BL32" s="263"/>
      <c r="BM32" s="263"/>
      <c r="BN32" s="263"/>
      <c r="BO32" s="263"/>
      <c r="BP32" s="263"/>
      <c r="BQ32" s="263"/>
      <c r="BR32" s="263"/>
    </row>
    <row r="33" spans="1:70" s="264" customFormat="1" ht="92.25" customHeight="1" x14ac:dyDescent="0.25">
      <c r="A33" s="432"/>
      <c r="B33" s="433" t="str">
        <f>'Mapa final'!$B$29</f>
        <v>TIN_01</v>
      </c>
      <c r="C33" s="434" t="str">
        <f>'Mapa final'!$H$29</f>
        <v>Posibilidad de afectación económica y reputacional por registro inoportuno en la Historia Clínica  del estado de salud y la atención brindada, debido a la interrupción en la prestación de los servicios tecnológicos de la entidad.</v>
      </c>
      <c r="D33" s="435"/>
      <c r="E33" s="435"/>
      <c r="F33" s="431" t="str">
        <f t="shared" si="1"/>
        <v>No</v>
      </c>
      <c r="G33" s="431" t="str">
        <f t="shared" si="1"/>
        <v>No</v>
      </c>
      <c r="H33" s="431" t="str">
        <f t="shared" si="1"/>
        <v>No</v>
      </c>
      <c r="I33" s="431" t="str">
        <f t="shared" si="1"/>
        <v>No</v>
      </c>
      <c r="J33" s="431" t="str">
        <f t="shared" si="1"/>
        <v>No</v>
      </c>
      <c r="K33" s="431" t="str">
        <f t="shared" si="1"/>
        <v>No</v>
      </c>
      <c r="L33" s="431" t="str">
        <f t="shared" si="1"/>
        <v>No</v>
      </c>
      <c r="M33" s="431" t="str">
        <f t="shared" si="1"/>
        <v>No</v>
      </c>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c r="AO33" s="263"/>
      <c r="AP33" s="263"/>
      <c r="AQ33" s="263"/>
      <c r="AR33" s="263"/>
      <c r="AS33" s="263"/>
      <c r="AT33" s="263"/>
      <c r="AU33" s="263"/>
      <c r="AV33" s="263"/>
      <c r="AW33" s="263"/>
      <c r="AX33" s="263"/>
      <c r="AY33" s="263"/>
      <c r="AZ33" s="263"/>
      <c r="BA33" s="263"/>
      <c r="BB33" s="263"/>
      <c r="BC33" s="263"/>
      <c r="BD33" s="263"/>
      <c r="BE33" s="263"/>
      <c r="BF33" s="263"/>
      <c r="BG33" s="263"/>
      <c r="BH33" s="263"/>
      <c r="BI33" s="263"/>
      <c r="BJ33" s="263"/>
      <c r="BK33" s="263"/>
      <c r="BL33" s="263"/>
      <c r="BM33" s="263"/>
      <c r="BN33" s="263"/>
      <c r="BO33" s="263"/>
      <c r="BP33" s="263"/>
      <c r="BQ33" s="263"/>
      <c r="BR33" s="263"/>
    </row>
    <row r="34" spans="1:70" s="264" customFormat="1" ht="92.25" customHeight="1" x14ac:dyDescent="0.25">
      <c r="A34" s="432"/>
      <c r="B34" s="433"/>
      <c r="C34" s="434"/>
      <c r="D34" s="435"/>
      <c r="E34" s="435"/>
      <c r="F34" s="431"/>
      <c r="G34" s="431"/>
      <c r="H34" s="431"/>
      <c r="I34" s="431"/>
      <c r="J34" s="431"/>
      <c r="K34" s="431"/>
      <c r="L34" s="431"/>
      <c r="M34" s="431"/>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c r="AO34" s="263"/>
      <c r="AP34" s="263"/>
      <c r="AQ34" s="263"/>
      <c r="AR34" s="263"/>
      <c r="AS34" s="263"/>
      <c r="AT34" s="263"/>
      <c r="AU34" s="263"/>
      <c r="AV34" s="263"/>
      <c r="AW34" s="263"/>
      <c r="AX34" s="263"/>
      <c r="AY34" s="263"/>
      <c r="AZ34" s="263"/>
      <c r="BA34" s="263"/>
      <c r="BB34" s="263"/>
      <c r="BC34" s="263"/>
      <c r="BD34" s="263"/>
      <c r="BE34" s="263"/>
      <c r="BF34" s="263"/>
      <c r="BG34" s="263"/>
      <c r="BH34" s="263"/>
      <c r="BI34" s="263"/>
      <c r="BJ34" s="263"/>
      <c r="BK34" s="263"/>
      <c r="BL34" s="263"/>
      <c r="BM34" s="263"/>
      <c r="BN34" s="263"/>
      <c r="BO34" s="263"/>
      <c r="BP34" s="263"/>
      <c r="BQ34" s="263"/>
      <c r="BR34" s="263"/>
    </row>
    <row r="35" spans="1:70" s="264" customFormat="1" ht="92.25" customHeight="1" x14ac:dyDescent="0.25">
      <c r="A35" s="432"/>
      <c r="B35" s="433"/>
      <c r="C35" s="434"/>
      <c r="D35" s="435"/>
      <c r="E35" s="435"/>
      <c r="F35" s="431"/>
      <c r="G35" s="431"/>
      <c r="H35" s="431"/>
      <c r="I35" s="431"/>
      <c r="J35" s="431"/>
      <c r="K35" s="431"/>
      <c r="L35" s="431"/>
      <c r="M35" s="431"/>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c r="AO35" s="263"/>
      <c r="AP35" s="263"/>
      <c r="AQ35" s="263"/>
      <c r="AR35" s="263"/>
      <c r="AS35" s="263"/>
      <c r="AT35" s="263"/>
      <c r="AU35" s="263"/>
      <c r="AV35" s="263"/>
      <c r="AW35" s="263"/>
      <c r="AX35" s="263"/>
      <c r="AY35" s="263"/>
      <c r="AZ35" s="263"/>
      <c r="BA35" s="263"/>
      <c r="BB35" s="263"/>
      <c r="BC35" s="263"/>
      <c r="BD35" s="263"/>
      <c r="BE35" s="263"/>
      <c r="BF35" s="263"/>
      <c r="BG35" s="263"/>
      <c r="BH35" s="263"/>
      <c r="BI35" s="263"/>
      <c r="BJ35" s="263"/>
      <c r="BK35" s="263"/>
      <c r="BL35" s="263"/>
      <c r="BM35" s="263"/>
      <c r="BN35" s="263"/>
      <c r="BO35" s="263"/>
      <c r="BP35" s="263"/>
      <c r="BQ35" s="263"/>
      <c r="BR35" s="263"/>
    </row>
    <row r="36" spans="1:70" s="264" customFormat="1" ht="92.25" customHeight="1" x14ac:dyDescent="0.25">
      <c r="A36" s="432"/>
      <c r="B36" s="433" t="str">
        <f>'Mapa final'!$B$33</f>
        <v>TIN_02</v>
      </c>
      <c r="C36" s="434" t="str">
        <f>'Mapa final'!$H$33</f>
        <v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435"/>
      <c r="E36" s="435"/>
      <c r="F36" s="431" t="str">
        <f t="shared" si="1"/>
        <v>No</v>
      </c>
      <c r="G36" s="431" t="str">
        <f t="shared" si="1"/>
        <v>No</v>
      </c>
      <c r="H36" s="431" t="str">
        <f t="shared" si="1"/>
        <v>No</v>
      </c>
      <c r="I36" s="431" t="str">
        <f t="shared" si="1"/>
        <v>No</v>
      </c>
      <c r="J36" s="431" t="str">
        <f t="shared" si="1"/>
        <v>No</v>
      </c>
      <c r="K36" s="431" t="str">
        <f t="shared" si="1"/>
        <v>No</v>
      </c>
      <c r="L36" s="431" t="str">
        <f t="shared" si="1"/>
        <v>No</v>
      </c>
      <c r="M36" s="431" t="str">
        <f t="shared" si="1"/>
        <v>No</v>
      </c>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c r="AO36" s="263"/>
      <c r="AP36" s="263"/>
      <c r="AQ36" s="263"/>
      <c r="AR36" s="263"/>
      <c r="AS36" s="263"/>
      <c r="AT36" s="263"/>
      <c r="AU36" s="263"/>
      <c r="AV36" s="263"/>
      <c r="AW36" s="263"/>
      <c r="AX36" s="263"/>
      <c r="AY36" s="263"/>
      <c r="AZ36" s="263"/>
      <c r="BA36" s="263"/>
      <c r="BB36" s="263"/>
      <c r="BC36" s="263"/>
      <c r="BD36" s="263"/>
      <c r="BE36" s="263"/>
      <c r="BF36" s="263"/>
      <c r="BG36" s="263"/>
      <c r="BH36" s="263"/>
      <c r="BI36" s="263"/>
      <c r="BJ36" s="263"/>
      <c r="BK36" s="263"/>
      <c r="BL36" s="263"/>
      <c r="BM36" s="263"/>
      <c r="BN36" s="263"/>
      <c r="BO36" s="263"/>
      <c r="BP36" s="263"/>
      <c r="BQ36" s="263"/>
      <c r="BR36" s="263"/>
    </row>
    <row r="37" spans="1:70" s="264" customFormat="1" ht="92.25" customHeight="1" x14ac:dyDescent="0.25">
      <c r="A37" s="432"/>
      <c r="B37" s="433"/>
      <c r="C37" s="434"/>
      <c r="D37" s="435"/>
      <c r="E37" s="435"/>
      <c r="F37" s="431"/>
      <c r="G37" s="431"/>
      <c r="H37" s="431"/>
      <c r="I37" s="431"/>
      <c r="J37" s="431"/>
      <c r="K37" s="431"/>
      <c r="L37" s="431"/>
      <c r="M37" s="431"/>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c r="AO37" s="263"/>
      <c r="AP37" s="263"/>
      <c r="AQ37" s="263"/>
      <c r="AR37" s="263"/>
      <c r="AS37" s="263"/>
      <c r="AT37" s="263"/>
      <c r="AU37" s="263"/>
      <c r="AV37" s="263"/>
      <c r="AW37" s="263"/>
      <c r="AX37" s="263"/>
      <c r="AY37" s="263"/>
      <c r="AZ37" s="263"/>
      <c r="BA37" s="263"/>
      <c r="BB37" s="263"/>
      <c r="BC37" s="263"/>
      <c r="BD37" s="263"/>
      <c r="BE37" s="263"/>
      <c r="BF37" s="263"/>
      <c r="BG37" s="263"/>
      <c r="BH37" s="263"/>
      <c r="BI37" s="263"/>
      <c r="BJ37" s="263"/>
      <c r="BK37" s="263"/>
      <c r="BL37" s="263"/>
      <c r="BM37" s="263"/>
      <c r="BN37" s="263"/>
      <c r="BO37" s="263"/>
      <c r="BP37" s="263"/>
      <c r="BQ37" s="263"/>
      <c r="BR37" s="263"/>
    </row>
    <row r="38" spans="1:70" s="264" customFormat="1" ht="92.25" customHeight="1" x14ac:dyDescent="0.25">
      <c r="A38" s="432"/>
      <c r="B38" s="433"/>
      <c r="C38" s="434"/>
      <c r="D38" s="435"/>
      <c r="E38" s="435"/>
      <c r="F38" s="431"/>
      <c r="G38" s="431"/>
      <c r="H38" s="431"/>
      <c r="I38" s="431"/>
      <c r="J38" s="431"/>
      <c r="K38" s="431"/>
      <c r="L38" s="431"/>
      <c r="M38" s="431"/>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c r="AO38" s="263"/>
      <c r="AP38" s="263"/>
      <c r="AQ38" s="263"/>
      <c r="AR38" s="263"/>
      <c r="AS38" s="263"/>
      <c r="AT38" s="263"/>
      <c r="AU38" s="263"/>
      <c r="AV38" s="263"/>
      <c r="AW38" s="263"/>
      <c r="AX38" s="263"/>
      <c r="AY38" s="263"/>
      <c r="AZ38" s="263"/>
      <c r="BA38" s="263"/>
      <c r="BB38" s="263"/>
      <c r="BC38" s="263"/>
      <c r="BD38" s="263"/>
      <c r="BE38" s="263"/>
      <c r="BF38" s="263"/>
      <c r="BG38" s="263"/>
      <c r="BH38" s="263"/>
      <c r="BI38" s="263"/>
      <c r="BJ38" s="263"/>
      <c r="BK38" s="263"/>
      <c r="BL38" s="263"/>
      <c r="BM38" s="263"/>
      <c r="BN38" s="263"/>
      <c r="BO38" s="263"/>
      <c r="BP38" s="263"/>
      <c r="BQ38" s="263"/>
      <c r="BR38" s="263"/>
    </row>
    <row r="39" spans="1:70" s="264" customFormat="1" ht="92.25" customHeight="1" x14ac:dyDescent="0.25">
      <c r="A39" s="432"/>
      <c r="B39" s="433" t="str">
        <f>'Mapa final'!$B$38</f>
        <v>TIN_03</v>
      </c>
      <c r="C39" s="434" t="str">
        <f>'Mapa final'!$H$38</f>
        <v>Posibilidad de afectación económica por no disponibilidad de la información clínica  de los usuarios del  HOMIL, debido a falta de respaldo (copias de seguridad) de la información.</v>
      </c>
      <c r="D39" s="435"/>
      <c r="E39" s="435"/>
      <c r="F39" s="431" t="str">
        <f t="shared" si="1"/>
        <v>No</v>
      </c>
      <c r="G39" s="431" t="str">
        <f t="shared" si="1"/>
        <v>No</v>
      </c>
      <c r="H39" s="431" t="str">
        <f t="shared" si="1"/>
        <v>No</v>
      </c>
      <c r="I39" s="431" t="str">
        <f t="shared" si="1"/>
        <v>No</v>
      </c>
      <c r="J39" s="431" t="str">
        <f t="shared" si="1"/>
        <v>No</v>
      </c>
      <c r="K39" s="431" t="str">
        <f t="shared" si="1"/>
        <v>No</v>
      </c>
      <c r="L39" s="431" t="str">
        <f t="shared" si="1"/>
        <v>No</v>
      </c>
      <c r="M39" s="431" t="str">
        <f t="shared" si="1"/>
        <v>No</v>
      </c>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c r="AO39" s="263"/>
      <c r="AP39" s="263"/>
      <c r="AQ39" s="263"/>
      <c r="AR39" s="263"/>
      <c r="AS39" s="263"/>
      <c r="AT39" s="263"/>
      <c r="AU39" s="263"/>
      <c r="AV39" s="263"/>
      <c r="AW39" s="263"/>
      <c r="AX39" s="263"/>
      <c r="AY39" s="263"/>
      <c r="AZ39" s="263"/>
      <c r="BA39" s="263"/>
      <c r="BB39" s="263"/>
      <c r="BC39" s="263"/>
      <c r="BD39" s="263"/>
      <c r="BE39" s="263"/>
      <c r="BF39" s="263"/>
      <c r="BG39" s="263"/>
      <c r="BH39" s="263"/>
      <c r="BI39" s="263"/>
      <c r="BJ39" s="263"/>
      <c r="BK39" s="263"/>
      <c r="BL39" s="263"/>
      <c r="BM39" s="263"/>
      <c r="BN39" s="263"/>
      <c r="BO39" s="263"/>
      <c r="BP39" s="263"/>
      <c r="BQ39" s="263"/>
      <c r="BR39" s="263"/>
    </row>
    <row r="40" spans="1:70" s="264" customFormat="1" ht="92.25" customHeight="1" x14ac:dyDescent="0.25">
      <c r="A40" s="432"/>
      <c r="B40" s="433"/>
      <c r="C40" s="434"/>
      <c r="D40" s="435"/>
      <c r="E40" s="435"/>
      <c r="F40" s="431"/>
      <c r="G40" s="431"/>
      <c r="H40" s="431"/>
      <c r="I40" s="431"/>
      <c r="J40" s="431"/>
      <c r="K40" s="431"/>
      <c r="L40" s="431"/>
      <c r="M40" s="431"/>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c r="AO40" s="263"/>
      <c r="AP40" s="263"/>
      <c r="AQ40" s="263"/>
      <c r="AR40" s="263"/>
      <c r="AS40" s="263"/>
      <c r="AT40" s="263"/>
      <c r="AU40" s="263"/>
      <c r="AV40" s="263"/>
      <c r="AW40" s="263"/>
      <c r="AX40" s="263"/>
      <c r="AY40" s="263"/>
      <c r="AZ40" s="263"/>
      <c r="BA40" s="263"/>
      <c r="BB40" s="263"/>
      <c r="BC40" s="263"/>
      <c r="BD40" s="263"/>
      <c r="BE40" s="263"/>
      <c r="BF40" s="263"/>
      <c r="BG40" s="263"/>
      <c r="BH40" s="263"/>
      <c r="BI40" s="263"/>
      <c r="BJ40" s="263"/>
      <c r="BK40" s="263"/>
      <c r="BL40" s="263"/>
      <c r="BM40" s="263"/>
      <c r="BN40" s="263"/>
      <c r="BO40" s="263"/>
      <c r="BP40" s="263"/>
      <c r="BQ40" s="263"/>
      <c r="BR40" s="263"/>
    </row>
    <row r="41" spans="1:70" s="264" customFormat="1" ht="92.25" customHeight="1" x14ac:dyDescent="0.25">
      <c r="A41" s="432"/>
      <c r="B41" s="433"/>
      <c r="C41" s="434"/>
      <c r="D41" s="435"/>
      <c r="E41" s="435"/>
      <c r="F41" s="431"/>
      <c r="G41" s="431"/>
      <c r="H41" s="431"/>
      <c r="I41" s="431"/>
      <c r="J41" s="431"/>
      <c r="K41" s="431"/>
      <c r="L41" s="431"/>
      <c r="M41" s="431"/>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c r="AO41" s="263"/>
      <c r="AP41" s="263"/>
      <c r="AQ41" s="263"/>
      <c r="AR41" s="263"/>
      <c r="AS41" s="263"/>
      <c r="AT41" s="263"/>
      <c r="AU41" s="263"/>
      <c r="AV41" s="263"/>
      <c r="AW41" s="263"/>
      <c r="AX41" s="263"/>
      <c r="AY41" s="263"/>
      <c r="AZ41" s="263"/>
      <c r="BA41" s="263"/>
      <c r="BB41" s="263"/>
      <c r="BC41" s="263"/>
      <c r="BD41" s="263"/>
      <c r="BE41" s="263"/>
      <c r="BF41" s="263"/>
      <c r="BG41" s="263"/>
      <c r="BH41" s="263"/>
      <c r="BI41" s="263"/>
      <c r="BJ41" s="263"/>
      <c r="BK41" s="263"/>
      <c r="BL41" s="263"/>
      <c r="BM41" s="263"/>
      <c r="BN41" s="263"/>
      <c r="BO41" s="263"/>
      <c r="BP41" s="263"/>
      <c r="BQ41" s="263"/>
      <c r="BR41" s="263"/>
    </row>
    <row r="42" spans="1:70" ht="48.75" customHeight="1" x14ac:dyDescent="0.25">
      <c r="A42" s="432"/>
      <c r="B42" s="433"/>
      <c r="C42" s="434"/>
      <c r="D42" s="435"/>
      <c r="E42" s="435"/>
      <c r="F42" s="431" t="str">
        <f t="shared" ref="F42:M57" si="2">IFERROR(IF($E42="","No",IF($E42="No","No"," "))," ")</f>
        <v>No</v>
      </c>
      <c r="G42" s="431" t="str">
        <f t="shared" si="2"/>
        <v>No</v>
      </c>
      <c r="H42" s="431" t="str">
        <f t="shared" si="2"/>
        <v>No</v>
      </c>
      <c r="I42" s="431" t="str">
        <f t="shared" si="2"/>
        <v>No</v>
      </c>
      <c r="J42" s="431" t="str">
        <f t="shared" si="2"/>
        <v>No</v>
      </c>
      <c r="K42" s="431" t="str">
        <f t="shared" si="2"/>
        <v>No</v>
      </c>
      <c r="L42" s="431" t="str">
        <f t="shared" si="2"/>
        <v>No</v>
      </c>
      <c r="M42" s="431" t="str">
        <f t="shared" si="2"/>
        <v>No</v>
      </c>
      <c r="N42" s="265"/>
      <c r="O42" s="265"/>
      <c r="P42" s="265"/>
      <c r="Q42" s="265"/>
      <c r="R42" s="265"/>
      <c r="S42" s="265"/>
      <c r="T42" s="265"/>
      <c r="U42" s="265"/>
      <c r="V42" s="265"/>
      <c r="W42" s="265"/>
      <c r="X42" s="265"/>
      <c r="Y42" s="265"/>
      <c r="Z42" s="265"/>
      <c r="AA42" s="265"/>
      <c r="AB42" s="265"/>
      <c r="AC42" s="265"/>
      <c r="AD42" s="265"/>
      <c r="AE42" s="265"/>
      <c r="AF42" s="265"/>
      <c r="AG42" s="265"/>
      <c r="AH42" s="265"/>
      <c r="AI42" s="265"/>
      <c r="AJ42" s="265"/>
      <c r="AK42" s="265"/>
      <c r="AL42" s="265"/>
      <c r="AM42" s="265"/>
      <c r="AN42" s="265"/>
      <c r="AO42" s="265"/>
      <c r="AP42" s="265"/>
      <c r="AQ42" s="265"/>
      <c r="AR42" s="265"/>
      <c r="AS42" s="265"/>
      <c r="AT42" s="265"/>
      <c r="AU42" s="265"/>
      <c r="AV42" s="265"/>
      <c r="AW42" s="265"/>
      <c r="AX42" s="265"/>
      <c r="AY42" s="265"/>
      <c r="AZ42" s="265"/>
      <c r="BA42" s="265"/>
      <c r="BB42" s="265"/>
      <c r="BC42" s="265"/>
      <c r="BD42" s="265"/>
      <c r="BE42" s="265"/>
      <c r="BF42" s="265"/>
      <c r="BG42" s="265"/>
      <c r="BH42" s="265"/>
      <c r="BI42" s="265"/>
      <c r="BJ42" s="265"/>
      <c r="BK42" s="265"/>
      <c r="BL42" s="265"/>
      <c r="BM42" s="265"/>
      <c r="BN42" s="265"/>
      <c r="BO42" s="265"/>
      <c r="BP42" s="265"/>
      <c r="BQ42" s="265"/>
      <c r="BR42" s="265"/>
    </row>
    <row r="43" spans="1:70" ht="48.75" customHeight="1" x14ac:dyDescent="0.25">
      <c r="A43" s="432"/>
      <c r="B43" s="433"/>
      <c r="C43" s="434"/>
      <c r="D43" s="435"/>
      <c r="E43" s="435"/>
      <c r="F43" s="431"/>
      <c r="G43" s="431"/>
      <c r="H43" s="431"/>
      <c r="I43" s="431"/>
      <c r="J43" s="431"/>
      <c r="K43" s="431"/>
      <c r="L43" s="431"/>
      <c r="M43" s="431"/>
      <c r="N43" s="265"/>
      <c r="O43" s="265"/>
      <c r="P43" s="265"/>
      <c r="Q43" s="265"/>
      <c r="R43" s="265"/>
      <c r="S43" s="265"/>
      <c r="T43" s="265"/>
      <c r="U43" s="265"/>
      <c r="V43" s="265"/>
      <c r="W43" s="265"/>
      <c r="X43" s="265"/>
      <c r="Y43" s="265"/>
      <c r="Z43" s="265"/>
      <c r="AA43" s="265"/>
      <c r="AB43" s="265"/>
      <c r="AC43" s="265"/>
      <c r="AD43" s="265"/>
      <c r="AE43" s="265"/>
      <c r="AF43" s="265"/>
      <c r="AG43" s="265"/>
      <c r="AH43" s="265"/>
      <c r="AI43" s="265"/>
      <c r="AJ43" s="265"/>
      <c r="AK43" s="265"/>
      <c r="AL43" s="265"/>
      <c r="AM43" s="265"/>
      <c r="AN43" s="265"/>
      <c r="AO43" s="265"/>
      <c r="AP43" s="265"/>
      <c r="AQ43" s="265"/>
      <c r="AR43" s="265"/>
      <c r="AS43" s="265"/>
      <c r="AT43" s="265"/>
      <c r="AU43" s="265"/>
      <c r="AV43" s="265"/>
      <c r="AW43" s="265"/>
      <c r="AX43" s="265"/>
      <c r="AY43" s="265"/>
      <c r="AZ43" s="265"/>
      <c r="BA43" s="265"/>
      <c r="BB43" s="265"/>
      <c r="BC43" s="265"/>
      <c r="BD43" s="265"/>
      <c r="BE43" s="265"/>
      <c r="BF43" s="265"/>
      <c r="BG43" s="265"/>
      <c r="BH43" s="265"/>
      <c r="BI43" s="265"/>
      <c r="BJ43" s="265"/>
      <c r="BK43" s="265"/>
      <c r="BL43" s="265"/>
      <c r="BM43" s="265"/>
      <c r="BN43" s="265"/>
      <c r="BO43" s="265"/>
      <c r="BP43" s="265"/>
      <c r="BQ43" s="265"/>
      <c r="BR43" s="265"/>
    </row>
    <row r="44" spans="1:70" ht="48.75" customHeight="1" x14ac:dyDescent="0.25">
      <c r="A44" s="432"/>
      <c r="B44" s="433"/>
      <c r="C44" s="434"/>
      <c r="D44" s="435"/>
      <c r="E44" s="435"/>
      <c r="F44" s="431"/>
      <c r="G44" s="431"/>
      <c r="H44" s="431"/>
      <c r="I44" s="431"/>
      <c r="J44" s="431"/>
      <c r="K44" s="431"/>
      <c r="L44" s="431"/>
      <c r="M44" s="431"/>
      <c r="N44" s="265"/>
      <c r="O44" s="265"/>
      <c r="P44" s="265"/>
      <c r="Q44" s="265"/>
      <c r="R44" s="265"/>
      <c r="S44" s="265"/>
      <c r="T44" s="265"/>
      <c r="U44" s="265"/>
      <c r="V44" s="265"/>
      <c r="W44" s="265"/>
      <c r="X44" s="265"/>
      <c r="Y44" s="265"/>
      <c r="Z44" s="265"/>
      <c r="AA44" s="265"/>
      <c r="AB44" s="265"/>
      <c r="AC44" s="265"/>
      <c r="AD44" s="265"/>
      <c r="AE44" s="265"/>
      <c r="AF44" s="265"/>
      <c r="AG44" s="265"/>
      <c r="AH44" s="265"/>
      <c r="AI44" s="265"/>
      <c r="AJ44" s="265"/>
      <c r="AK44" s="265"/>
      <c r="AL44" s="265"/>
      <c r="AM44" s="265"/>
      <c r="AN44" s="265"/>
      <c r="AO44" s="265"/>
      <c r="AP44" s="265"/>
      <c r="AQ44" s="265"/>
      <c r="AR44" s="265"/>
      <c r="AS44" s="265"/>
      <c r="AT44" s="265"/>
      <c r="AU44" s="265"/>
      <c r="AV44" s="265"/>
      <c r="AW44" s="265"/>
      <c r="AX44" s="265"/>
      <c r="AY44" s="265"/>
      <c r="AZ44" s="265"/>
      <c r="BA44" s="265"/>
      <c r="BB44" s="265"/>
      <c r="BC44" s="265"/>
      <c r="BD44" s="265"/>
      <c r="BE44" s="265"/>
      <c r="BF44" s="265"/>
      <c r="BG44" s="265"/>
      <c r="BH44" s="265"/>
      <c r="BI44" s="265"/>
      <c r="BJ44" s="265"/>
      <c r="BK44" s="265"/>
      <c r="BL44" s="265"/>
      <c r="BM44" s="265"/>
      <c r="BN44" s="265"/>
      <c r="BO44" s="265"/>
      <c r="BP44" s="265"/>
      <c r="BQ44" s="265"/>
      <c r="BR44" s="265"/>
    </row>
    <row r="45" spans="1:70" ht="48.75" customHeight="1" x14ac:dyDescent="0.25">
      <c r="A45" s="432"/>
      <c r="B45" s="433"/>
      <c r="C45" s="434"/>
      <c r="D45" s="435"/>
      <c r="E45" s="435"/>
      <c r="F45" s="431" t="str">
        <f t="shared" si="2"/>
        <v>No</v>
      </c>
      <c r="G45" s="431" t="str">
        <f t="shared" si="2"/>
        <v>No</v>
      </c>
      <c r="H45" s="431" t="str">
        <f t="shared" si="2"/>
        <v>No</v>
      </c>
      <c r="I45" s="431" t="str">
        <f t="shared" si="2"/>
        <v>No</v>
      </c>
      <c r="J45" s="431" t="str">
        <f t="shared" si="2"/>
        <v>No</v>
      </c>
      <c r="K45" s="431" t="str">
        <f t="shared" si="2"/>
        <v>No</v>
      </c>
      <c r="L45" s="431" t="str">
        <f t="shared" si="2"/>
        <v>No</v>
      </c>
      <c r="M45" s="431" t="str">
        <f t="shared" si="2"/>
        <v>No</v>
      </c>
      <c r="N45" s="265"/>
      <c r="O45" s="265"/>
      <c r="P45" s="265"/>
      <c r="Q45" s="265"/>
      <c r="R45" s="265"/>
      <c r="S45" s="265"/>
      <c r="T45" s="265"/>
      <c r="U45" s="265"/>
      <c r="V45" s="265"/>
      <c r="W45" s="265"/>
      <c r="X45" s="265"/>
      <c r="Y45" s="265"/>
      <c r="Z45" s="265"/>
      <c r="AA45" s="265"/>
      <c r="AB45" s="265"/>
      <c r="AC45" s="265"/>
      <c r="AD45" s="265"/>
      <c r="AE45" s="265"/>
      <c r="AF45" s="265"/>
      <c r="AG45" s="265"/>
      <c r="AH45" s="265"/>
      <c r="AI45" s="265"/>
      <c r="AJ45" s="265"/>
      <c r="AK45" s="265"/>
      <c r="AL45" s="265"/>
      <c r="AM45" s="265"/>
      <c r="AN45" s="265"/>
      <c r="AO45" s="265"/>
      <c r="AP45" s="265"/>
      <c r="AQ45" s="265"/>
      <c r="AR45" s="265"/>
      <c r="AS45" s="265"/>
      <c r="AT45" s="265"/>
      <c r="AU45" s="265"/>
      <c r="AV45" s="265"/>
      <c r="AW45" s="265"/>
      <c r="AX45" s="265"/>
      <c r="AY45" s="265"/>
      <c r="AZ45" s="265"/>
      <c r="BA45" s="265"/>
      <c r="BB45" s="265"/>
      <c r="BC45" s="265"/>
      <c r="BD45" s="265"/>
      <c r="BE45" s="265"/>
      <c r="BF45" s="265"/>
      <c r="BG45" s="265"/>
      <c r="BH45" s="265"/>
      <c r="BI45" s="265"/>
      <c r="BJ45" s="265"/>
      <c r="BK45" s="265"/>
      <c r="BL45" s="265"/>
      <c r="BM45" s="265"/>
      <c r="BN45" s="265"/>
      <c r="BO45" s="265"/>
      <c r="BP45" s="265"/>
      <c r="BQ45" s="265"/>
      <c r="BR45" s="265"/>
    </row>
    <row r="46" spans="1:70" ht="48.75" customHeight="1" x14ac:dyDescent="0.25">
      <c r="A46" s="432"/>
      <c r="B46" s="433"/>
      <c r="C46" s="434"/>
      <c r="D46" s="435"/>
      <c r="E46" s="435"/>
      <c r="F46" s="431"/>
      <c r="G46" s="431"/>
      <c r="H46" s="431"/>
      <c r="I46" s="431"/>
      <c r="J46" s="431"/>
      <c r="K46" s="431"/>
      <c r="L46" s="431"/>
      <c r="M46" s="431"/>
      <c r="N46" s="265"/>
      <c r="O46" s="265"/>
      <c r="P46" s="265"/>
      <c r="Q46" s="265"/>
      <c r="R46" s="265"/>
      <c r="S46" s="265"/>
      <c r="T46" s="265"/>
      <c r="U46" s="265"/>
      <c r="V46" s="265"/>
      <c r="W46" s="265"/>
      <c r="X46" s="265"/>
      <c r="Y46" s="265"/>
      <c r="Z46" s="265"/>
      <c r="AA46" s="265"/>
      <c r="AB46" s="265"/>
      <c r="AC46" s="265"/>
      <c r="AD46" s="265"/>
      <c r="AE46" s="265"/>
      <c r="AF46" s="265"/>
      <c r="AG46" s="265"/>
      <c r="AH46" s="265"/>
      <c r="AI46" s="265"/>
      <c r="AJ46" s="265"/>
      <c r="AK46" s="265"/>
      <c r="AL46" s="265"/>
      <c r="AM46" s="265"/>
      <c r="AN46" s="265"/>
      <c r="AO46" s="265"/>
      <c r="AP46" s="265"/>
      <c r="AQ46" s="265"/>
      <c r="AR46" s="265"/>
      <c r="AS46" s="265"/>
      <c r="AT46" s="265"/>
      <c r="AU46" s="265"/>
      <c r="AV46" s="265"/>
      <c r="AW46" s="265"/>
      <c r="AX46" s="265"/>
      <c r="AY46" s="265"/>
      <c r="AZ46" s="265"/>
      <c r="BA46" s="265"/>
      <c r="BB46" s="265"/>
      <c r="BC46" s="265"/>
      <c r="BD46" s="265"/>
      <c r="BE46" s="265"/>
      <c r="BF46" s="265"/>
      <c r="BG46" s="265"/>
      <c r="BH46" s="265"/>
      <c r="BI46" s="265"/>
      <c r="BJ46" s="265"/>
      <c r="BK46" s="265"/>
      <c r="BL46" s="265"/>
      <c r="BM46" s="265"/>
      <c r="BN46" s="265"/>
      <c r="BO46" s="265"/>
      <c r="BP46" s="265"/>
      <c r="BQ46" s="265"/>
      <c r="BR46" s="265"/>
    </row>
    <row r="47" spans="1:70" ht="48.75" customHeight="1" x14ac:dyDescent="0.25">
      <c r="A47" s="432"/>
      <c r="B47" s="433"/>
      <c r="C47" s="434"/>
      <c r="D47" s="435"/>
      <c r="E47" s="435"/>
      <c r="F47" s="431"/>
      <c r="G47" s="431"/>
      <c r="H47" s="431"/>
      <c r="I47" s="431"/>
      <c r="J47" s="431"/>
      <c r="K47" s="431"/>
      <c r="L47" s="431"/>
      <c r="M47" s="431"/>
      <c r="N47" s="265"/>
      <c r="O47" s="265"/>
      <c r="P47" s="265"/>
      <c r="Q47" s="265"/>
      <c r="R47" s="265"/>
      <c r="S47" s="265"/>
      <c r="T47" s="265"/>
      <c r="U47" s="265"/>
      <c r="V47" s="265"/>
      <c r="W47" s="265"/>
      <c r="X47" s="265"/>
      <c r="Y47" s="265"/>
      <c r="Z47" s="265"/>
      <c r="AA47" s="265"/>
      <c r="AB47" s="265"/>
      <c r="AC47" s="265"/>
      <c r="AD47" s="265"/>
      <c r="AE47" s="265"/>
      <c r="AF47" s="265"/>
      <c r="AG47" s="265"/>
      <c r="AH47" s="265"/>
      <c r="AI47" s="265"/>
      <c r="AJ47" s="265"/>
      <c r="AK47" s="265"/>
      <c r="AL47" s="265"/>
      <c r="AM47" s="265"/>
      <c r="AN47" s="265"/>
      <c r="AO47" s="265"/>
      <c r="AP47" s="265"/>
      <c r="AQ47" s="265"/>
      <c r="AR47" s="265"/>
      <c r="AS47" s="265"/>
      <c r="AT47" s="265"/>
      <c r="AU47" s="265"/>
      <c r="AV47" s="265"/>
      <c r="AW47" s="265"/>
      <c r="AX47" s="265"/>
      <c r="AY47" s="265"/>
      <c r="AZ47" s="265"/>
      <c r="BA47" s="265"/>
      <c r="BB47" s="265"/>
      <c r="BC47" s="265"/>
      <c r="BD47" s="265"/>
      <c r="BE47" s="265"/>
      <c r="BF47" s="265"/>
      <c r="BG47" s="265"/>
      <c r="BH47" s="265"/>
      <c r="BI47" s="265"/>
      <c r="BJ47" s="265"/>
      <c r="BK47" s="265"/>
      <c r="BL47" s="265"/>
      <c r="BM47" s="265"/>
      <c r="BN47" s="265"/>
      <c r="BO47" s="265"/>
      <c r="BP47" s="265"/>
      <c r="BQ47" s="265"/>
      <c r="BR47" s="265"/>
    </row>
    <row r="48" spans="1:70" ht="48.75" customHeight="1" x14ac:dyDescent="0.25">
      <c r="A48" s="432"/>
      <c r="B48" s="433"/>
      <c r="C48" s="434"/>
      <c r="D48" s="435"/>
      <c r="E48" s="435"/>
      <c r="F48" s="431" t="str">
        <f t="shared" si="2"/>
        <v>No</v>
      </c>
      <c r="G48" s="431" t="str">
        <f t="shared" si="2"/>
        <v>No</v>
      </c>
      <c r="H48" s="431" t="str">
        <f t="shared" si="2"/>
        <v>No</v>
      </c>
      <c r="I48" s="431" t="str">
        <f t="shared" si="2"/>
        <v>No</v>
      </c>
      <c r="J48" s="431" t="str">
        <f t="shared" si="2"/>
        <v>No</v>
      </c>
      <c r="K48" s="431" t="str">
        <f t="shared" si="2"/>
        <v>No</v>
      </c>
      <c r="L48" s="431" t="str">
        <f t="shared" si="2"/>
        <v>No</v>
      </c>
      <c r="M48" s="431" t="str">
        <f t="shared" si="2"/>
        <v>No</v>
      </c>
      <c r="N48" s="265"/>
      <c r="O48" s="265"/>
      <c r="P48" s="265"/>
      <c r="Q48" s="265"/>
      <c r="R48" s="265"/>
      <c r="S48" s="265"/>
      <c r="T48" s="265"/>
      <c r="U48" s="265"/>
      <c r="V48" s="265"/>
      <c r="W48" s="265"/>
      <c r="X48" s="265"/>
      <c r="Y48" s="265"/>
      <c r="Z48" s="265"/>
      <c r="AA48" s="265"/>
      <c r="AB48" s="265"/>
      <c r="AC48" s="265"/>
      <c r="AD48" s="265"/>
      <c r="AE48" s="265"/>
      <c r="AF48" s="265"/>
      <c r="AG48" s="265"/>
      <c r="AH48" s="265"/>
      <c r="AI48" s="265"/>
      <c r="AJ48" s="265"/>
      <c r="AK48" s="265"/>
      <c r="AL48" s="265"/>
      <c r="AM48" s="265"/>
      <c r="AN48" s="265"/>
      <c r="AO48" s="265"/>
      <c r="AP48" s="265"/>
      <c r="AQ48" s="265"/>
      <c r="AR48" s="265"/>
      <c r="AS48" s="265"/>
      <c r="AT48" s="265"/>
      <c r="AU48" s="265"/>
      <c r="AV48" s="265"/>
      <c r="AW48" s="265"/>
      <c r="AX48" s="265"/>
      <c r="AY48" s="265"/>
      <c r="AZ48" s="265"/>
      <c r="BA48" s="265"/>
      <c r="BB48" s="265"/>
      <c r="BC48" s="265"/>
      <c r="BD48" s="265"/>
      <c r="BE48" s="265"/>
      <c r="BF48" s="265"/>
      <c r="BG48" s="265"/>
      <c r="BH48" s="265"/>
      <c r="BI48" s="265"/>
      <c r="BJ48" s="265"/>
      <c r="BK48" s="265"/>
      <c r="BL48" s="265"/>
      <c r="BM48" s="265"/>
      <c r="BN48" s="265"/>
      <c r="BO48" s="265"/>
      <c r="BP48" s="265"/>
      <c r="BQ48" s="265"/>
      <c r="BR48" s="265"/>
    </row>
    <row r="49" spans="1:70" ht="48.75" customHeight="1" x14ac:dyDescent="0.25">
      <c r="A49" s="432"/>
      <c r="B49" s="433"/>
      <c r="C49" s="434"/>
      <c r="D49" s="435"/>
      <c r="E49" s="435"/>
      <c r="F49" s="431"/>
      <c r="G49" s="431"/>
      <c r="H49" s="431"/>
      <c r="I49" s="431"/>
      <c r="J49" s="431"/>
      <c r="K49" s="431"/>
      <c r="L49" s="431"/>
      <c r="M49" s="431"/>
      <c r="N49" s="265"/>
      <c r="O49" s="265"/>
      <c r="P49" s="265"/>
      <c r="Q49" s="265"/>
      <c r="R49" s="265"/>
      <c r="S49" s="265"/>
      <c r="T49" s="265"/>
      <c r="U49" s="265"/>
      <c r="V49" s="265"/>
      <c r="W49" s="265"/>
      <c r="X49" s="265"/>
      <c r="Y49" s="265"/>
      <c r="Z49" s="265"/>
      <c r="AA49" s="265"/>
      <c r="AB49" s="265"/>
      <c r="AC49" s="265"/>
      <c r="AD49" s="265"/>
      <c r="AE49" s="265"/>
      <c r="AF49" s="265"/>
      <c r="AG49" s="265"/>
      <c r="AH49" s="265"/>
      <c r="AI49" s="265"/>
      <c r="AJ49" s="265"/>
      <c r="AK49" s="265"/>
      <c r="AL49" s="265"/>
      <c r="AM49" s="265"/>
      <c r="AN49" s="265"/>
      <c r="AO49" s="265"/>
      <c r="AP49" s="265"/>
      <c r="AQ49" s="265"/>
      <c r="AR49" s="265"/>
      <c r="AS49" s="265"/>
      <c r="AT49" s="265"/>
      <c r="AU49" s="265"/>
      <c r="AV49" s="265"/>
      <c r="AW49" s="265"/>
      <c r="AX49" s="265"/>
      <c r="AY49" s="265"/>
      <c r="AZ49" s="265"/>
      <c r="BA49" s="265"/>
      <c r="BB49" s="265"/>
      <c r="BC49" s="265"/>
      <c r="BD49" s="265"/>
      <c r="BE49" s="265"/>
      <c r="BF49" s="265"/>
      <c r="BG49" s="265"/>
      <c r="BH49" s="265"/>
      <c r="BI49" s="265"/>
      <c r="BJ49" s="265"/>
      <c r="BK49" s="265"/>
      <c r="BL49" s="265"/>
      <c r="BM49" s="265"/>
      <c r="BN49" s="265"/>
      <c r="BO49" s="265"/>
      <c r="BP49" s="265"/>
      <c r="BQ49" s="265"/>
      <c r="BR49" s="265"/>
    </row>
    <row r="50" spans="1:70" ht="48.75" customHeight="1" x14ac:dyDescent="0.25">
      <c r="A50" s="432"/>
      <c r="B50" s="433"/>
      <c r="C50" s="434"/>
      <c r="D50" s="435"/>
      <c r="E50" s="435"/>
      <c r="F50" s="431"/>
      <c r="G50" s="431"/>
      <c r="H50" s="431"/>
      <c r="I50" s="431"/>
      <c r="J50" s="431"/>
      <c r="K50" s="431"/>
      <c r="L50" s="431"/>
      <c r="M50" s="431"/>
      <c r="N50" s="265"/>
      <c r="O50" s="265"/>
      <c r="P50" s="265"/>
      <c r="Q50" s="265"/>
      <c r="R50" s="265"/>
      <c r="S50" s="265"/>
      <c r="T50" s="265"/>
      <c r="U50" s="265"/>
      <c r="V50" s="265"/>
      <c r="W50" s="265"/>
      <c r="X50" s="265"/>
      <c r="Y50" s="265"/>
      <c r="Z50" s="265"/>
      <c r="AA50" s="265"/>
      <c r="AB50" s="265"/>
      <c r="AC50" s="265"/>
      <c r="AD50" s="265"/>
      <c r="AE50" s="265"/>
      <c r="AF50" s="265"/>
      <c r="AG50" s="265"/>
      <c r="AH50" s="265"/>
      <c r="AI50" s="265"/>
      <c r="AJ50" s="265"/>
      <c r="AK50" s="265"/>
      <c r="AL50" s="265"/>
      <c r="AM50" s="265"/>
      <c r="AN50" s="265"/>
      <c r="AO50" s="265"/>
      <c r="AP50" s="265"/>
      <c r="AQ50" s="265"/>
      <c r="AR50" s="265"/>
      <c r="AS50" s="265"/>
      <c r="AT50" s="265"/>
      <c r="AU50" s="265"/>
      <c r="AV50" s="265"/>
      <c r="AW50" s="265"/>
      <c r="AX50" s="265"/>
      <c r="AY50" s="265"/>
      <c r="AZ50" s="265"/>
      <c r="BA50" s="265"/>
      <c r="BB50" s="265"/>
      <c r="BC50" s="265"/>
      <c r="BD50" s="265"/>
      <c r="BE50" s="265"/>
      <c r="BF50" s="265"/>
      <c r="BG50" s="265"/>
      <c r="BH50" s="265"/>
      <c r="BI50" s="265"/>
      <c r="BJ50" s="265"/>
      <c r="BK50" s="265"/>
      <c r="BL50" s="265"/>
      <c r="BM50" s="265"/>
      <c r="BN50" s="265"/>
      <c r="BO50" s="265"/>
      <c r="BP50" s="265"/>
      <c r="BQ50" s="265"/>
      <c r="BR50" s="265"/>
    </row>
    <row r="51" spans="1:70" ht="48.75" customHeight="1" x14ac:dyDescent="0.25">
      <c r="A51" s="432"/>
      <c r="B51" s="433"/>
      <c r="C51" s="434"/>
      <c r="D51" s="435"/>
      <c r="E51" s="435"/>
      <c r="F51" s="431" t="str">
        <f t="shared" si="2"/>
        <v>No</v>
      </c>
      <c r="G51" s="431" t="str">
        <f t="shared" si="2"/>
        <v>No</v>
      </c>
      <c r="H51" s="431" t="str">
        <f t="shared" si="2"/>
        <v>No</v>
      </c>
      <c r="I51" s="431" t="str">
        <f t="shared" si="2"/>
        <v>No</v>
      </c>
      <c r="J51" s="431" t="str">
        <f t="shared" si="2"/>
        <v>No</v>
      </c>
      <c r="K51" s="431" t="str">
        <f t="shared" si="2"/>
        <v>No</v>
      </c>
      <c r="L51" s="431" t="str">
        <f t="shared" si="2"/>
        <v>No</v>
      </c>
      <c r="M51" s="431" t="str">
        <f t="shared" si="2"/>
        <v>No</v>
      </c>
      <c r="N51" s="265"/>
      <c r="O51" s="265"/>
      <c r="P51" s="265"/>
      <c r="Q51" s="265"/>
      <c r="R51" s="265"/>
      <c r="S51" s="265"/>
      <c r="T51" s="265"/>
      <c r="U51" s="265"/>
      <c r="V51" s="265"/>
      <c r="W51" s="265"/>
      <c r="X51" s="265"/>
      <c r="Y51" s="265"/>
      <c r="Z51" s="265"/>
      <c r="AA51" s="265"/>
      <c r="AB51" s="265"/>
      <c r="AC51" s="265"/>
      <c r="AD51" s="265"/>
      <c r="AE51" s="265"/>
      <c r="AF51" s="265"/>
      <c r="AG51" s="265"/>
      <c r="AH51" s="265"/>
      <c r="AI51" s="265"/>
      <c r="AJ51" s="265"/>
      <c r="AK51" s="265"/>
      <c r="AL51" s="265"/>
      <c r="AM51" s="265"/>
      <c r="AN51" s="265"/>
      <c r="AO51" s="265"/>
      <c r="AP51" s="265"/>
      <c r="AQ51" s="265"/>
      <c r="AR51" s="265"/>
      <c r="AS51" s="265"/>
      <c r="AT51" s="265"/>
      <c r="AU51" s="265"/>
      <c r="AV51" s="265"/>
      <c r="AW51" s="265"/>
      <c r="AX51" s="265"/>
      <c r="AY51" s="265"/>
      <c r="AZ51" s="265"/>
      <c r="BA51" s="265"/>
      <c r="BB51" s="265"/>
      <c r="BC51" s="265"/>
      <c r="BD51" s="265"/>
      <c r="BE51" s="265"/>
      <c r="BF51" s="265"/>
      <c r="BG51" s="265"/>
      <c r="BH51" s="265"/>
      <c r="BI51" s="265"/>
      <c r="BJ51" s="265"/>
      <c r="BK51" s="265"/>
      <c r="BL51" s="265"/>
      <c r="BM51" s="265"/>
      <c r="BN51" s="265"/>
      <c r="BO51" s="265"/>
      <c r="BP51" s="265"/>
      <c r="BQ51" s="265"/>
      <c r="BR51" s="265"/>
    </row>
    <row r="52" spans="1:70" ht="48.75" customHeight="1" x14ac:dyDescent="0.25">
      <c r="A52" s="432"/>
      <c r="B52" s="433"/>
      <c r="C52" s="434"/>
      <c r="D52" s="435"/>
      <c r="E52" s="435"/>
      <c r="F52" s="431"/>
      <c r="G52" s="431"/>
      <c r="H52" s="431"/>
      <c r="I52" s="431"/>
      <c r="J52" s="431"/>
      <c r="K52" s="431"/>
      <c r="L52" s="431"/>
      <c r="M52" s="431"/>
      <c r="N52" s="265"/>
      <c r="O52" s="265"/>
      <c r="P52" s="265"/>
      <c r="Q52" s="265"/>
      <c r="R52" s="265"/>
      <c r="S52" s="265"/>
      <c r="T52" s="265"/>
      <c r="U52" s="265"/>
      <c r="V52" s="265"/>
      <c r="W52" s="265"/>
      <c r="X52" s="265"/>
      <c r="Y52" s="265"/>
      <c r="Z52" s="265"/>
      <c r="AA52" s="265"/>
      <c r="AB52" s="265"/>
      <c r="AC52" s="265"/>
      <c r="AD52" s="265"/>
      <c r="AE52" s="265"/>
      <c r="AF52" s="265"/>
      <c r="AG52" s="265"/>
      <c r="AH52" s="265"/>
      <c r="AI52" s="265"/>
      <c r="AJ52" s="265"/>
      <c r="AK52" s="265"/>
      <c r="AL52" s="265"/>
      <c r="AM52" s="265"/>
      <c r="AN52" s="265"/>
      <c r="AO52" s="265"/>
      <c r="AP52" s="265"/>
      <c r="AQ52" s="265"/>
      <c r="AR52" s="265"/>
      <c r="AS52" s="265"/>
      <c r="AT52" s="265"/>
      <c r="AU52" s="265"/>
      <c r="AV52" s="265"/>
      <c r="AW52" s="265"/>
      <c r="AX52" s="265"/>
      <c r="AY52" s="265"/>
      <c r="AZ52" s="265"/>
      <c r="BA52" s="265"/>
      <c r="BB52" s="265"/>
      <c r="BC52" s="265"/>
      <c r="BD52" s="265"/>
      <c r="BE52" s="265"/>
      <c r="BF52" s="265"/>
      <c r="BG52" s="265"/>
      <c r="BH52" s="265"/>
      <c r="BI52" s="265"/>
      <c r="BJ52" s="265"/>
      <c r="BK52" s="265"/>
      <c r="BL52" s="265"/>
      <c r="BM52" s="265"/>
      <c r="BN52" s="265"/>
      <c r="BO52" s="265"/>
      <c r="BP52" s="265"/>
      <c r="BQ52" s="265"/>
      <c r="BR52" s="265"/>
    </row>
    <row r="53" spans="1:70" ht="48.75" customHeight="1" x14ac:dyDescent="0.25">
      <c r="A53" s="432"/>
      <c r="B53" s="433"/>
      <c r="C53" s="434"/>
      <c r="D53" s="435"/>
      <c r="E53" s="435"/>
      <c r="F53" s="431"/>
      <c r="G53" s="431"/>
      <c r="H53" s="431"/>
      <c r="I53" s="431"/>
      <c r="J53" s="431"/>
      <c r="K53" s="431"/>
      <c r="L53" s="431"/>
      <c r="M53" s="431"/>
      <c r="N53" s="265"/>
      <c r="O53" s="265"/>
      <c r="P53" s="265"/>
      <c r="Q53" s="265"/>
      <c r="R53" s="265"/>
      <c r="S53" s="265"/>
      <c r="T53" s="265"/>
      <c r="U53" s="265"/>
      <c r="V53" s="265"/>
      <c r="W53" s="265"/>
      <c r="X53" s="265"/>
      <c r="Y53" s="265"/>
      <c r="Z53" s="265"/>
      <c r="AA53" s="265"/>
      <c r="AB53" s="265"/>
      <c r="AC53" s="265"/>
      <c r="AD53" s="265"/>
      <c r="AE53" s="265"/>
      <c r="AF53" s="265"/>
      <c r="AG53" s="265"/>
      <c r="AH53" s="265"/>
      <c r="AI53" s="265"/>
      <c r="AJ53" s="265"/>
      <c r="AK53" s="265"/>
      <c r="AL53" s="265"/>
      <c r="AM53" s="265"/>
      <c r="AN53" s="265"/>
      <c r="AO53" s="265"/>
      <c r="AP53" s="265"/>
      <c r="AQ53" s="265"/>
      <c r="AR53" s="265"/>
      <c r="AS53" s="265"/>
      <c r="AT53" s="265"/>
      <c r="AU53" s="265"/>
      <c r="AV53" s="265"/>
      <c r="AW53" s="265"/>
      <c r="AX53" s="265"/>
      <c r="AY53" s="265"/>
      <c r="AZ53" s="265"/>
      <c r="BA53" s="265"/>
      <c r="BB53" s="265"/>
      <c r="BC53" s="265"/>
      <c r="BD53" s="265"/>
      <c r="BE53" s="265"/>
      <c r="BF53" s="265"/>
      <c r="BG53" s="265"/>
      <c r="BH53" s="265"/>
      <c r="BI53" s="265"/>
      <c r="BJ53" s="265"/>
      <c r="BK53" s="265"/>
      <c r="BL53" s="265"/>
      <c r="BM53" s="265"/>
      <c r="BN53" s="265"/>
      <c r="BO53" s="265"/>
      <c r="BP53" s="265"/>
      <c r="BQ53" s="265"/>
      <c r="BR53" s="265"/>
    </row>
    <row r="54" spans="1:70" ht="48.75" customHeight="1" x14ac:dyDescent="0.25">
      <c r="A54" s="432"/>
      <c r="B54" s="433"/>
      <c r="C54" s="434"/>
      <c r="D54" s="435"/>
      <c r="E54" s="435"/>
      <c r="F54" s="431" t="str">
        <f t="shared" si="2"/>
        <v>No</v>
      </c>
      <c r="G54" s="431" t="str">
        <f t="shared" si="2"/>
        <v>No</v>
      </c>
      <c r="H54" s="431" t="str">
        <f t="shared" si="2"/>
        <v>No</v>
      </c>
      <c r="I54" s="431" t="str">
        <f t="shared" si="2"/>
        <v>No</v>
      </c>
      <c r="J54" s="431" t="str">
        <f t="shared" si="2"/>
        <v>No</v>
      </c>
      <c r="K54" s="431" t="str">
        <f t="shared" si="2"/>
        <v>No</v>
      </c>
      <c r="L54" s="431" t="str">
        <f t="shared" si="2"/>
        <v>No</v>
      </c>
      <c r="M54" s="431" t="str">
        <f t="shared" si="2"/>
        <v>No</v>
      </c>
      <c r="N54" s="265"/>
      <c r="O54" s="265"/>
      <c r="P54" s="265"/>
      <c r="Q54" s="265"/>
      <c r="R54" s="265"/>
      <c r="S54" s="265"/>
      <c r="T54" s="265"/>
      <c r="U54" s="265"/>
      <c r="V54" s="265"/>
      <c r="W54" s="265"/>
      <c r="X54" s="265"/>
      <c r="Y54" s="265"/>
      <c r="Z54" s="265"/>
      <c r="AA54" s="265"/>
      <c r="AB54" s="265"/>
      <c r="AC54" s="265"/>
      <c r="AD54" s="265"/>
      <c r="AE54" s="265"/>
      <c r="AF54" s="265"/>
      <c r="AG54" s="265"/>
      <c r="AH54" s="265"/>
      <c r="AI54" s="265"/>
      <c r="AJ54" s="265"/>
      <c r="AK54" s="265"/>
      <c r="AL54" s="265"/>
      <c r="AM54" s="265"/>
      <c r="AN54" s="265"/>
      <c r="AO54" s="265"/>
      <c r="AP54" s="265"/>
      <c r="AQ54" s="265"/>
      <c r="AR54" s="265"/>
      <c r="AS54" s="265"/>
      <c r="AT54" s="265"/>
      <c r="AU54" s="265"/>
      <c r="AV54" s="265"/>
      <c r="AW54" s="265"/>
      <c r="AX54" s="265"/>
      <c r="AY54" s="265"/>
      <c r="AZ54" s="265"/>
      <c r="BA54" s="265"/>
      <c r="BB54" s="265"/>
      <c r="BC54" s="265"/>
      <c r="BD54" s="265"/>
      <c r="BE54" s="265"/>
      <c r="BF54" s="265"/>
      <c r="BG54" s="265"/>
      <c r="BH54" s="265"/>
      <c r="BI54" s="265"/>
      <c r="BJ54" s="265"/>
      <c r="BK54" s="265"/>
      <c r="BL54" s="265"/>
      <c r="BM54" s="265"/>
      <c r="BN54" s="265"/>
      <c r="BO54" s="265"/>
      <c r="BP54" s="265"/>
      <c r="BQ54" s="265"/>
      <c r="BR54" s="265"/>
    </row>
    <row r="55" spans="1:70" ht="48.75" customHeight="1" x14ac:dyDescent="0.25">
      <c r="A55" s="432"/>
      <c r="B55" s="433"/>
      <c r="C55" s="434"/>
      <c r="D55" s="435"/>
      <c r="E55" s="435"/>
      <c r="F55" s="431"/>
      <c r="G55" s="431"/>
      <c r="H55" s="431"/>
      <c r="I55" s="431"/>
      <c r="J55" s="431"/>
      <c r="K55" s="431"/>
      <c r="L55" s="431"/>
      <c r="M55" s="431"/>
      <c r="N55" s="265"/>
      <c r="O55" s="265"/>
      <c r="P55" s="265"/>
      <c r="Q55" s="265"/>
      <c r="R55" s="265"/>
      <c r="S55" s="265"/>
      <c r="T55" s="265"/>
      <c r="U55" s="265"/>
      <c r="V55" s="265"/>
      <c r="W55" s="265"/>
      <c r="X55" s="265"/>
      <c r="Y55" s="265"/>
      <c r="Z55" s="265"/>
      <c r="AA55" s="265"/>
      <c r="AB55" s="265"/>
      <c r="AC55" s="265"/>
      <c r="AD55" s="265"/>
      <c r="AE55" s="265"/>
      <c r="AF55" s="265"/>
      <c r="AG55" s="265"/>
      <c r="AH55" s="265"/>
      <c r="AI55" s="265"/>
      <c r="AJ55" s="265"/>
      <c r="AK55" s="265"/>
      <c r="AL55" s="265"/>
      <c r="AM55" s="265"/>
      <c r="AN55" s="265"/>
      <c r="AO55" s="265"/>
      <c r="AP55" s="265"/>
      <c r="AQ55" s="265"/>
      <c r="AR55" s="265"/>
      <c r="AS55" s="265"/>
      <c r="AT55" s="265"/>
      <c r="AU55" s="265"/>
      <c r="AV55" s="265"/>
      <c r="AW55" s="265"/>
      <c r="AX55" s="265"/>
      <c r="AY55" s="265"/>
      <c r="AZ55" s="265"/>
      <c r="BA55" s="265"/>
      <c r="BB55" s="265"/>
      <c r="BC55" s="265"/>
      <c r="BD55" s="265"/>
      <c r="BE55" s="265"/>
      <c r="BF55" s="265"/>
      <c r="BG55" s="265"/>
      <c r="BH55" s="265"/>
      <c r="BI55" s="265"/>
      <c r="BJ55" s="265"/>
      <c r="BK55" s="265"/>
      <c r="BL55" s="265"/>
      <c r="BM55" s="265"/>
      <c r="BN55" s="265"/>
      <c r="BO55" s="265"/>
      <c r="BP55" s="265"/>
      <c r="BQ55" s="265"/>
      <c r="BR55" s="265"/>
    </row>
    <row r="56" spans="1:70" ht="48.75" customHeight="1" x14ac:dyDescent="0.25">
      <c r="A56" s="432"/>
      <c r="B56" s="433"/>
      <c r="C56" s="434"/>
      <c r="D56" s="435"/>
      <c r="E56" s="435"/>
      <c r="F56" s="431"/>
      <c r="G56" s="431"/>
      <c r="H56" s="431"/>
      <c r="I56" s="431"/>
      <c r="J56" s="431"/>
      <c r="K56" s="431"/>
      <c r="L56" s="431"/>
      <c r="M56" s="431"/>
      <c r="N56" s="265"/>
      <c r="O56" s="265"/>
      <c r="P56" s="265"/>
      <c r="Q56" s="265"/>
      <c r="R56" s="265"/>
      <c r="S56" s="265"/>
      <c r="T56" s="265"/>
      <c r="U56" s="265"/>
      <c r="V56" s="265"/>
      <c r="W56" s="265"/>
      <c r="X56" s="265"/>
      <c r="Y56" s="265"/>
      <c r="Z56" s="265"/>
      <c r="AA56" s="265"/>
      <c r="AB56" s="265"/>
      <c r="AC56" s="265"/>
      <c r="AD56" s="265"/>
      <c r="AE56" s="265"/>
      <c r="AF56" s="265"/>
      <c r="AG56" s="265"/>
      <c r="AH56" s="265"/>
      <c r="AI56" s="265"/>
      <c r="AJ56" s="265"/>
      <c r="AK56" s="265"/>
      <c r="AL56" s="265"/>
      <c r="AM56" s="265"/>
      <c r="AN56" s="265"/>
      <c r="AO56" s="265"/>
      <c r="AP56" s="265"/>
      <c r="AQ56" s="265"/>
      <c r="AR56" s="265"/>
      <c r="AS56" s="265"/>
      <c r="AT56" s="265"/>
      <c r="AU56" s="265"/>
      <c r="AV56" s="265"/>
      <c r="AW56" s="265"/>
      <c r="AX56" s="265"/>
      <c r="AY56" s="265"/>
      <c r="AZ56" s="265"/>
      <c r="BA56" s="265"/>
      <c r="BB56" s="265"/>
      <c r="BC56" s="265"/>
      <c r="BD56" s="265"/>
      <c r="BE56" s="265"/>
      <c r="BF56" s="265"/>
      <c r="BG56" s="265"/>
      <c r="BH56" s="265"/>
      <c r="BI56" s="265"/>
      <c r="BJ56" s="265"/>
      <c r="BK56" s="265"/>
      <c r="BL56" s="265"/>
      <c r="BM56" s="265"/>
      <c r="BN56" s="265"/>
      <c r="BO56" s="265"/>
      <c r="BP56" s="265"/>
      <c r="BQ56" s="265"/>
      <c r="BR56" s="265"/>
    </row>
    <row r="57" spans="1:70" ht="48.75" customHeight="1" x14ac:dyDescent="0.25">
      <c r="A57" s="432"/>
      <c r="B57" s="433"/>
      <c r="C57" s="434"/>
      <c r="D57" s="435"/>
      <c r="E57" s="435"/>
      <c r="F57" s="431" t="str">
        <f t="shared" si="2"/>
        <v>No</v>
      </c>
      <c r="G57" s="431" t="str">
        <f t="shared" si="2"/>
        <v>No</v>
      </c>
      <c r="H57" s="431" t="str">
        <f t="shared" si="2"/>
        <v>No</v>
      </c>
      <c r="I57" s="431" t="str">
        <f t="shared" si="2"/>
        <v>No</v>
      </c>
      <c r="J57" s="431" t="str">
        <f t="shared" si="2"/>
        <v>No</v>
      </c>
      <c r="K57" s="431" t="str">
        <f t="shared" si="2"/>
        <v>No</v>
      </c>
      <c r="L57" s="431" t="str">
        <f t="shared" si="2"/>
        <v>No</v>
      </c>
      <c r="M57" s="431" t="str">
        <f t="shared" si="2"/>
        <v>No</v>
      </c>
      <c r="N57" s="265"/>
      <c r="O57" s="265"/>
      <c r="P57" s="265"/>
      <c r="Q57" s="265"/>
      <c r="R57" s="265"/>
      <c r="S57" s="265"/>
      <c r="T57" s="265"/>
      <c r="U57" s="265"/>
      <c r="V57" s="265"/>
      <c r="W57" s="265"/>
      <c r="X57" s="265"/>
      <c r="Y57" s="265"/>
      <c r="Z57" s="265"/>
      <c r="AA57" s="265"/>
      <c r="AB57" s="265"/>
      <c r="AC57" s="265"/>
      <c r="AD57" s="265"/>
      <c r="AE57" s="265"/>
      <c r="AF57" s="265"/>
      <c r="AG57" s="265"/>
      <c r="AH57" s="265"/>
      <c r="AI57" s="265"/>
      <c r="AJ57" s="265"/>
      <c r="AK57" s="265"/>
      <c r="AL57" s="265"/>
      <c r="AM57" s="265"/>
      <c r="AN57" s="265"/>
      <c r="AO57" s="265"/>
      <c r="AP57" s="265"/>
      <c r="AQ57" s="265"/>
      <c r="AR57" s="265"/>
      <c r="AS57" s="265"/>
      <c r="AT57" s="265"/>
      <c r="AU57" s="265"/>
      <c r="AV57" s="265"/>
      <c r="AW57" s="265"/>
      <c r="AX57" s="265"/>
      <c r="AY57" s="265"/>
      <c r="AZ57" s="265"/>
      <c r="BA57" s="265"/>
      <c r="BB57" s="265"/>
      <c r="BC57" s="265"/>
      <c r="BD57" s="265"/>
      <c r="BE57" s="265"/>
      <c r="BF57" s="265"/>
      <c r="BG57" s="265"/>
      <c r="BH57" s="265"/>
      <c r="BI57" s="265"/>
      <c r="BJ57" s="265"/>
      <c r="BK57" s="265"/>
      <c r="BL57" s="265"/>
      <c r="BM57" s="265"/>
      <c r="BN57" s="265"/>
      <c r="BO57" s="265"/>
      <c r="BP57" s="265"/>
      <c r="BQ57" s="265"/>
      <c r="BR57" s="265"/>
    </row>
    <row r="58" spans="1:70" ht="48.75" customHeight="1" x14ac:dyDescent="0.25">
      <c r="A58" s="432"/>
      <c r="B58" s="433"/>
      <c r="C58" s="434"/>
      <c r="D58" s="435"/>
      <c r="E58" s="435"/>
      <c r="F58" s="431"/>
      <c r="G58" s="431"/>
      <c r="H58" s="431"/>
      <c r="I58" s="431"/>
      <c r="J58" s="431"/>
      <c r="K58" s="431"/>
      <c r="L58" s="431"/>
      <c r="M58" s="431"/>
      <c r="N58" s="265"/>
      <c r="O58" s="265"/>
      <c r="P58" s="265"/>
      <c r="Q58" s="265"/>
      <c r="R58" s="265"/>
      <c r="S58" s="265"/>
      <c r="T58" s="265"/>
      <c r="U58" s="265"/>
      <c r="V58" s="265"/>
      <c r="W58" s="265"/>
      <c r="X58" s="265"/>
      <c r="Y58" s="265"/>
      <c r="Z58" s="265"/>
      <c r="AA58" s="265"/>
      <c r="AB58" s="265"/>
      <c r="AC58" s="265"/>
      <c r="AD58" s="265"/>
      <c r="AE58" s="265"/>
      <c r="AF58" s="265"/>
      <c r="AG58" s="265"/>
      <c r="AH58" s="265"/>
      <c r="AI58" s="265"/>
      <c r="AJ58" s="265"/>
      <c r="AK58" s="265"/>
      <c r="AL58" s="265"/>
      <c r="AM58" s="265"/>
      <c r="AN58" s="265"/>
      <c r="AO58" s="265"/>
      <c r="AP58" s="265"/>
      <c r="AQ58" s="265"/>
      <c r="AR58" s="265"/>
      <c r="AS58" s="265"/>
      <c r="AT58" s="265"/>
      <c r="AU58" s="265"/>
      <c r="AV58" s="265"/>
      <c r="AW58" s="265"/>
      <c r="AX58" s="265"/>
      <c r="AY58" s="265"/>
      <c r="AZ58" s="265"/>
      <c r="BA58" s="265"/>
      <c r="BB58" s="265"/>
      <c r="BC58" s="265"/>
      <c r="BD58" s="265"/>
      <c r="BE58" s="265"/>
      <c r="BF58" s="265"/>
      <c r="BG58" s="265"/>
      <c r="BH58" s="265"/>
      <c r="BI58" s="265"/>
      <c r="BJ58" s="265"/>
      <c r="BK58" s="265"/>
      <c r="BL58" s="265"/>
      <c r="BM58" s="265"/>
      <c r="BN58" s="265"/>
      <c r="BO58" s="265"/>
      <c r="BP58" s="265"/>
      <c r="BQ58" s="265"/>
      <c r="BR58" s="265"/>
    </row>
    <row r="59" spans="1:70" ht="48.75" customHeight="1" x14ac:dyDescent="0.25">
      <c r="A59" s="432"/>
      <c r="B59" s="433"/>
      <c r="C59" s="434"/>
      <c r="D59" s="435"/>
      <c r="E59" s="435"/>
      <c r="F59" s="431"/>
      <c r="G59" s="431"/>
      <c r="H59" s="431"/>
      <c r="I59" s="431"/>
      <c r="J59" s="431"/>
      <c r="K59" s="431"/>
      <c r="L59" s="431"/>
      <c r="M59" s="431"/>
      <c r="N59" s="265"/>
      <c r="O59" s="265"/>
      <c r="P59" s="265"/>
      <c r="Q59" s="265"/>
      <c r="R59" s="265"/>
      <c r="S59" s="265"/>
      <c r="T59" s="265"/>
      <c r="U59" s="265"/>
      <c r="V59" s="265"/>
      <c r="W59" s="265"/>
      <c r="X59" s="265"/>
      <c r="Y59" s="265"/>
      <c r="Z59" s="265"/>
      <c r="AA59" s="265"/>
      <c r="AB59" s="265"/>
      <c r="AC59" s="265"/>
      <c r="AD59" s="265"/>
      <c r="AE59" s="265"/>
      <c r="AF59" s="265"/>
      <c r="AG59" s="265"/>
      <c r="AH59" s="265"/>
      <c r="AI59" s="265"/>
      <c r="AJ59" s="265"/>
      <c r="AK59" s="265"/>
      <c r="AL59" s="265"/>
      <c r="AM59" s="265"/>
      <c r="AN59" s="265"/>
      <c r="AO59" s="265"/>
      <c r="AP59" s="265"/>
      <c r="AQ59" s="265"/>
      <c r="AR59" s="265"/>
      <c r="AS59" s="265"/>
      <c r="AT59" s="265"/>
      <c r="AU59" s="265"/>
      <c r="AV59" s="265"/>
      <c r="AW59" s="265"/>
      <c r="AX59" s="265"/>
      <c r="AY59" s="265"/>
      <c r="AZ59" s="265"/>
      <c r="BA59" s="265"/>
      <c r="BB59" s="265"/>
      <c r="BC59" s="265"/>
      <c r="BD59" s="265"/>
      <c r="BE59" s="265"/>
      <c r="BF59" s="265"/>
      <c r="BG59" s="265"/>
      <c r="BH59" s="265"/>
      <c r="BI59" s="265"/>
      <c r="BJ59" s="265"/>
      <c r="BK59" s="265"/>
      <c r="BL59" s="265"/>
      <c r="BM59" s="265"/>
      <c r="BN59" s="265"/>
      <c r="BO59" s="265"/>
      <c r="BP59" s="265"/>
      <c r="BQ59" s="265"/>
      <c r="BR59" s="265"/>
    </row>
    <row r="60" spans="1:70" ht="48.75" customHeight="1" x14ac:dyDescent="0.25">
      <c r="A60" s="432"/>
      <c r="B60" s="433"/>
      <c r="C60" s="434"/>
      <c r="D60" s="435"/>
      <c r="E60" s="435"/>
      <c r="F60" s="431" t="str">
        <f t="shared" ref="F60:F69" si="3">IFERROR(IF($E60="","No",IF($E60="No","No"," "))," ")</f>
        <v>No</v>
      </c>
      <c r="G60" s="431" t="str">
        <f t="shared" ref="G60:M60" si="4">IFERROR(IF($E60="","No",IF($E60="No","No"," "))," ")</f>
        <v>No</v>
      </c>
      <c r="H60" s="431" t="str">
        <f t="shared" si="4"/>
        <v>No</v>
      </c>
      <c r="I60" s="431" t="str">
        <f t="shared" si="4"/>
        <v>No</v>
      </c>
      <c r="J60" s="431" t="str">
        <f t="shared" si="4"/>
        <v>No</v>
      </c>
      <c r="K60" s="431" t="str">
        <f t="shared" si="4"/>
        <v>No</v>
      </c>
      <c r="L60" s="431" t="str">
        <f t="shared" si="4"/>
        <v>No</v>
      </c>
      <c r="M60" s="431" t="str">
        <f t="shared" si="4"/>
        <v>No</v>
      </c>
      <c r="N60" s="265"/>
      <c r="O60" s="265"/>
      <c r="P60" s="265"/>
      <c r="Q60" s="265"/>
      <c r="R60" s="265"/>
      <c r="S60" s="265"/>
      <c r="T60" s="265"/>
      <c r="U60" s="265"/>
      <c r="V60" s="265"/>
      <c r="W60" s="265"/>
      <c r="X60" s="265"/>
      <c r="Y60" s="265"/>
      <c r="Z60" s="265"/>
      <c r="AA60" s="265"/>
      <c r="AB60" s="265"/>
      <c r="AC60" s="265"/>
      <c r="AD60" s="265"/>
      <c r="AE60" s="265"/>
      <c r="AF60" s="265"/>
      <c r="AG60" s="265"/>
      <c r="AH60" s="265"/>
      <c r="AI60" s="265"/>
      <c r="AJ60" s="265"/>
      <c r="AK60" s="265"/>
      <c r="AL60" s="265"/>
      <c r="AM60" s="265"/>
      <c r="AN60" s="265"/>
      <c r="AO60" s="265"/>
      <c r="AP60" s="265"/>
      <c r="AQ60" s="265"/>
      <c r="AR60" s="265"/>
      <c r="AS60" s="265"/>
      <c r="AT60" s="265"/>
      <c r="AU60" s="265"/>
      <c r="AV60" s="265"/>
      <c r="AW60" s="265"/>
      <c r="AX60" s="265"/>
      <c r="AY60" s="265"/>
      <c r="AZ60" s="265"/>
      <c r="BA60" s="265"/>
      <c r="BB60" s="265"/>
      <c r="BC60" s="265"/>
      <c r="BD60" s="265"/>
      <c r="BE60" s="265"/>
      <c r="BF60" s="265"/>
      <c r="BG60" s="265"/>
      <c r="BH60" s="265"/>
      <c r="BI60" s="265"/>
      <c r="BJ60" s="265"/>
      <c r="BK60" s="265"/>
      <c r="BL60" s="265"/>
      <c r="BM60" s="265"/>
      <c r="BN60" s="265"/>
      <c r="BO60" s="265"/>
      <c r="BP60" s="265"/>
      <c r="BQ60" s="265"/>
      <c r="BR60" s="265"/>
    </row>
    <row r="61" spans="1:70" ht="48.75" customHeight="1" x14ac:dyDescent="0.25">
      <c r="A61" s="432"/>
      <c r="B61" s="433"/>
      <c r="C61" s="434"/>
      <c r="D61" s="435"/>
      <c r="E61" s="435"/>
      <c r="F61" s="431"/>
      <c r="G61" s="431"/>
      <c r="H61" s="431"/>
      <c r="I61" s="431"/>
      <c r="J61" s="431"/>
      <c r="K61" s="431"/>
      <c r="L61" s="431"/>
      <c r="M61" s="431"/>
      <c r="N61" s="265"/>
      <c r="O61" s="265"/>
      <c r="P61" s="265"/>
      <c r="Q61" s="265"/>
      <c r="R61" s="265"/>
      <c r="S61" s="265"/>
      <c r="T61" s="265"/>
      <c r="U61" s="265"/>
      <c r="V61" s="265"/>
      <c r="W61" s="265"/>
      <c r="X61" s="265"/>
      <c r="Y61" s="265"/>
      <c r="Z61" s="265"/>
      <c r="AA61" s="265"/>
      <c r="AB61" s="265"/>
      <c r="AC61" s="265"/>
      <c r="AD61" s="265"/>
      <c r="AE61" s="265"/>
      <c r="AF61" s="265"/>
      <c r="AG61" s="265"/>
      <c r="AH61" s="265"/>
      <c r="AI61" s="265"/>
      <c r="AJ61" s="265"/>
      <c r="AK61" s="265"/>
      <c r="AL61" s="265"/>
      <c r="AM61" s="265"/>
      <c r="AN61" s="265"/>
      <c r="AO61" s="265"/>
      <c r="AP61" s="265"/>
      <c r="AQ61" s="265"/>
      <c r="AR61" s="265"/>
      <c r="AS61" s="265"/>
      <c r="AT61" s="265"/>
      <c r="AU61" s="265"/>
      <c r="AV61" s="265"/>
      <c r="AW61" s="265"/>
      <c r="AX61" s="265"/>
      <c r="AY61" s="265"/>
      <c r="AZ61" s="265"/>
      <c r="BA61" s="265"/>
      <c r="BB61" s="265"/>
      <c r="BC61" s="265"/>
      <c r="BD61" s="265"/>
      <c r="BE61" s="265"/>
      <c r="BF61" s="265"/>
      <c r="BG61" s="265"/>
      <c r="BH61" s="265"/>
      <c r="BI61" s="265"/>
      <c r="BJ61" s="265"/>
      <c r="BK61" s="265"/>
      <c r="BL61" s="265"/>
      <c r="BM61" s="265"/>
      <c r="BN61" s="265"/>
      <c r="BO61" s="265"/>
      <c r="BP61" s="265"/>
      <c r="BQ61" s="265"/>
      <c r="BR61" s="265"/>
    </row>
    <row r="62" spans="1:70" ht="48.75" customHeight="1" x14ac:dyDescent="0.25">
      <c r="A62" s="432"/>
      <c r="B62" s="433"/>
      <c r="C62" s="434"/>
      <c r="D62" s="435"/>
      <c r="E62" s="435"/>
      <c r="F62" s="431"/>
      <c r="G62" s="431"/>
      <c r="H62" s="431"/>
      <c r="I62" s="431"/>
      <c r="J62" s="431"/>
      <c r="K62" s="431"/>
      <c r="L62" s="431"/>
      <c r="M62" s="431"/>
      <c r="N62" s="265"/>
      <c r="O62" s="265"/>
      <c r="P62" s="265"/>
      <c r="Q62" s="265"/>
      <c r="R62" s="265"/>
      <c r="S62" s="265"/>
      <c r="T62" s="265"/>
      <c r="U62" s="265"/>
      <c r="V62" s="265"/>
      <c r="W62" s="265"/>
      <c r="X62" s="265"/>
      <c r="Y62" s="265"/>
      <c r="Z62" s="265"/>
      <c r="AA62" s="265"/>
      <c r="AB62" s="265"/>
      <c r="AC62" s="265"/>
      <c r="AD62" s="265"/>
      <c r="AE62" s="265"/>
      <c r="AF62" s="265"/>
      <c r="AG62" s="265"/>
      <c r="AH62" s="265"/>
      <c r="AI62" s="265"/>
      <c r="AJ62" s="265"/>
      <c r="AK62" s="265"/>
      <c r="AL62" s="265"/>
      <c r="AM62" s="265"/>
      <c r="AN62" s="265"/>
      <c r="AO62" s="265"/>
      <c r="AP62" s="265"/>
      <c r="AQ62" s="265"/>
      <c r="AR62" s="265"/>
      <c r="AS62" s="265"/>
      <c r="AT62" s="265"/>
      <c r="AU62" s="265"/>
      <c r="AV62" s="265"/>
      <c r="AW62" s="265"/>
      <c r="AX62" s="265"/>
      <c r="AY62" s="265"/>
      <c r="AZ62" s="265"/>
      <c r="BA62" s="265"/>
      <c r="BB62" s="265"/>
      <c r="BC62" s="265"/>
      <c r="BD62" s="265"/>
      <c r="BE62" s="265"/>
      <c r="BF62" s="265"/>
      <c r="BG62" s="265"/>
      <c r="BH62" s="265"/>
      <c r="BI62" s="265"/>
      <c r="BJ62" s="265"/>
      <c r="BK62" s="265"/>
      <c r="BL62" s="265"/>
      <c r="BM62" s="265"/>
      <c r="BN62" s="265"/>
      <c r="BO62" s="265"/>
      <c r="BP62" s="265"/>
      <c r="BQ62" s="265"/>
      <c r="BR62" s="265"/>
    </row>
    <row r="63" spans="1:70" ht="48.75" customHeight="1" x14ac:dyDescent="0.25">
      <c r="A63" s="432"/>
      <c r="B63" s="433"/>
      <c r="C63" s="434"/>
      <c r="D63" s="435"/>
      <c r="E63" s="435"/>
      <c r="F63" s="431" t="str">
        <f t="shared" si="3"/>
        <v>No</v>
      </c>
      <c r="G63" s="431" t="str">
        <f t="shared" ref="G63:M63" si="5">IFERROR(IF($E63="","No",IF($E63="No","No"," "))," ")</f>
        <v>No</v>
      </c>
      <c r="H63" s="431" t="str">
        <f t="shared" si="5"/>
        <v>No</v>
      </c>
      <c r="I63" s="431" t="str">
        <f t="shared" si="5"/>
        <v>No</v>
      </c>
      <c r="J63" s="431" t="str">
        <f t="shared" si="5"/>
        <v>No</v>
      </c>
      <c r="K63" s="431" t="str">
        <f t="shared" si="5"/>
        <v>No</v>
      </c>
      <c r="L63" s="431" t="str">
        <f t="shared" si="5"/>
        <v>No</v>
      </c>
      <c r="M63" s="431" t="str">
        <f t="shared" si="5"/>
        <v>No</v>
      </c>
      <c r="N63" s="265"/>
      <c r="O63" s="265"/>
      <c r="P63" s="265"/>
      <c r="Q63" s="265"/>
      <c r="R63" s="265"/>
      <c r="S63" s="265"/>
      <c r="T63" s="265"/>
      <c r="U63" s="265"/>
      <c r="V63" s="265"/>
      <c r="W63" s="265"/>
      <c r="X63" s="265"/>
      <c r="Y63" s="265"/>
      <c r="Z63" s="265"/>
      <c r="AA63" s="265"/>
      <c r="AB63" s="265"/>
      <c r="AC63" s="265"/>
      <c r="AD63" s="265"/>
      <c r="AE63" s="265"/>
      <c r="AF63" s="265"/>
      <c r="AG63" s="265"/>
      <c r="AH63" s="265"/>
      <c r="AI63" s="265"/>
      <c r="AJ63" s="265"/>
      <c r="AK63" s="265"/>
      <c r="AL63" s="265"/>
      <c r="AM63" s="265"/>
      <c r="AN63" s="265"/>
      <c r="AO63" s="265"/>
      <c r="AP63" s="265"/>
      <c r="AQ63" s="265"/>
      <c r="AR63" s="265"/>
      <c r="AS63" s="265"/>
      <c r="AT63" s="265"/>
      <c r="AU63" s="265"/>
      <c r="AV63" s="265"/>
      <c r="AW63" s="265"/>
      <c r="AX63" s="265"/>
      <c r="AY63" s="265"/>
      <c r="AZ63" s="265"/>
      <c r="BA63" s="265"/>
      <c r="BB63" s="265"/>
      <c r="BC63" s="265"/>
      <c r="BD63" s="265"/>
      <c r="BE63" s="265"/>
      <c r="BF63" s="265"/>
      <c r="BG63" s="265"/>
      <c r="BH63" s="265"/>
      <c r="BI63" s="265"/>
      <c r="BJ63" s="265"/>
      <c r="BK63" s="265"/>
      <c r="BL63" s="265"/>
      <c r="BM63" s="265"/>
      <c r="BN63" s="265"/>
      <c r="BO63" s="265"/>
      <c r="BP63" s="265"/>
      <c r="BQ63" s="265"/>
      <c r="BR63" s="265"/>
    </row>
    <row r="64" spans="1:70" ht="48.75" customHeight="1" x14ac:dyDescent="0.25">
      <c r="A64" s="432"/>
      <c r="B64" s="433"/>
      <c r="C64" s="434"/>
      <c r="D64" s="435"/>
      <c r="E64" s="435"/>
      <c r="F64" s="431"/>
      <c r="G64" s="431"/>
      <c r="H64" s="431"/>
      <c r="I64" s="431"/>
      <c r="J64" s="431"/>
      <c r="K64" s="431"/>
      <c r="L64" s="431"/>
      <c r="M64" s="431"/>
      <c r="N64" s="265"/>
      <c r="O64" s="265"/>
      <c r="P64" s="265"/>
      <c r="Q64" s="265"/>
      <c r="R64" s="265"/>
      <c r="S64" s="265"/>
      <c r="T64" s="265"/>
      <c r="U64" s="265"/>
      <c r="V64" s="265"/>
      <c r="W64" s="265"/>
      <c r="X64" s="265"/>
      <c r="Y64" s="265"/>
      <c r="Z64" s="265"/>
      <c r="AA64" s="265"/>
      <c r="AB64" s="265"/>
      <c r="AC64" s="265"/>
      <c r="AD64" s="265"/>
      <c r="AE64" s="265"/>
      <c r="AF64" s="265"/>
      <c r="AG64" s="265"/>
      <c r="AH64" s="265"/>
      <c r="AI64" s="265"/>
      <c r="AJ64" s="265"/>
      <c r="AK64" s="265"/>
      <c r="AL64" s="265"/>
      <c r="AM64" s="265"/>
      <c r="AN64" s="265"/>
      <c r="AO64" s="265"/>
      <c r="AP64" s="265"/>
      <c r="AQ64" s="265"/>
      <c r="AR64" s="265"/>
      <c r="AS64" s="265"/>
      <c r="AT64" s="265"/>
      <c r="AU64" s="265"/>
      <c r="AV64" s="265"/>
      <c r="AW64" s="265"/>
      <c r="AX64" s="265"/>
      <c r="AY64" s="265"/>
      <c r="AZ64" s="265"/>
      <c r="BA64" s="265"/>
      <c r="BB64" s="265"/>
      <c r="BC64" s="265"/>
      <c r="BD64" s="265"/>
      <c r="BE64" s="265"/>
      <c r="BF64" s="265"/>
      <c r="BG64" s="265"/>
      <c r="BH64" s="265"/>
      <c r="BI64" s="265"/>
      <c r="BJ64" s="265"/>
      <c r="BK64" s="265"/>
      <c r="BL64" s="265"/>
      <c r="BM64" s="265"/>
      <c r="BN64" s="265"/>
      <c r="BO64" s="265"/>
      <c r="BP64" s="265"/>
      <c r="BQ64" s="265"/>
      <c r="BR64" s="265"/>
    </row>
    <row r="65" spans="1:70" ht="48.75" customHeight="1" x14ac:dyDescent="0.25">
      <c r="A65" s="432"/>
      <c r="B65" s="433"/>
      <c r="C65" s="434"/>
      <c r="D65" s="435"/>
      <c r="E65" s="435"/>
      <c r="F65" s="431"/>
      <c r="G65" s="431"/>
      <c r="H65" s="431"/>
      <c r="I65" s="431"/>
      <c r="J65" s="431"/>
      <c r="K65" s="431"/>
      <c r="L65" s="431"/>
      <c r="M65" s="431"/>
      <c r="N65" s="265"/>
      <c r="O65" s="265"/>
      <c r="P65" s="265"/>
      <c r="Q65" s="265"/>
      <c r="R65" s="265"/>
      <c r="S65" s="265"/>
      <c r="T65" s="265"/>
      <c r="U65" s="265"/>
      <c r="V65" s="265"/>
      <c r="W65" s="265"/>
      <c r="X65" s="265"/>
      <c r="Y65" s="265"/>
      <c r="Z65" s="265"/>
      <c r="AA65" s="265"/>
      <c r="AB65" s="265"/>
      <c r="AC65" s="265"/>
      <c r="AD65" s="265"/>
      <c r="AE65" s="265"/>
      <c r="AF65" s="265"/>
      <c r="AG65" s="265"/>
      <c r="AH65" s="265"/>
      <c r="AI65" s="265"/>
      <c r="AJ65" s="265"/>
      <c r="AK65" s="265"/>
      <c r="AL65" s="265"/>
      <c r="AM65" s="265"/>
      <c r="AN65" s="265"/>
      <c r="AO65" s="265"/>
      <c r="AP65" s="265"/>
      <c r="AQ65" s="265"/>
      <c r="AR65" s="265"/>
      <c r="AS65" s="265"/>
      <c r="AT65" s="265"/>
      <c r="AU65" s="265"/>
      <c r="AV65" s="265"/>
      <c r="AW65" s="265"/>
      <c r="AX65" s="265"/>
      <c r="AY65" s="265"/>
      <c r="AZ65" s="265"/>
      <c r="BA65" s="265"/>
      <c r="BB65" s="265"/>
      <c r="BC65" s="265"/>
      <c r="BD65" s="265"/>
      <c r="BE65" s="265"/>
      <c r="BF65" s="265"/>
      <c r="BG65" s="265"/>
      <c r="BH65" s="265"/>
      <c r="BI65" s="265"/>
      <c r="BJ65" s="265"/>
      <c r="BK65" s="265"/>
      <c r="BL65" s="265"/>
      <c r="BM65" s="265"/>
      <c r="BN65" s="265"/>
      <c r="BO65" s="265"/>
      <c r="BP65" s="265"/>
      <c r="BQ65" s="265"/>
      <c r="BR65" s="265"/>
    </row>
    <row r="66" spans="1:70" ht="48.75" customHeight="1" x14ac:dyDescent="0.25">
      <c r="A66" s="432"/>
      <c r="B66" s="433"/>
      <c r="C66" s="434"/>
      <c r="D66" s="435"/>
      <c r="E66" s="435"/>
      <c r="F66" s="431" t="str">
        <f t="shared" si="3"/>
        <v>No</v>
      </c>
      <c r="G66" s="431" t="str">
        <f t="shared" ref="G66:M66" si="6">IFERROR(IF($E66="","No",IF($E66="No","No"," "))," ")</f>
        <v>No</v>
      </c>
      <c r="H66" s="431" t="str">
        <f t="shared" si="6"/>
        <v>No</v>
      </c>
      <c r="I66" s="431" t="str">
        <f t="shared" si="6"/>
        <v>No</v>
      </c>
      <c r="J66" s="431" t="str">
        <f t="shared" si="6"/>
        <v>No</v>
      </c>
      <c r="K66" s="431" t="str">
        <f t="shared" si="6"/>
        <v>No</v>
      </c>
      <c r="L66" s="431" t="str">
        <f t="shared" si="6"/>
        <v>No</v>
      </c>
      <c r="M66" s="431" t="str">
        <f t="shared" si="6"/>
        <v>No</v>
      </c>
      <c r="N66" s="265"/>
      <c r="O66" s="265"/>
      <c r="P66" s="265"/>
      <c r="Q66" s="265"/>
      <c r="R66" s="265"/>
      <c r="S66" s="265"/>
      <c r="T66" s="265"/>
      <c r="U66" s="265"/>
      <c r="V66" s="265"/>
      <c r="W66" s="265"/>
      <c r="X66" s="265"/>
      <c r="Y66" s="265"/>
      <c r="Z66" s="265"/>
      <c r="AA66" s="265"/>
      <c r="AB66" s="265"/>
      <c r="AC66" s="265"/>
      <c r="AD66" s="265"/>
      <c r="AE66" s="265"/>
      <c r="AF66" s="265"/>
      <c r="AG66" s="265"/>
      <c r="AH66" s="265"/>
      <c r="AI66" s="265"/>
      <c r="AJ66" s="265"/>
      <c r="AK66" s="265"/>
      <c r="AL66" s="265"/>
      <c r="AM66" s="265"/>
      <c r="AN66" s="265"/>
      <c r="AO66" s="265"/>
      <c r="AP66" s="265"/>
      <c r="AQ66" s="265"/>
      <c r="AR66" s="265"/>
      <c r="AS66" s="265"/>
      <c r="AT66" s="265"/>
      <c r="AU66" s="265"/>
      <c r="AV66" s="265"/>
      <c r="AW66" s="265"/>
      <c r="AX66" s="265"/>
      <c r="AY66" s="265"/>
      <c r="AZ66" s="265"/>
      <c r="BA66" s="265"/>
      <c r="BB66" s="265"/>
      <c r="BC66" s="265"/>
      <c r="BD66" s="265"/>
      <c r="BE66" s="265"/>
      <c r="BF66" s="265"/>
      <c r="BG66" s="265"/>
      <c r="BH66" s="265"/>
      <c r="BI66" s="265"/>
      <c r="BJ66" s="265"/>
      <c r="BK66" s="265"/>
      <c r="BL66" s="265"/>
      <c r="BM66" s="265"/>
      <c r="BN66" s="265"/>
      <c r="BO66" s="265"/>
      <c r="BP66" s="265"/>
      <c r="BQ66" s="265"/>
      <c r="BR66" s="265"/>
    </row>
    <row r="67" spans="1:70" ht="48.75" customHeight="1" x14ac:dyDescent="0.25">
      <c r="A67" s="432"/>
      <c r="B67" s="433"/>
      <c r="C67" s="434"/>
      <c r="D67" s="435"/>
      <c r="E67" s="435"/>
      <c r="F67" s="431"/>
      <c r="G67" s="431"/>
      <c r="H67" s="431"/>
      <c r="I67" s="431"/>
      <c r="J67" s="431"/>
      <c r="K67" s="431"/>
      <c r="L67" s="431"/>
      <c r="M67" s="431"/>
      <c r="N67" s="265"/>
      <c r="O67" s="265"/>
      <c r="P67" s="265"/>
      <c r="Q67" s="265"/>
      <c r="R67" s="265"/>
      <c r="S67" s="265"/>
      <c r="T67" s="265"/>
      <c r="U67" s="265"/>
      <c r="V67" s="265"/>
      <c r="W67" s="265"/>
      <c r="X67" s="265"/>
      <c r="Y67" s="265"/>
      <c r="Z67" s="265"/>
      <c r="AA67" s="265"/>
      <c r="AB67" s="265"/>
      <c r="AC67" s="265"/>
      <c r="AD67" s="265"/>
      <c r="AE67" s="265"/>
      <c r="AF67" s="265"/>
      <c r="AG67" s="265"/>
      <c r="AH67" s="265"/>
      <c r="AI67" s="265"/>
      <c r="AJ67" s="265"/>
      <c r="AK67" s="265"/>
      <c r="AL67" s="265"/>
      <c r="AM67" s="265"/>
      <c r="AN67" s="265"/>
      <c r="AO67" s="265"/>
      <c r="AP67" s="265"/>
      <c r="AQ67" s="265"/>
      <c r="AR67" s="265"/>
      <c r="AS67" s="265"/>
      <c r="AT67" s="265"/>
      <c r="AU67" s="265"/>
      <c r="AV67" s="265"/>
      <c r="AW67" s="265"/>
      <c r="AX67" s="265"/>
      <c r="AY67" s="265"/>
      <c r="AZ67" s="265"/>
      <c r="BA67" s="265"/>
      <c r="BB67" s="265"/>
      <c r="BC67" s="265"/>
      <c r="BD67" s="265"/>
      <c r="BE67" s="265"/>
      <c r="BF67" s="265"/>
      <c r="BG67" s="265"/>
      <c r="BH67" s="265"/>
      <c r="BI67" s="265"/>
      <c r="BJ67" s="265"/>
      <c r="BK67" s="265"/>
      <c r="BL67" s="265"/>
      <c r="BM67" s="265"/>
      <c r="BN67" s="265"/>
      <c r="BO67" s="265"/>
      <c r="BP67" s="265"/>
      <c r="BQ67" s="265"/>
      <c r="BR67" s="265"/>
    </row>
    <row r="68" spans="1:70" ht="48.75" customHeight="1" x14ac:dyDescent="0.25">
      <c r="A68" s="432"/>
      <c r="B68" s="433"/>
      <c r="C68" s="434"/>
      <c r="D68" s="435"/>
      <c r="E68" s="435"/>
      <c r="F68" s="431"/>
      <c r="G68" s="431"/>
      <c r="H68" s="431"/>
      <c r="I68" s="431"/>
      <c r="J68" s="431"/>
      <c r="K68" s="431"/>
      <c r="L68" s="431"/>
      <c r="M68" s="431"/>
      <c r="N68" s="265"/>
      <c r="O68" s="265"/>
      <c r="P68" s="265"/>
      <c r="Q68" s="265"/>
      <c r="R68" s="265"/>
      <c r="S68" s="265"/>
      <c r="T68" s="265"/>
      <c r="U68" s="265"/>
      <c r="V68" s="265"/>
      <c r="W68" s="265"/>
      <c r="X68" s="265"/>
      <c r="Y68" s="265"/>
      <c r="Z68" s="265"/>
      <c r="AA68" s="265"/>
      <c r="AB68" s="265"/>
      <c r="AC68" s="265"/>
      <c r="AD68" s="265"/>
      <c r="AE68" s="265"/>
      <c r="AF68" s="265"/>
      <c r="AG68" s="265"/>
      <c r="AH68" s="265"/>
      <c r="AI68" s="265"/>
      <c r="AJ68" s="265"/>
      <c r="AK68" s="265"/>
      <c r="AL68" s="265"/>
      <c r="AM68" s="265"/>
      <c r="AN68" s="265"/>
      <c r="AO68" s="265"/>
      <c r="AP68" s="265"/>
      <c r="AQ68" s="265"/>
      <c r="AR68" s="265"/>
      <c r="AS68" s="265"/>
      <c r="AT68" s="265"/>
      <c r="AU68" s="265"/>
      <c r="AV68" s="265"/>
      <c r="AW68" s="265"/>
      <c r="AX68" s="265"/>
      <c r="AY68" s="265"/>
      <c r="AZ68" s="265"/>
      <c r="BA68" s="265"/>
      <c r="BB68" s="265"/>
      <c r="BC68" s="265"/>
      <c r="BD68" s="265"/>
      <c r="BE68" s="265"/>
      <c r="BF68" s="265"/>
      <c r="BG68" s="265"/>
      <c r="BH68" s="265"/>
      <c r="BI68" s="265"/>
      <c r="BJ68" s="265"/>
      <c r="BK68" s="265"/>
      <c r="BL68" s="265"/>
      <c r="BM68" s="265"/>
      <c r="BN68" s="265"/>
      <c r="BO68" s="265"/>
      <c r="BP68" s="265"/>
      <c r="BQ68" s="265"/>
      <c r="BR68" s="265"/>
    </row>
    <row r="69" spans="1:70" ht="48.75" customHeight="1" x14ac:dyDescent="0.25">
      <c r="A69" s="432"/>
      <c r="B69" s="433"/>
      <c r="C69" s="434"/>
      <c r="D69" s="435"/>
      <c r="E69" s="435"/>
      <c r="F69" s="431" t="str">
        <f t="shared" si="3"/>
        <v>No</v>
      </c>
      <c r="G69" s="431" t="str">
        <f t="shared" ref="G69:M69" si="7">IFERROR(IF($E69="","No",IF($E69="No","No"," "))," ")</f>
        <v>No</v>
      </c>
      <c r="H69" s="431" t="str">
        <f t="shared" si="7"/>
        <v>No</v>
      </c>
      <c r="I69" s="431" t="str">
        <f t="shared" si="7"/>
        <v>No</v>
      </c>
      <c r="J69" s="431" t="str">
        <f t="shared" si="7"/>
        <v>No</v>
      </c>
      <c r="K69" s="431" t="str">
        <f t="shared" si="7"/>
        <v>No</v>
      </c>
      <c r="L69" s="431" t="str">
        <f t="shared" si="7"/>
        <v>No</v>
      </c>
      <c r="M69" s="431" t="str">
        <f t="shared" si="7"/>
        <v>No</v>
      </c>
      <c r="N69" s="265"/>
      <c r="O69" s="265"/>
      <c r="P69" s="265"/>
      <c r="Q69" s="265"/>
      <c r="R69" s="265"/>
      <c r="S69" s="265"/>
      <c r="T69" s="265"/>
      <c r="U69" s="265"/>
      <c r="V69" s="265"/>
      <c r="W69" s="265"/>
      <c r="X69" s="265"/>
      <c r="Y69" s="265"/>
      <c r="Z69" s="265"/>
      <c r="AA69" s="265"/>
      <c r="AB69" s="265"/>
      <c r="AC69" s="265"/>
      <c r="AD69" s="265"/>
      <c r="AE69" s="265"/>
      <c r="AF69" s="265"/>
      <c r="AG69" s="265"/>
      <c r="AH69" s="265"/>
      <c r="AI69" s="265"/>
      <c r="AJ69" s="265"/>
      <c r="AK69" s="265"/>
      <c r="AL69" s="265"/>
      <c r="AM69" s="265"/>
      <c r="AN69" s="265"/>
      <c r="AO69" s="265"/>
      <c r="AP69" s="265"/>
      <c r="AQ69" s="265"/>
      <c r="AR69" s="265"/>
      <c r="AS69" s="265"/>
      <c r="AT69" s="265"/>
      <c r="AU69" s="265"/>
      <c r="AV69" s="265"/>
      <c r="AW69" s="265"/>
      <c r="AX69" s="265"/>
      <c r="AY69" s="265"/>
      <c r="AZ69" s="265"/>
      <c r="BA69" s="265"/>
      <c r="BB69" s="265"/>
      <c r="BC69" s="265"/>
      <c r="BD69" s="265"/>
      <c r="BE69" s="265"/>
      <c r="BF69" s="265"/>
      <c r="BG69" s="265"/>
      <c r="BH69" s="265"/>
      <c r="BI69" s="265"/>
      <c r="BJ69" s="265"/>
      <c r="BK69" s="265"/>
      <c r="BL69" s="265"/>
      <c r="BM69" s="265"/>
      <c r="BN69" s="265"/>
      <c r="BO69" s="265"/>
      <c r="BP69" s="265"/>
      <c r="BQ69" s="265"/>
      <c r="BR69" s="265"/>
    </row>
    <row r="70" spans="1:70" ht="48.75" customHeight="1" x14ac:dyDescent="0.25">
      <c r="A70" s="432"/>
      <c r="B70" s="433"/>
      <c r="C70" s="434"/>
      <c r="D70" s="435"/>
      <c r="E70" s="435"/>
      <c r="F70" s="431"/>
      <c r="G70" s="431"/>
      <c r="H70" s="431"/>
      <c r="I70" s="431"/>
      <c r="J70" s="431"/>
      <c r="K70" s="431"/>
      <c r="L70" s="431"/>
      <c r="M70" s="431"/>
      <c r="N70" s="265"/>
      <c r="O70" s="265"/>
      <c r="P70" s="265"/>
      <c r="Q70" s="265"/>
      <c r="R70" s="265"/>
      <c r="S70" s="265"/>
      <c r="T70" s="265"/>
      <c r="U70" s="265"/>
      <c r="V70" s="265"/>
      <c r="W70" s="265"/>
      <c r="X70" s="265"/>
      <c r="Y70" s="265"/>
      <c r="Z70" s="265"/>
      <c r="AA70" s="265"/>
      <c r="AB70" s="265"/>
      <c r="AC70" s="265"/>
      <c r="AD70" s="265"/>
      <c r="AE70" s="265"/>
      <c r="AF70" s="265"/>
      <c r="AG70" s="265"/>
      <c r="AH70" s="265"/>
      <c r="AI70" s="265"/>
      <c r="AJ70" s="265"/>
      <c r="AK70" s="265"/>
      <c r="AL70" s="265"/>
      <c r="AM70" s="265"/>
      <c r="AN70" s="265"/>
      <c r="AO70" s="265"/>
      <c r="AP70" s="265"/>
      <c r="AQ70" s="265"/>
      <c r="AR70" s="265"/>
      <c r="AS70" s="265"/>
      <c r="AT70" s="265"/>
      <c r="AU70" s="265"/>
      <c r="AV70" s="265"/>
      <c r="AW70" s="265"/>
      <c r="AX70" s="265"/>
      <c r="AY70" s="265"/>
      <c r="AZ70" s="265"/>
      <c r="BA70" s="265"/>
      <c r="BB70" s="265"/>
      <c r="BC70" s="265"/>
      <c r="BD70" s="265"/>
      <c r="BE70" s="265"/>
      <c r="BF70" s="265"/>
      <c r="BG70" s="265"/>
      <c r="BH70" s="265"/>
      <c r="BI70" s="265"/>
      <c r="BJ70" s="265"/>
      <c r="BK70" s="265"/>
      <c r="BL70" s="265"/>
      <c r="BM70" s="265"/>
      <c r="BN70" s="265"/>
      <c r="BO70" s="265"/>
      <c r="BP70" s="265"/>
      <c r="BQ70" s="265"/>
      <c r="BR70" s="265"/>
    </row>
    <row r="71" spans="1:70" ht="48.75" customHeight="1" x14ac:dyDescent="0.25">
      <c r="A71" s="432"/>
      <c r="B71" s="433"/>
      <c r="C71" s="434"/>
      <c r="D71" s="435"/>
      <c r="E71" s="435"/>
      <c r="F71" s="431"/>
      <c r="G71" s="431"/>
      <c r="H71" s="431"/>
      <c r="I71" s="431"/>
      <c r="J71" s="431"/>
      <c r="K71" s="431"/>
      <c r="L71" s="431"/>
      <c r="M71" s="431"/>
      <c r="N71" s="265"/>
      <c r="O71" s="265"/>
      <c r="P71" s="265"/>
      <c r="Q71" s="265"/>
      <c r="R71" s="265"/>
      <c r="S71" s="265"/>
      <c r="T71" s="265"/>
      <c r="U71" s="265"/>
      <c r="V71" s="265"/>
      <c r="W71" s="265"/>
      <c r="X71" s="265"/>
      <c r="Y71" s="265"/>
      <c r="Z71" s="265"/>
      <c r="AA71" s="265"/>
      <c r="AB71" s="265"/>
      <c r="AC71" s="265"/>
      <c r="AD71" s="265"/>
      <c r="AE71" s="265"/>
      <c r="AF71" s="265"/>
      <c r="AG71" s="265"/>
      <c r="AH71" s="265"/>
      <c r="AI71" s="265"/>
      <c r="AJ71" s="265"/>
      <c r="AK71" s="265"/>
      <c r="AL71" s="265"/>
      <c r="AM71" s="265"/>
      <c r="AN71" s="265"/>
      <c r="AO71" s="265"/>
      <c r="AP71" s="265"/>
      <c r="AQ71" s="265"/>
      <c r="AR71" s="265"/>
      <c r="AS71" s="265"/>
      <c r="AT71" s="265"/>
      <c r="AU71" s="265"/>
      <c r="AV71" s="265"/>
      <c r="AW71" s="265"/>
      <c r="AX71" s="265"/>
      <c r="AY71" s="265"/>
      <c r="AZ71" s="265"/>
      <c r="BA71" s="265"/>
      <c r="BB71" s="265"/>
      <c r="BC71" s="265"/>
      <c r="BD71" s="265"/>
      <c r="BE71" s="265"/>
      <c r="BF71" s="265"/>
      <c r="BG71" s="265"/>
      <c r="BH71" s="265"/>
      <c r="BI71" s="265"/>
      <c r="BJ71" s="265"/>
      <c r="BK71" s="265"/>
      <c r="BL71" s="265"/>
      <c r="BM71" s="265"/>
      <c r="BN71" s="265"/>
      <c r="BO71" s="265"/>
      <c r="BP71" s="265"/>
      <c r="BQ71" s="265"/>
      <c r="BR71" s="265"/>
    </row>
  </sheetData>
  <sheetProtection algorithmName="SHA-512" hashValue="U2yRvc1yDl20GqBPDmiGzIjd9wiCNLZ/kY1zr2x15+NU/A3PB4FDjZcOQzDGT01p5Jqu4j35jQThWDH8P+z+PQ==" saltValue="zmBxh8MPtwrTrykBZDa/Ew==" spinCount="100000" sheet="1" objects="1" scenarios="1"/>
  <mergeCells count="255">
    <mergeCell ref="M39:M41"/>
    <mergeCell ref="M36:M38"/>
    <mergeCell ref="B39:B41"/>
    <mergeCell ref="C39:C41"/>
    <mergeCell ref="E39:E41"/>
    <mergeCell ref="F39:F41"/>
    <mergeCell ref="G39:G41"/>
    <mergeCell ref="H39:H41"/>
    <mergeCell ref="I39:I41"/>
    <mergeCell ref="J39:J41"/>
    <mergeCell ref="B36:B38"/>
    <mergeCell ref="C36:C38"/>
    <mergeCell ref="E36:E38"/>
    <mergeCell ref="F36:F38"/>
    <mergeCell ref="G36:G38"/>
    <mergeCell ref="K39:K41"/>
    <mergeCell ref="L39:L41"/>
    <mergeCell ref="D39:D41"/>
    <mergeCell ref="M30:M32"/>
    <mergeCell ref="B33:B35"/>
    <mergeCell ref="C33:C35"/>
    <mergeCell ref="E33:E35"/>
    <mergeCell ref="F33:F35"/>
    <mergeCell ref="H36:H38"/>
    <mergeCell ref="I36:I38"/>
    <mergeCell ref="J36:J38"/>
    <mergeCell ref="G33:G35"/>
    <mergeCell ref="H33:H35"/>
    <mergeCell ref="I33:I35"/>
    <mergeCell ref="J33:J35"/>
    <mergeCell ref="K33:K35"/>
    <mergeCell ref="L33:L35"/>
    <mergeCell ref="K36:K38"/>
    <mergeCell ref="L36:L38"/>
    <mergeCell ref="B30:B32"/>
    <mergeCell ref="C30:C32"/>
    <mergeCell ref="E30:E32"/>
    <mergeCell ref="F30:F32"/>
    <mergeCell ref="M33:M35"/>
    <mergeCell ref="D30:D32"/>
    <mergeCell ref="D33:D35"/>
    <mergeCell ref="D36:D38"/>
    <mergeCell ref="M24:M26"/>
    <mergeCell ref="B27:B29"/>
    <mergeCell ref="C27:C29"/>
    <mergeCell ref="E27:E29"/>
    <mergeCell ref="F27:F29"/>
    <mergeCell ref="K27:K29"/>
    <mergeCell ref="L27:L29"/>
    <mergeCell ref="M27:M29"/>
    <mergeCell ref="B24:B26"/>
    <mergeCell ref="C24:C26"/>
    <mergeCell ref="E24:E26"/>
    <mergeCell ref="F24:F26"/>
    <mergeCell ref="G24:G26"/>
    <mergeCell ref="H24:H26"/>
    <mergeCell ref="I24:I26"/>
    <mergeCell ref="J24:J26"/>
    <mergeCell ref="G27:G29"/>
    <mergeCell ref="H27:H29"/>
    <mergeCell ref="I27:I29"/>
    <mergeCell ref="J27:J29"/>
    <mergeCell ref="D24:D26"/>
    <mergeCell ref="D27:D29"/>
    <mergeCell ref="M18:M20"/>
    <mergeCell ref="B21:B23"/>
    <mergeCell ref="C21:C23"/>
    <mergeCell ref="E21:E23"/>
    <mergeCell ref="F21:F23"/>
    <mergeCell ref="G21:G23"/>
    <mergeCell ref="H21:H23"/>
    <mergeCell ref="I21:I23"/>
    <mergeCell ref="J21:J23"/>
    <mergeCell ref="K21:K23"/>
    <mergeCell ref="L21:L23"/>
    <mergeCell ref="M21:M23"/>
    <mergeCell ref="I18:I20"/>
    <mergeCell ref="J18:J20"/>
    <mergeCell ref="K18:K20"/>
    <mergeCell ref="L18:L20"/>
    <mergeCell ref="B18:B20"/>
    <mergeCell ref="C18:C20"/>
    <mergeCell ref="E18:E20"/>
    <mergeCell ref="F18:F20"/>
    <mergeCell ref="G18:G20"/>
    <mergeCell ref="H18:H20"/>
    <mergeCell ref="D18:D20"/>
    <mergeCell ref="D21:D23"/>
    <mergeCell ref="M12:M14"/>
    <mergeCell ref="B15:B17"/>
    <mergeCell ref="C15:C17"/>
    <mergeCell ref="E15:E17"/>
    <mergeCell ref="F15:F17"/>
    <mergeCell ref="G15:G17"/>
    <mergeCell ref="H15:H17"/>
    <mergeCell ref="I15:I17"/>
    <mergeCell ref="J15:J17"/>
    <mergeCell ref="C12:C14"/>
    <mergeCell ref="E12:E14"/>
    <mergeCell ref="F12:F14"/>
    <mergeCell ref="G12:G14"/>
    <mergeCell ref="H12:H14"/>
    <mergeCell ref="I12:I14"/>
    <mergeCell ref="J12:J14"/>
    <mergeCell ref="K12:K14"/>
    <mergeCell ref="L12:L14"/>
    <mergeCell ref="K15:K17"/>
    <mergeCell ref="L15:L17"/>
    <mergeCell ref="M15:M17"/>
    <mergeCell ref="B12:B14"/>
    <mergeCell ref="D12:D14"/>
    <mergeCell ref="D15:D17"/>
    <mergeCell ref="A2:C2"/>
    <mergeCell ref="M2:M3"/>
    <mergeCell ref="A3:C6"/>
    <mergeCell ref="A7:M7"/>
    <mergeCell ref="A9:M9"/>
    <mergeCell ref="A10:A11"/>
    <mergeCell ref="E10:E11"/>
    <mergeCell ref="F10:M10"/>
    <mergeCell ref="D10:D11"/>
    <mergeCell ref="B10:C10"/>
    <mergeCell ref="D3:L4"/>
    <mergeCell ref="D2:L2"/>
    <mergeCell ref="D6:L6"/>
    <mergeCell ref="D5:L5"/>
    <mergeCell ref="G30:G32"/>
    <mergeCell ref="H30:H32"/>
    <mergeCell ref="I30:I32"/>
    <mergeCell ref="J30:J32"/>
    <mergeCell ref="K24:K26"/>
    <mergeCell ref="L24:L26"/>
    <mergeCell ref="K30:K32"/>
    <mergeCell ref="L30:L32"/>
    <mergeCell ref="B48:B50"/>
    <mergeCell ref="C48:C50"/>
    <mergeCell ref="D48:D50"/>
    <mergeCell ref="E48:E50"/>
    <mergeCell ref="B51:B53"/>
    <mergeCell ref="C51:C53"/>
    <mergeCell ref="D51:D53"/>
    <mergeCell ref="E51:E53"/>
    <mergeCell ref="B42:B44"/>
    <mergeCell ref="C42:C44"/>
    <mergeCell ref="D42:D44"/>
    <mergeCell ref="E42:E44"/>
    <mergeCell ref="B45:B47"/>
    <mergeCell ref="C45:C47"/>
    <mergeCell ref="D45:D47"/>
    <mergeCell ref="E45:E47"/>
    <mergeCell ref="C60:C62"/>
    <mergeCell ref="D60:D62"/>
    <mergeCell ref="E60:E62"/>
    <mergeCell ref="B54:B56"/>
    <mergeCell ref="C54:C56"/>
    <mergeCell ref="D54:D56"/>
    <mergeCell ref="E54:E56"/>
    <mergeCell ref="B57:B59"/>
    <mergeCell ref="C57:C59"/>
    <mergeCell ref="D57:D59"/>
    <mergeCell ref="E57:E59"/>
    <mergeCell ref="A12:A71"/>
    <mergeCell ref="F42:F44"/>
    <mergeCell ref="F45:F47"/>
    <mergeCell ref="F48:F50"/>
    <mergeCell ref="F51:F53"/>
    <mergeCell ref="F54:F56"/>
    <mergeCell ref="F57:F59"/>
    <mergeCell ref="F60:F62"/>
    <mergeCell ref="F63:F65"/>
    <mergeCell ref="F66:F68"/>
    <mergeCell ref="F69:F71"/>
    <mergeCell ref="B69:B71"/>
    <mergeCell ref="C69:C71"/>
    <mergeCell ref="D69:D71"/>
    <mergeCell ref="E69:E71"/>
    <mergeCell ref="B63:B65"/>
    <mergeCell ref="C63:C65"/>
    <mergeCell ref="D63:D65"/>
    <mergeCell ref="E63:E65"/>
    <mergeCell ref="B66:B68"/>
    <mergeCell ref="C66:C68"/>
    <mergeCell ref="D66:D68"/>
    <mergeCell ref="E66:E68"/>
    <mergeCell ref="B60:B62"/>
    <mergeCell ref="H69:H71"/>
    <mergeCell ref="G66:G68"/>
    <mergeCell ref="G69:G71"/>
    <mergeCell ref="G42:G44"/>
    <mergeCell ref="G45:G47"/>
    <mergeCell ref="G48:G50"/>
    <mergeCell ref="G51:G53"/>
    <mergeCell ref="G54:G56"/>
    <mergeCell ref="G57:G59"/>
    <mergeCell ref="G60:G62"/>
    <mergeCell ref="G63:G65"/>
    <mergeCell ref="H42:H44"/>
    <mergeCell ref="H45:H47"/>
    <mergeCell ref="H48:H50"/>
    <mergeCell ref="H51:H53"/>
    <mergeCell ref="H54:H56"/>
    <mergeCell ref="H57:H59"/>
    <mergeCell ref="H60:H62"/>
    <mergeCell ref="H63:H65"/>
    <mergeCell ref="H66:H68"/>
    <mergeCell ref="J69:J71"/>
    <mergeCell ref="I66:I68"/>
    <mergeCell ref="I69:I71"/>
    <mergeCell ref="I42:I44"/>
    <mergeCell ref="I45:I47"/>
    <mergeCell ref="I48:I50"/>
    <mergeCell ref="I51:I53"/>
    <mergeCell ref="I54:I56"/>
    <mergeCell ref="I57:I59"/>
    <mergeCell ref="I60:I62"/>
    <mergeCell ref="I63:I65"/>
    <mergeCell ref="J42:J44"/>
    <mergeCell ref="J45:J47"/>
    <mergeCell ref="J48:J50"/>
    <mergeCell ref="J51:J53"/>
    <mergeCell ref="J54:J56"/>
    <mergeCell ref="J57:J59"/>
    <mergeCell ref="J60:J62"/>
    <mergeCell ref="J63:J65"/>
    <mergeCell ref="J66:J68"/>
    <mergeCell ref="L69:L71"/>
    <mergeCell ref="K66:K68"/>
    <mergeCell ref="K69:K71"/>
    <mergeCell ref="K42:K44"/>
    <mergeCell ref="K45:K47"/>
    <mergeCell ref="K48:K50"/>
    <mergeCell ref="K51:K53"/>
    <mergeCell ref="K54:K56"/>
    <mergeCell ref="K57:K59"/>
    <mergeCell ref="K60:K62"/>
    <mergeCell ref="K63:K65"/>
    <mergeCell ref="L42:L44"/>
    <mergeCell ref="L45:L47"/>
    <mergeCell ref="L48:L50"/>
    <mergeCell ref="L51:L53"/>
    <mergeCell ref="L54:L56"/>
    <mergeCell ref="L57:L59"/>
    <mergeCell ref="L60:L62"/>
    <mergeCell ref="L63:L65"/>
    <mergeCell ref="L66:L68"/>
    <mergeCell ref="M66:M68"/>
    <mergeCell ref="M69:M71"/>
    <mergeCell ref="M42:M44"/>
    <mergeCell ref="M45:M47"/>
    <mergeCell ref="M48:M50"/>
    <mergeCell ref="M51:M53"/>
    <mergeCell ref="M54:M56"/>
    <mergeCell ref="M57:M59"/>
    <mergeCell ref="M60:M62"/>
    <mergeCell ref="M63:M65"/>
  </mergeCells>
  <conditionalFormatting sqref="F12:M71">
    <cfRule type="containsText" dxfId="8" priority="1" operator="containsText" text="No">
      <formula>NOT(ISERROR(SEARCH("No",F12)))</formula>
    </cfRule>
  </conditionalFormatting>
  <pageMargins left="0.7" right="0.7" top="0.75" bottom="0.75" header="0.3" footer="0.3"/>
  <pageSetup paperSize="142" scale="10" orientation="portrait" r:id="rId1"/>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1"/>
  <dimension ref="A1:BR88"/>
  <sheetViews>
    <sheetView view="pageBreakPreview" topLeftCell="A3" zoomScale="40" zoomScaleNormal="40" zoomScaleSheetLayoutView="40" workbookViewId="0">
      <selection activeCell="N12" sqref="A12:XFD41"/>
    </sheetView>
  </sheetViews>
  <sheetFormatPr baseColWidth="10" defaultColWidth="11.42578125" defaultRowHeight="16.5" x14ac:dyDescent="0.3"/>
  <cols>
    <col min="1" max="1" width="81" style="136" customWidth="1"/>
    <col min="2" max="2" width="20.5703125" style="136" customWidth="1"/>
    <col min="3" max="4" width="90.85546875" style="136" customWidth="1"/>
    <col min="5" max="5" width="41.140625" style="136" customWidth="1"/>
    <col min="6" max="6" width="90.85546875" style="136" customWidth="1"/>
    <col min="7" max="8" width="48" style="136" customWidth="1"/>
    <col min="9" max="10" width="90.85546875" style="136" customWidth="1"/>
    <col min="11" max="11" width="41.140625" style="136" customWidth="1"/>
    <col min="12" max="12" width="40.42578125" style="136" customWidth="1"/>
    <col min="13" max="13" width="72.7109375" style="136" customWidth="1"/>
    <col min="14" max="14" width="3.28515625" style="136" customWidth="1"/>
    <col min="15" max="15" width="35.85546875" style="136" customWidth="1"/>
    <col min="16" max="16384" width="11.42578125" style="136"/>
  </cols>
  <sheetData>
    <row r="1" spans="1:70" s="159" customFormat="1" ht="24" thickBot="1" x14ac:dyDescent="0.4">
      <c r="A1" s="164"/>
      <c r="B1" s="164"/>
      <c r="C1" s="164"/>
      <c r="D1" s="164"/>
      <c r="E1" s="164"/>
      <c r="F1" s="164"/>
      <c r="G1" s="164"/>
      <c r="H1" s="164"/>
      <c r="I1" s="164"/>
      <c r="J1" s="164"/>
      <c r="K1" s="164"/>
      <c r="L1" s="164"/>
      <c r="M1" s="164"/>
      <c r="N1" s="158"/>
      <c r="O1" s="158"/>
      <c r="P1" s="158"/>
      <c r="Q1" s="158"/>
      <c r="R1" s="158"/>
      <c r="S1" s="158"/>
      <c r="T1" s="158"/>
      <c r="U1" s="158"/>
      <c r="V1" s="158"/>
      <c r="W1" s="158"/>
      <c r="X1" s="158"/>
      <c r="Y1" s="158"/>
      <c r="Z1" s="158"/>
      <c r="AA1" s="158"/>
      <c r="AB1" s="158"/>
      <c r="AC1" s="158"/>
      <c r="AD1" s="158"/>
      <c r="AE1" s="158"/>
      <c r="AF1" s="158"/>
      <c r="AG1" s="158"/>
      <c r="AH1" s="158"/>
      <c r="AI1" s="158"/>
      <c r="AJ1" s="158"/>
      <c r="AK1" s="158"/>
      <c r="AL1" s="158"/>
      <c r="AM1" s="158"/>
      <c r="AN1" s="158"/>
      <c r="AO1" s="158"/>
      <c r="AP1" s="158"/>
      <c r="AQ1" s="158"/>
      <c r="AR1" s="158"/>
      <c r="AS1" s="158"/>
      <c r="AT1" s="158"/>
      <c r="AU1" s="158"/>
      <c r="AV1" s="158"/>
      <c r="AW1" s="158"/>
      <c r="AX1" s="158"/>
      <c r="AY1" s="158"/>
      <c r="AZ1" s="158"/>
      <c r="BA1" s="158"/>
      <c r="BB1" s="158"/>
      <c r="BC1" s="158"/>
      <c r="BD1" s="158"/>
      <c r="BE1" s="158"/>
      <c r="BF1" s="158"/>
      <c r="BG1" s="158"/>
      <c r="BH1" s="158"/>
      <c r="BI1" s="158"/>
      <c r="BJ1" s="158"/>
      <c r="BK1" s="158"/>
      <c r="BL1" s="158"/>
      <c r="BM1" s="158"/>
      <c r="BN1" s="158"/>
      <c r="BO1" s="158"/>
      <c r="BP1" s="158"/>
      <c r="BQ1" s="158"/>
      <c r="BR1" s="158"/>
    </row>
    <row r="2" spans="1:70" s="159" customFormat="1" ht="69" customHeight="1" x14ac:dyDescent="0.35">
      <c r="A2" s="483" t="s">
        <v>60</v>
      </c>
      <c r="B2" s="484"/>
      <c r="C2" s="484"/>
      <c r="D2" s="468" t="s">
        <v>106</v>
      </c>
      <c r="E2" s="469"/>
      <c r="F2" s="469"/>
      <c r="G2" s="469"/>
      <c r="H2" s="469"/>
      <c r="I2" s="469"/>
      <c r="J2" s="469"/>
      <c r="K2" s="469"/>
      <c r="L2" s="470"/>
      <c r="M2" s="485" t="s">
        <v>107</v>
      </c>
      <c r="N2" s="158"/>
      <c r="O2" s="158"/>
      <c r="P2" s="158"/>
      <c r="Q2" s="158"/>
      <c r="R2" s="158"/>
      <c r="S2" s="158"/>
      <c r="T2" s="158"/>
      <c r="U2" s="158"/>
      <c r="V2" s="158"/>
      <c r="W2" s="158"/>
      <c r="X2" s="158"/>
      <c r="Y2" s="158"/>
      <c r="Z2" s="158"/>
      <c r="AA2" s="158"/>
      <c r="AB2" s="158"/>
      <c r="AC2" s="158"/>
      <c r="AD2" s="158"/>
      <c r="AE2" s="158"/>
      <c r="AF2" s="158"/>
      <c r="AG2" s="158"/>
      <c r="AH2" s="158"/>
      <c r="AI2" s="158"/>
      <c r="AJ2" s="158"/>
      <c r="AK2" s="158"/>
      <c r="AL2" s="158"/>
      <c r="AM2" s="158"/>
      <c r="AN2" s="158"/>
      <c r="AO2" s="158"/>
      <c r="AP2" s="158"/>
      <c r="AQ2" s="158"/>
      <c r="AR2" s="158"/>
      <c r="AS2" s="158"/>
      <c r="AT2" s="158"/>
      <c r="AU2" s="158"/>
      <c r="AV2" s="158"/>
      <c r="AW2" s="158"/>
      <c r="AX2" s="158"/>
      <c r="AY2" s="158"/>
      <c r="AZ2" s="158"/>
      <c r="BA2" s="158"/>
      <c r="BB2" s="158"/>
      <c r="BC2" s="158"/>
      <c r="BD2" s="158"/>
      <c r="BE2" s="158"/>
      <c r="BF2" s="158"/>
      <c r="BG2" s="158"/>
      <c r="BH2" s="158"/>
      <c r="BI2" s="158"/>
      <c r="BJ2" s="158"/>
      <c r="BK2" s="158"/>
      <c r="BL2" s="158"/>
      <c r="BM2" s="158"/>
      <c r="BN2" s="158"/>
      <c r="BO2" s="158"/>
      <c r="BP2" s="158"/>
      <c r="BQ2" s="158"/>
      <c r="BR2" s="158"/>
    </row>
    <row r="3" spans="1:70" s="159" customFormat="1" ht="40.5" customHeight="1" x14ac:dyDescent="0.35">
      <c r="A3" s="487"/>
      <c r="B3" s="488"/>
      <c r="C3" s="488"/>
      <c r="D3" s="471" t="s">
        <v>63</v>
      </c>
      <c r="E3" s="472"/>
      <c r="F3" s="472"/>
      <c r="G3" s="472"/>
      <c r="H3" s="472"/>
      <c r="I3" s="472"/>
      <c r="J3" s="472"/>
      <c r="K3" s="472"/>
      <c r="L3" s="473"/>
      <c r="M3" s="486"/>
      <c r="N3" s="160"/>
      <c r="O3" s="160"/>
      <c r="P3" s="160"/>
      <c r="Q3" s="160"/>
      <c r="R3" s="160"/>
      <c r="S3" s="160"/>
      <c r="T3" s="160"/>
      <c r="X3" s="158"/>
      <c r="Y3" s="158"/>
      <c r="Z3" s="158"/>
      <c r="AA3" s="158"/>
      <c r="AB3" s="158"/>
      <c r="AC3" s="158"/>
      <c r="AD3" s="158"/>
      <c r="AE3" s="158"/>
      <c r="AF3" s="158"/>
      <c r="AG3" s="158"/>
      <c r="AH3" s="158"/>
      <c r="AI3" s="158"/>
      <c r="AJ3" s="158"/>
      <c r="AK3" s="158"/>
      <c r="AL3" s="158"/>
      <c r="AM3" s="158"/>
      <c r="AN3" s="158"/>
      <c r="AO3" s="158"/>
      <c r="AP3" s="158"/>
      <c r="AQ3" s="158"/>
      <c r="AR3" s="158"/>
      <c r="AS3" s="158"/>
      <c r="AT3" s="158"/>
      <c r="AU3" s="158"/>
      <c r="AV3" s="158"/>
      <c r="AW3" s="158"/>
      <c r="AX3" s="158"/>
      <c r="AY3" s="158"/>
      <c r="AZ3" s="158"/>
      <c r="BA3" s="158"/>
      <c r="BB3" s="158"/>
      <c r="BC3" s="158"/>
      <c r="BD3" s="158"/>
      <c r="BE3" s="158"/>
      <c r="BF3" s="158"/>
      <c r="BG3" s="158"/>
      <c r="BH3" s="158"/>
      <c r="BI3" s="158"/>
      <c r="BJ3" s="158"/>
      <c r="BK3" s="158"/>
      <c r="BL3" s="158"/>
      <c r="BM3" s="158"/>
      <c r="BN3" s="158"/>
      <c r="BO3" s="158"/>
      <c r="BP3" s="158"/>
      <c r="BQ3" s="158"/>
      <c r="BR3" s="158"/>
    </row>
    <row r="4" spans="1:70" s="159" customFormat="1" ht="40.5" customHeight="1" x14ac:dyDescent="0.35">
      <c r="A4" s="487"/>
      <c r="B4" s="488"/>
      <c r="C4" s="488"/>
      <c r="D4" s="474"/>
      <c r="E4" s="475"/>
      <c r="F4" s="475"/>
      <c r="G4" s="475"/>
      <c r="H4" s="475"/>
      <c r="I4" s="475"/>
      <c r="J4" s="475"/>
      <c r="K4" s="475"/>
      <c r="L4" s="476"/>
      <c r="M4" s="165" t="s">
        <v>64</v>
      </c>
      <c r="N4" s="158"/>
      <c r="P4" s="161"/>
      <c r="Q4" s="161"/>
      <c r="R4" s="161"/>
      <c r="S4" s="161"/>
      <c r="T4" s="161"/>
      <c r="U4" s="161"/>
      <c r="V4" s="161"/>
      <c r="W4" s="161"/>
      <c r="X4" s="158"/>
      <c r="Y4" s="158"/>
      <c r="Z4" s="158"/>
      <c r="AA4" s="158"/>
      <c r="AB4" s="158"/>
      <c r="AC4" s="158"/>
      <c r="AD4" s="158"/>
      <c r="AE4" s="158"/>
      <c r="AF4" s="158"/>
      <c r="AG4" s="158"/>
      <c r="AH4" s="158"/>
      <c r="AI4" s="158"/>
      <c r="AJ4" s="158"/>
      <c r="AK4" s="158"/>
      <c r="AL4" s="158"/>
      <c r="AM4" s="158"/>
      <c r="AN4" s="158"/>
      <c r="AO4" s="158"/>
      <c r="AP4" s="158"/>
      <c r="AQ4" s="158"/>
      <c r="AR4" s="158"/>
      <c r="AS4" s="158"/>
      <c r="AT4" s="158"/>
      <c r="AU4" s="158"/>
      <c r="AV4" s="158"/>
      <c r="AW4" s="158"/>
      <c r="AX4" s="158"/>
      <c r="AY4" s="158"/>
      <c r="AZ4" s="158"/>
      <c r="BA4" s="158"/>
      <c r="BB4" s="158"/>
      <c r="BC4" s="158"/>
      <c r="BD4" s="158"/>
      <c r="BE4" s="158"/>
      <c r="BF4" s="158"/>
      <c r="BG4" s="158"/>
      <c r="BH4" s="158"/>
      <c r="BI4" s="158"/>
      <c r="BJ4" s="158"/>
      <c r="BK4" s="158"/>
      <c r="BL4" s="158"/>
      <c r="BM4" s="158"/>
      <c r="BN4" s="158"/>
      <c r="BO4" s="158"/>
      <c r="BP4" s="158"/>
      <c r="BQ4" s="158"/>
      <c r="BR4" s="158"/>
    </row>
    <row r="5" spans="1:70" s="159" customFormat="1" ht="40.5" customHeight="1" x14ac:dyDescent="0.35">
      <c r="A5" s="487"/>
      <c r="B5" s="488"/>
      <c r="C5" s="488"/>
      <c r="D5" s="477" t="s">
        <v>65</v>
      </c>
      <c r="E5" s="478"/>
      <c r="F5" s="478"/>
      <c r="G5" s="478"/>
      <c r="H5" s="478"/>
      <c r="I5" s="478"/>
      <c r="J5" s="478"/>
      <c r="K5" s="478"/>
      <c r="L5" s="479"/>
      <c r="M5" s="165" t="s">
        <v>108</v>
      </c>
      <c r="N5" s="158"/>
      <c r="P5" s="161"/>
      <c r="Q5" s="161"/>
      <c r="R5" s="161"/>
      <c r="S5" s="161"/>
      <c r="T5" s="161"/>
      <c r="U5" s="161"/>
      <c r="V5" s="161"/>
      <c r="W5" s="161"/>
      <c r="X5" s="158"/>
      <c r="Y5" s="158"/>
      <c r="Z5" s="158"/>
      <c r="AA5" s="158"/>
      <c r="AB5" s="158"/>
      <c r="AC5" s="158"/>
      <c r="AD5" s="158"/>
      <c r="AE5" s="158"/>
      <c r="AF5" s="158"/>
      <c r="AG5" s="158"/>
      <c r="AH5" s="158"/>
      <c r="AI5" s="158"/>
      <c r="AJ5" s="158"/>
      <c r="AK5" s="158"/>
      <c r="AL5" s="158"/>
      <c r="AM5" s="158"/>
      <c r="AN5" s="158"/>
      <c r="AO5" s="158"/>
      <c r="AP5" s="158"/>
      <c r="AQ5" s="158"/>
      <c r="AR5" s="158"/>
      <c r="AS5" s="158"/>
      <c r="AT5" s="158"/>
      <c r="AU5" s="158"/>
      <c r="AV5" s="158"/>
      <c r="AW5" s="158"/>
      <c r="AX5" s="158"/>
      <c r="AY5" s="158"/>
      <c r="AZ5" s="158"/>
      <c r="BA5" s="158"/>
      <c r="BB5" s="158"/>
      <c r="BC5" s="158"/>
      <c r="BD5" s="158"/>
      <c r="BE5" s="158"/>
      <c r="BF5" s="158"/>
      <c r="BG5" s="158"/>
      <c r="BH5" s="158"/>
      <c r="BI5" s="158"/>
      <c r="BJ5" s="158"/>
      <c r="BK5" s="158"/>
      <c r="BL5" s="158"/>
      <c r="BM5" s="158"/>
      <c r="BN5" s="158"/>
      <c r="BO5" s="158"/>
      <c r="BP5" s="158"/>
      <c r="BQ5" s="158"/>
      <c r="BR5" s="158"/>
    </row>
    <row r="6" spans="1:70" s="159" customFormat="1" ht="40.5" customHeight="1" x14ac:dyDescent="0.35">
      <c r="A6" s="487"/>
      <c r="B6" s="488"/>
      <c r="C6" s="488"/>
      <c r="D6" s="480" t="s">
        <v>67</v>
      </c>
      <c r="E6" s="481"/>
      <c r="F6" s="481"/>
      <c r="G6" s="481"/>
      <c r="H6" s="481"/>
      <c r="I6" s="481"/>
      <c r="J6" s="481"/>
      <c r="K6" s="481"/>
      <c r="L6" s="482"/>
      <c r="M6" s="165" t="s">
        <v>68</v>
      </c>
      <c r="N6" s="158"/>
      <c r="P6" s="162"/>
      <c r="Q6" s="162"/>
      <c r="R6" s="162"/>
      <c r="S6" s="162"/>
      <c r="T6" s="162"/>
      <c r="U6" s="162"/>
      <c r="V6" s="162"/>
      <c r="W6" s="162"/>
      <c r="X6" s="158"/>
      <c r="Y6" s="158"/>
      <c r="Z6" s="158"/>
      <c r="AA6" s="158"/>
      <c r="AB6" s="158"/>
      <c r="AC6" s="158"/>
      <c r="AD6" s="158"/>
      <c r="AE6" s="158"/>
      <c r="AF6" s="158"/>
      <c r="AG6" s="158"/>
      <c r="AH6" s="158"/>
      <c r="AI6" s="158"/>
      <c r="AJ6" s="158"/>
      <c r="AK6" s="158"/>
      <c r="AL6" s="158"/>
      <c r="AM6" s="158"/>
      <c r="AN6" s="158"/>
      <c r="AO6" s="158"/>
      <c r="AP6" s="158"/>
      <c r="AQ6" s="158"/>
      <c r="AR6" s="158"/>
      <c r="AS6" s="158"/>
      <c r="AT6" s="158"/>
      <c r="AU6" s="158"/>
      <c r="AV6" s="158"/>
      <c r="AW6" s="158"/>
      <c r="AX6" s="158"/>
      <c r="AY6" s="158"/>
      <c r="AZ6" s="158"/>
      <c r="BA6" s="158"/>
      <c r="BB6" s="158"/>
      <c r="BC6" s="158"/>
      <c r="BD6" s="158"/>
      <c r="BE6" s="158"/>
      <c r="BF6" s="158"/>
      <c r="BG6" s="158"/>
      <c r="BH6" s="158"/>
      <c r="BI6" s="158"/>
      <c r="BJ6" s="158"/>
      <c r="BK6" s="158"/>
      <c r="BL6" s="158"/>
      <c r="BM6" s="158"/>
      <c r="BN6" s="158"/>
      <c r="BO6" s="158"/>
      <c r="BP6" s="158"/>
      <c r="BQ6" s="158"/>
      <c r="BR6" s="158"/>
    </row>
    <row r="7" spans="1:70" s="159" customFormat="1" ht="33" customHeight="1" thickBot="1" x14ac:dyDescent="0.4">
      <c r="A7" s="489"/>
      <c r="B7" s="490"/>
      <c r="C7" s="490"/>
      <c r="D7" s="490"/>
      <c r="E7" s="490"/>
      <c r="F7" s="490"/>
      <c r="G7" s="490"/>
      <c r="H7" s="490"/>
      <c r="I7" s="490"/>
      <c r="J7" s="490"/>
      <c r="K7" s="490"/>
      <c r="L7" s="490"/>
      <c r="M7" s="491"/>
      <c r="N7" s="158"/>
      <c r="O7" s="162"/>
      <c r="P7" s="162"/>
      <c r="Q7" s="162"/>
      <c r="R7" s="162"/>
      <c r="S7" s="162"/>
      <c r="T7" s="162"/>
      <c r="U7" s="162"/>
      <c r="V7" s="162"/>
      <c r="W7" s="162"/>
      <c r="X7" s="158"/>
      <c r="Y7" s="158"/>
      <c r="Z7" s="158"/>
      <c r="AA7" s="158"/>
      <c r="AB7" s="158"/>
      <c r="AC7" s="158"/>
      <c r="AD7" s="158"/>
      <c r="AE7" s="158"/>
      <c r="AF7" s="158"/>
      <c r="AG7" s="158"/>
      <c r="AH7" s="158"/>
      <c r="AI7" s="158"/>
      <c r="AJ7" s="158"/>
      <c r="AK7" s="158"/>
      <c r="AL7" s="158"/>
      <c r="AM7" s="158"/>
      <c r="AN7" s="158"/>
      <c r="AO7" s="158"/>
      <c r="AP7" s="158"/>
      <c r="AQ7" s="158"/>
      <c r="AR7" s="158"/>
      <c r="AS7" s="158"/>
      <c r="AT7" s="158"/>
      <c r="AU7" s="158"/>
      <c r="AV7" s="158"/>
      <c r="AW7" s="158"/>
      <c r="AX7" s="158"/>
      <c r="AY7" s="158"/>
      <c r="AZ7" s="158"/>
      <c r="BA7" s="158"/>
      <c r="BB7" s="158"/>
      <c r="BC7" s="158"/>
      <c r="BD7" s="158"/>
      <c r="BE7" s="158"/>
      <c r="BF7" s="158"/>
      <c r="BG7" s="158"/>
      <c r="BH7" s="158"/>
      <c r="BI7" s="158"/>
      <c r="BJ7" s="158"/>
      <c r="BK7" s="158"/>
      <c r="BL7" s="158"/>
      <c r="BM7" s="158"/>
      <c r="BN7" s="158"/>
      <c r="BO7" s="158"/>
      <c r="BP7" s="158"/>
      <c r="BQ7" s="158"/>
      <c r="BR7" s="158"/>
    </row>
    <row r="8" spans="1:70" s="159" customFormat="1" ht="29.25" customHeight="1" x14ac:dyDescent="0.35">
      <c r="A8" s="166"/>
      <c r="B8" s="167"/>
      <c r="C8" s="168"/>
      <c r="D8" s="168"/>
      <c r="E8" s="168"/>
      <c r="F8" s="168"/>
      <c r="G8" s="168"/>
      <c r="H8" s="168"/>
      <c r="I8" s="168"/>
      <c r="J8" s="168"/>
      <c r="K8" s="168"/>
      <c r="L8" s="168"/>
      <c r="M8" s="168"/>
      <c r="N8" s="158"/>
      <c r="O8" s="158"/>
      <c r="P8" s="158"/>
      <c r="Q8" s="158"/>
      <c r="R8" s="158"/>
      <c r="S8" s="158"/>
      <c r="T8" s="158"/>
      <c r="U8" s="158"/>
      <c r="V8" s="158"/>
      <c r="W8" s="158"/>
      <c r="X8" s="158"/>
      <c r="Y8" s="158"/>
      <c r="Z8" s="158"/>
      <c r="AA8" s="158"/>
      <c r="AB8" s="158"/>
      <c r="AC8" s="158"/>
      <c r="AD8" s="158"/>
      <c r="AE8" s="158"/>
      <c r="AF8" s="158"/>
      <c r="AG8" s="158"/>
      <c r="AH8" s="158"/>
      <c r="AI8" s="158"/>
      <c r="AJ8" s="158"/>
      <c r="AK8" s="158"/>
      <c r="AL8" s="158"/>
      <c r="AM8" s="158"/>
      <c r="AN8" s="158"/>
      <c r="AO8" s="158"/>
      <c r="AP8" s="158"/>
      <c r="AQ8" s="158"/>
      <c r="AR8" s="158"/>
      <c r="AS8" s="158"/>
      <c r="AT8" s="158"/>
      <c r="AU8" s="158"/>
      <c r="AV8" s="158"/>
      <c r="AW8" s="158"/>
      <c r="AX8" s="158"/>
      <c r="AY8" s="158"/>
      <c r="AZ8" s="158"/>
      <c r="BA8" s="158"/>
      <c r="BB8" s="158"/>
      <c r="BC8" s="158"/>
      <c r="BD8" s="158"/>
      <c r="BE8" s="158"/>
      <c r="BF8" s="158"/>
      <c r="BG8" s="158"/>
      <c r="BH8" s="158"/>
      <c r="BI8" s="158"/>
      <c r="BJ8" s="158"/>
      <c r="BK8" s="158"/>
      <c r="BL8" s="158"/>
      <c r="BM8" s="158"/>
      <c r="BN8" s="158"/>
      <c r="BO8" s="158"/>
      <c r="BP8" s="158"/>
      <c r="BQ8" s="158"/>
      <c r="BR8" s="158"/>
    </row>
    <row r="9" spans="1:70" s="159" customFormat="1" ht="177.75" customHeight="1" x14ac:dyDescent="0.35">
      <c r="A9" s="492" t="s">
        <v>942</v>
      </c>
      <c r="B9" s="493"/>
      <c r="C9" s="493"/>
      <c r="D9" s="493"/>
      <c r="E9" s="493"/>
      <c r="F9" s="493"/>
      <c r="G9" s="493"/>
      <c r="H9" s="493"/>
      <c r="I9" s="493"/>
      <c r="J9" s="493"/>
      <c r="K9" s="493"/>
      <c r="L9" s="493"/>
      <c r="M9" s="493"/>
      <c r="N9" s="158"/>
      <c r="O9" s="158"/>
      <c r="P9" s="158"/>
      <c r="Q9" s="158"/>
      <c r="R9" s="158"/>
      <c r="S9" s="158"/>
      <c r="T9" s="158"/>
      <c r="U9" s="158"/>
      <c r="V9" s="158"/>
      <c r="W9" s="158"/>
      <c r="X9" s="158"/>
      <c r="Y9" s="158"/>
      <c r="Z9" s="158"/>
      <c r="AA9" s="158"/>
      <c r="AB9" s="158"/>
      <c r="AC9" s="158"/>
      <c r="AD9" s="158"/>
      <c r="AE9" s="158"/>
      <c r="AF9" s="158"/>
      <c r="AG9" s="158"/>
      <c r="AH9" s="158"/>
      <c r="AI9" s="158"/>
      <c r="AJ9" s="158"/>
      <c r="AK9" s="158"/>
      <c r="AL9" s="158"/>
      <c r="AM9" s="158"/>
      <c r="AN9" s="158"/>
      <c r="AO9" s="158"/>
      <c r="AP9" s="158"/>
      <c r="AQ9" s="158"/>
      <c r="AR9" s="158"/>
      <c r="AS9" s="158"/>
      <c r="AT9" s="158"/>
      <c r="AU9" s="158"/>
      <c r="AV9" s="158"/>
      <c r="AW9" s="158"/>
      <c r="AX9" s="158"/>
      <c r="AY9" s="158"/>
      <c r="AZ9" s="158"/>
      <c r="BA9" s="158"/>
      <c r="BB9" s="158"/>
      <c r="BC9" s="158"/>
      <c r="BD9" s="158"/>
      <c r="BE9" s="158"/>
      <c r="BF9" s="158"/>
      <c r="BG9" s="158"/>
      <c r="BH9" s="158"/>
      <c r="BI9" s="158"/>
      <c r="BJ9" s="158"/>
      <c r="BK9" s="158"/>
      <c r="BL9" s="158"/>
      <c r="BM9" s="158"/>
      <c r="BN9" s="158"/>
      <c r="BO9" s="158"/>
      <c r="BP9" s="158"/>
      <c r="BQ9" s="158"/>
      <c r="BR9" s="158"/>
    </row>
    <row r="10" spans="1:70" s="159" customFormat="1" ht="89.25" customHeight="1" x14ac:dyDescent="0.35">
      <c r="A10" s="494" t="s">
        <v>109</v>
      </c>
      <c r="B10" s="494" t="s">
        <v>110</v>
      </c>
      <c r="C10" s="494"/>
      <c r="D10" s="494" t="s">
        <v>122</v>
      </c>
      <c r="E10" s="494" t="s">
        <v>112</v>
      </c>
      <c r="F10" s="494" t="s">
        <v>113</v>
      </c>
      <c r="G10" s="494"/>
      <c r="H10" s="494"/>
      <c r="I10" s="494"/>
      <c r="J10" s="494"/>
      <c r="K10" s="494"/>
      <c r="L10" s="494"/>
      <c r="M10" s="494"/>
      <c r="N10" s="158"/>
      <c r="O10" s="158"/>
      <c r="P10" s="158"/>
      <c r="Q10" s="158"/>
      <c r="R10" s="158"/>
      <c r="S10" s="158"/>
      <c r="T10" s="158"/>
      <c r="U10" s="158"/>
      <c r="V10" s="158"/>
      <c r="W10" s="158"/>
      <c r="X10" s="158"/>
      <c r="Y10" s="158"/>
      <c r="Z10" s="158"/>
      <c r="AA10" s="158"/>
      <c r="AB10" s="158"/>
      <c r="AC10" s="158"/>
      <c r="AD10" s="158"/>
      <c r="AE10" s="158"/>
      <c r="AF10" s="158"/>
      <c r="AG10" s="158"/>
      <c r="AH10" s="158"/>
      <c r="AI10" s="158"/>
      <c r="AJ10" s="158"/>
      <c r="AK10" s="158"/>
      <c r="AL10" s="158"/>
      <c r="AM10" s="158"/>
      <c r="AN10" s="158"/>
      <c r="AO10" s="158"/>
      <c r="AP10" s="158"/>
      <c r="AQ10" s="158"/>
      <c r="AR10" s="158"/>
      <c r="AS10" s="158"/>
      <c r="AT10" s="158"/>
      <c r="AU10" s="158"/>
      <c r="AV10" s="158"/>
      <c r="AW10" s="158"/>
      <c r="AX10" s="158"/>
      <c r="AY10" s="158"/>
      <c r="AZ10" s="158"/>
      <c r="BA10" s="158"/>
      <c r="BB10" s="158"/>
      <c r="BC10" s="158"/>
      <c r="BD10" s="158"/>
      <c r="BE10" s="158"/>
      <c r="BF10" s="158"/>
      <c r="BG10" s="158"/>
      <c r="BH10" s="158"/>
      <c r="BI10" s="158"/>
      <c r="BJ10" s="158"/>
      <c r="BK10" s="158"/>
      <c r="BL10" s="158"/>
      <c r="BM10" s="158"/>
      <c r="BN10" s="158"/>
      <c r="BO10" s="158"/>
      <c r="BP10" s="158"/>
      <c r="BQ10" s="158"/>
      <c r="BR10" s="158"/>
    </row>
    <row r="11" spans="1:70" s="159" customFormat="1" ht="176.25" customHeight="1" x14ac:dyDescent="0.35">
      <c r="A11" s="494"/>
      <c r="B11" s="170" t="s">
        <v>114</v>
      </c>
      <c r="C11" s="170" t="s">
        <v>21</v>
      </c>
      <c r="D11" s="494"/>
      <c r="E11" s="494"/>
      <c r="F11" s="170" t="s">
        <v>115</v>
      </c>
      <c r="G11" s="170" t="s">
        <v>123</v>
      </c>
      <c r="H11" s="170" t="s">
        <v>117</v>
      </c>
      <c r="I11" s="170" t="s">
        <v>118</v>
      </c>
      <c r="J11" s="170" t="s">
        <v>124</v>
      </c>
      <c r="K11" s="170" t="s">
        <v>93</v>
      </c>
      <c r="L11" s="170" t="s">
        <v>120</v>
      </c>
      <c r="M11" s="170" t="s">
        <v>121</v>
      </c>
      <c r="N11" s="158"/>
      <c r="O11" s="158"/>
      <c r="P11" s="158"/>
      <c r="Q11" s="158"/>
      <c r="R11" s="158"/>
      <c r="S11" s="158"/>
      <c r="T11" s="158"/>
      <c r="U11" s="158"/>
      <c r="V11" s="158"/>
      <c r="W11" s="158"/>
      <c r="X11" s="158"/>
      <c r="Y11" s="158"/>
      <c r="Z11" s="158"/>
      <c r="AA11" s="158"/>
      <c r="AB11" s="158"/>
      <c r="AC11" s="158"/>
      <c r="AD11" s="158"/>
      <c r="AE11" s="158"/>
      <c r="AF11" s="158"/>
      <c r="AG11" s="158"/>
      <c r="AH11" s="158"/>
      <c r="AI11" s="158"/>
      <c r="AJ11" s="158"/>
      <c r="AK11" s="158"/>
      <c r="AL11" s="158"/>
      <c r="AM11" s="158"/>
      <c r="AN11" s="158"/>
      <c r="AO11" s="158"/>
      <c r="AP11" s="158"/>
      <c r="AQ11" s="158"/>
      <c r="AR11" s="158"/>
      <c r="AS11" s="158"/>
      <c r="AT11" s="158"/>
      <c r="AU11" s="158"/>
      <c r="AV11" s="158"/>
      <c r="AW11" s="158"/>
      <c r="AX11" s="158"/>
      <c r="AY11" s="158"/>
      <c r="AZ11" s="158"/>
      <c r="BA11" s="158"/>
      <c r="BB11" s="158"/>
      <c r="BC11" s="158"/>
      <c r="BD11" s="158"/>
      <c r="BE11" s="158"/>
      <c r="BF11" s="158"/>
      <c r="BG11" s="158"/>
      <c r="BH11" s="158"/>
      <c r="BI11" s="158"/>
      <c r="BJ11" s="158"/>
      <c r="BK11" s="158"/>
      <c r="BL11" s="158"/>
      <c r="BM11" s="158"/>
      <c r="BN11" s="158"/>
      <c r="BO11" s="158"/>
      <c r="BP11" s="158"/>
      <c r="BQ11" s="158"/>
      <c r="BR11" s="158"/>
    </row>
    <row r="12" spans="1:70" ht="117.75" customHeight="1" x14ac:dyDescent="0.3">
      <c r="A12" s="495" t="s">
        <v>125</v>
      </c>
      <c r="B12" s="433" t="str">
        <f>'Mapa final'!$B$13</f>
        <v>GBG_02</v>
      </c>
      <c r="C12" s="434"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466"/>
      <c r="E12" s="467"/>
      <c r="F12" s="463" t="str">
        <f t="shared" ref="F12:M12" si="0">IFERROR(IF($E12="","No",IF($E12="No","No"," "))," ")</f>
        <v>No</v>
      </c>
      <c r="G12" s="463" t="str">
        <f t="shared" si="0"/>
        <v>No</v>
      </c>
      <c r="H12" s="463" t="str">
        <f t="shared" si="0"/>
        <v>No</v>
      </c>
      <c r="I12" s="463" t="str">
        <f t="shared" si="0"/>
        <v>No</v>
      </c>
      <c r="J12" s="463" t="str">
        <f t="shared" si="0"/>
        <v>No</v>
      </c>
      <c r="K12" s="463" t="str">
        <f t="shared" si="0"/>
        <v>No</v>
      </c>
      <c r="L12" s="463" t="str">
        <f t="shared" si="0"/>
        <v>No</v>
      </c>
      <c r="M12" s="463" t="str">
        <f t="shared" si="0"/>
        <v>No</v>
      </c>
      <c r="N12" s="163"/>
      <c r="O12" s="163"/>
      <c r="P12" s="163"/>
      <c r="Q12" s="163"/>
      <c r="R12" s="163"/>
      <c r="S12" s="163"/>
      <c r="T12" s="163"/>
      <c r="U12" s="163"/>
      <c r="V12" s="163"/>
      <c r="W12" s="163"/>
      <c r="X12" s="163"/>
      <c r="Y12" s="163"/>
      <c r="Z12" s="163"/>
      <c r="AA12" s="163"/>
      <c r="AB12" s="163"/>
      <c r="AC12" s="163"/>
      <c r="AD12" s="163"/>
      <c r="AE12" s="163"/>
      <c r="AF12" s="163"/>
      <c r="AG12" s="163"/>
      <c r="AH12" s="163"/>
      <c r="AI12" s="163"/>
      <c r="AJ12" s="163"/>
      <c r="AK12" s="163"/>
      <c r="AL12" s="163"/>
      <c r="AM12" s="163"/>
      <c r="AN12" s="163"/>
      <c r="AO12" s="163"/>
      <c r="AP12" s="163"/>
      <c r="AQ12" s="163"/>
      <c r="AR12" s="163"/>
      <c r="AS12" s="163"/>
      <c r="AT12" s="163"/>
      <c r="AU12" s="163"/>
      <c r="AV12" s="163"/>
      <c r="AW12" s="163"/>
      <c r="AX12" s="163"/>
      <c r="AY12" s="163"/>
      <c r="AZ12" s="163"/>
      <c r="BA12" s="163"/>
      <c r="BB12" s="163"/>
      <c r="BC12" s="163"/>
      <c r="BD12" s="163"/>
      <c r="BE12" s="163"/>
      <c r="BF12" s="163"/>
      <c r="BG12" s="163"/>
      <c r="BH12" s="163"/>
      <c r="BI12" s="163"/>
      <c r="BJ12" s="163"/>
      <c r="BK12" s="163"/>
      <c r="BL12" s="163"/>
      <c r="BM12" s="163"/>
      <c r="BN12" s="163"/>
      <c r="BO12" s="163"/>
      <c r="BP12" s="163"/>
      <c r="BQ12" s="163"/>
      <c r="BR12" s="163"/>
    </row>
    <row r="13" spans="1:70" ht="117.75" customHeight="1" x14ac:dyDescent="0.3">
      <c r="A13" s="495"/>
      <c r="B13" s="433"/>
      <c r="C13" s="434"/>
      <c r="D13" s="466"/>
      <c r="E13" s="467"/>
      <c r="F13" s="463"/>
      <c r="G13" s="463"/>
      <c r="H13" s="463"/>
      <c r="I13" s="463"/>
      <c r="J13" s="463"/>
      <c r="K13" s="463"/>
      <c r="L13" s="463"/>
      <c r="M13" s="463"/>
      <c r="N13" s="163"/>
      <c r="O13" s="163"/>
      <c r="P13" s="163"/>
      <c r="Q13" s="163"/>
      <c r="R13" s="163"/>
      <c r="S13" s="163"/>
      <c r="T13" s="163"/>
      <c r="U13" s="163"/>
      <c r="V13" s="163"/>
      <c r="W13" s="163"/>
      <c r="X13" s="163"/>
      <c r="Y13" s="163"/>
      <c r="Z13" s="163"/>
      <c r="AA13" s="163"/>
      <c r="AB13" s="163"/>
      <c r="AC13" s="163"/>
      <c r="AD13" s="163"/>
      <c r="AE13" s="163"/>
      <c r="AF13" s="163"/>
      <c r="AG13" s="163"/>
      <c r="AH13" s="163"/>
      <c r="AI13" s="163"/>
      <c r="AJ13" s="163"/>
      <c r="AK13" s="163"/>
      <c r="AL13" s="163"/>
      <c r="AM13" s="163"/>
      <c r="AN13" s="163"/>
      <c r="AO13" s="163"/>
      <c r="AP13" s="163"/>
      <c r="AQ13" s="163"/>
      <c r="AR13" s="163"/>
      <c r="AS13" s="163"/>
      <c r="AT13" s="163"/>
      <c r="AU13" s="163"/>
      <c r="AV13" s="163"/>
      <c r="AW13" s="163"/>
      <c r="AX13" s="163"/>
      <c r="AY13" s="163"/>
      <c r="AZ13" s="163"/>
      <c r="BA13" s="163"/>
      <c r="BB13" s="163"/>
      <c r="BC13" s="163"/>
      <c r="BD13" s="163"/>
      <c r="BE13" s="163"/>
      <c r="BF13" s="163"/>
      <c r="BG13" s="163"/>
      <c r="BH13" s="163"/>
      <c r="BI13" s="163"/>
      <c r="BJ13" s="163"/>
      <c r="BK13" s="163"/>
      <c r="BL13" s="163"/>
      <c r="BM13" s="163"/>
      <c r="BN13" s="163"/>
      <c r="BO13" s="163"/>
      <c r="BP13" s="163"/>
      <c r="BQ13" s="163"/>
      <c r="BR13" s="163"/>
    </row>
    <row r="14" spans="1:70" ht="117.75" customHeight="1" x14ac:dyDescent="0.3">
      <c r="A14" s="495"/>
      <c r="B14" s="433"/>
      <c r="C14" s="434"/>
      <c r="D14" s="466"/>
      <c r="E14" s="467"/>
      <c r="F14" s="463"/>
      <c r="G14" s="463"/>
      <c r="H14" s="463"/>
      <c r="I14" s="463"/>
      <c r="J14" s="463"/>
      <c r="K14" s="463"/>
      <c r="L14" s="463"/>
      <c r="M14" s="463"/>
      <c r="N14" s="163"/>
      <c r="O14" s="163"/>
      <c r="P14" s="163"/>
      <c r="Q14" s="163"/>
      <c r="R14" s="163"/>
      <c r="S14" s="163"/>
      <c r="T14" s="163"/>
      <c r="U14" s="163"/>
      <c r="V14" s="163"/>
      <c r="W14" s="163"/>
      <c r="X14" s="163"/>
      <c r="Y14" s="163"/>
      <c r="Z14" s="163"/>
      <c r="AA14" s="163"/>
      <c r="AB14" s="163"/>
      <c r="AC14" s="163"/>
      <c r="AD14" s="163"/>
      <c r="AE14" s="163"/>
      <c r="AF14" s="163"/>
      <c r="AG14" s="163"/>
      <c r="AH14" s="163"/>
      <c r="AI14" s="163"/>
      <c r="AJ14" s="163"/>
      <c r="AK14" s="163"/>
      <c r="AL14" s="163"/>
      <c r="AM14" s="163"/>
      <c r="AN14" s="163"/>
      <c r="AO14" s="163"/>
      <c r="AP14" s="163"/>
      <c r="AQ14" s="163"/>
      <c r="AR14" s="163"/>
      <c r="AS14" s="163"/>
      <c r="AT14" s="163"/>
      <c r="AU14" s="163"/>
      <c r="AV14" s="163"/>
      <c r="AW14" s="163"/>
      <c r="AX14" s="163"/>
      <c r="AY14" s="163"/>
      <c r="AZ14" s="163"/>
      <c r="BA14" s="163"/>
      <c r="BB14" s="163"/>
      <c r="BC14" s="163"/>
      <c r="BD14" s="163"/>
      <c r="BE14" s="163"/>
      <c r="BF14" s="163"/>
      <c r="BG14" s="163"/>
      <c r="BH14" s="163"/>
      <c r="BI14" s="163"/>
      <c r="BJ14" s="163"/>
      <c r="BK14" s="163"/>
      <c r="BL14" s="163"/>
      <c r="BM14" s="163"/>
      <c r="BN14" s="163"/>
      <c r="BO14" s="163"/>
      <c r="BP14" s="163"/>
      <c r="BQ14" s="163"/>
      <c r="BR14" s="163"/>
    </row>
    <row r="15" spans="1:70" ht="117.75" customHeight="1" x14ac:dyDescent="0.3">
      <c r="A15" s="495"/>
      <c r="B15" s="433" t="str">
        <f>'Mapa final'!$B$15</f>
        <v>GBG_03</v>
      </c>
      <c r="C15" s="434" t="str">
        <f>'Mapa final'!$H$15</f>
        <v>Posibilidad de afectación económica y reputacional por demandas legales y sanciones, debido a la omisión de la declaración de impedimento o recusación ante la posibilidad real o aparente de un conflicto de interés.</v>
      </c>
      <c r="D15" s="466"/>
      <c r="E15" s="467"/>
      <c r="F15" s="463" t="str">
        <f t="shared" ref="F15:M39" si="1">IFERROR(IF($E15="","No",IF($E15="No","No"," "))," ")</f>
        <v>No</v>
      </c>
      <c r="G15" s="463" t="str">
        <f t="shared" si="1"/>
        <v>No</v>
      </c>
      <c r="H15" s="463" t="str">
        <f t="shared" si="1"/>
        <v>No</v>
      </c>
      <c r="I15" s="463" t="str">
        <f t="shared" si="1"/>
        <v>No</v>
      </c>
      <c r="J15" s="463" t="str">
        <f t="shared" si="1"/>
        <v>No</v>
      </c>
      <c r="K15" s="463" t="str">
        <f t="shared" si="1"/>
        <v>No</v>
      </c>
      <c r="L15" s="463" t="str">
        <f t="shared" si="1"/>
        <v>No</v>
      </c>
      <c r="M15" s="463" t="str">
        <f t="shared" si="1"/>
        <v>No</v>
      </c>
      <c r="N15" s="163"/>
      <c r="O15" s="163"/>
      <c r="P15" s="163"/>
      <c r="Q15" s="163"/>
      <c r="R15" s="163"/>
      <c r="S15" s="163"/>
      <c r="T15" s="163"/>
      <c r="U15" s="163"/>
      <c r="V15" s="163"/>
      <c r="W15" s="163"/>
      <c r="X15" s="163"/>
      <c r="Y15" s="163"/>
      <c r="Z15" s="163"/>
      <c r="AA15" s="163"/>
      <c r="AB15" s="163"/>
      <c r="AC15" s="163"/>
      <c r="AD15" s="163"/>
      <c r="AE15" s="163"/>
      <c r="AF15" s="163"/>
      <c r="AG15" s="163"/>
      <c r="AH15" s="163"/>
      <c r="AI15" s="163"/>
      <c r="AJ15" s="163"/>
      <c r="AK15" s="163"/>
      <c r="AL15" s="163"/>
      <c r="AM15" s="163"/>
      <c r="AN15" s="163"/>
      <c r="AO15" s="163"/>
      <c r="AP15" s="163"/>
      <c r="AQ15" s="163"/>
      <c r="AR15" s="163"/>
      <c r="AS15" s="163"/>
      <c r="AT15" s="163"/>
      <c r="AU15" s="163"/>
      <c r="AV15" s="163"/>
      <c r="AW15" s="163"/>
      <c r="AX15" s="163"/>
      <c r="AY15" s="163"/>
      <c r="AZ15" s="163"/>
      <c r="BA15" s="163"/>
      <c r="BB15" s="163"/>
      <c r="BC15" s="163"/>
      <c r="BD15" s="163"/>
      <c r="BE15" s="163"/>
      <c r="BF15" s="163"/>
      <c r="BG15" s="163"/>
      <c r="BH15" s="163"/>
      <c r="BI15" s="163"/>
      <c r="BJ15" s="163"/>
      <c r="BK15" s="163"/>
      <c r="BL15" s="163"/>
      <c r="BM15" s="163"/>
      <c r="BN15" s="163"/>
      <c r="BO15" s="163"/>
      <c r="BP15" s="163"/>
      <c r="BQ15" s="163"/>
      <c r="BR15" s="163"/>
    </row>
    <row r="16" spans="1:70" ht="117.75" customHeight="1" x14ac:dyDescent="0.3">
      <c r="A16" s="495"/>
      <c r="B16" s="433"/>
      <c r="C16" s="434"/>
      <c r="D16" s="466"/>
      <c r="E16" s="467"/>
      <c r="F16" s="463"/>
      <c r="G16" s="463"/>
      <c r="H16" s="463"/>
      <c r="I16" s="463"/>
      <c r="J16" s="463"/>
      <c r="K16" s="463"/>
      <c r="L16" s="463"/>
      <c r="M16" s="463"/>
      <c r="N16" s="163"/>
      <c r="O16" s="163"/>
      <c r="P16" s="163"/>
      <c r="Q16" s="163"/>
      <c r="R16" s="163"/>
      <c r="S16" s="163"/>
      <c r="T16" s="163"/>
      <c r="U16" s="163"/>
      <c r="V16" s="163"/>
      <c r="W16" s="163"/>
      <c r="X16" s="163"/>
      <c r="Y16" s="163"/>
      <c r="Z16" s="163"/>
      <c r="AA16" s="163"/>
      <c r="AB16" s="163"/>
      <c r="AC16" s="163"/>
      <c r="AD16" s="163"/>
      <c r="AE16" s="163"/>
      <c r="AF16" s="163"/>
      <c r="AG16" s="163"/>
      <c r="AH16" s="163"/>
      <c r="AI16" s="163"/>
      <c r="AJ16" s="163"/>
      <c r="AK16" s="163"/>
      <c r="AL16" s="163"/>
      <c r="AM16" s="163"/>
      <c r="AN16" s="163"/>
      <c r="AO16" s="163"/>
      <c r="AP16" s="163"/>
      <c r="AQ16" s="163"/>
      <c r="AR16" s="163"/>
      <c r="AS16" s="163"/>
      <c r="AT16" s="163"/>
      <c r="AU16" s="163"/>
      <c r="AV16" s="163"/>
      <c r="AW16" s="163"/>
      <c r="AX16" s="163"/>
      <c r="AY16" s="163"/>
      <c r="AZ16" s="163"/>
      <c r="BA16" s="163"/>
      <c r="BB16" s="163"/>
      <c r="BC16" s="163"/>
      <c r="BD16" s="163"/>
      <c r="BE16" s="163"/>
      <c r="BF16" s="163"/>
      <c r="BG16" s="163"/>
      <c r="BH16" s="163"/>
      <c r="BI16" s="163"/>
      <c r="BJ16" s="163"/>
      <c r="BK16" s="163"/>
      <c r="BL16" s="163"/>
      <c r="BM16" s="163"/>
      <c r="BN16" s="163"/>
      <c r="BO16" s="163"/>
      <c r="BP16" s="163"/>
      <c r="BQ16" s="163"/>
      <c r="BR16" s="163"/>
    </row>
    <row r="17" spans="1:70" ht="117.75" customHeight="1" x14ac:dyDescent="0.3">
      <c r="A17" s="495"/>
      <c r="B17" s="433"/>
      <c r="C17" s="434"/>
      <c r="D17" s="466"/>
      <c r="E17" s="467"/>
      <c r="F17" s="463"/>
      <c r="G17" s="463"/>
      <c r="H17" s="463"/>
      <c r="I17" s="463"/>
      <c r="J17" s="463"/>
      <c r="K17" s="463"/>
      <c r="L17" s="463"/>
      <c r="M17" s="463"/>
      <c r="N17" s="163"/>
      <c r="O17" s="163"/>
      <c r="P17" s="163"/>
      <c r="Q17" s="163"/>
      <c r="R17" s="163"/>
      <c r="S17" s="163"/>
      <c r="T17" s="163"/>
      <c r="U17" s="163"/>
      <c r="V17" s="163"/>
      <c r="W17" s="163"/>
      <c r="X17" s="163"/>
      <c r="Y17" s="163"/>
      <c r="Z17" s="163"/>
      <c r="AA17" s="163"/>
      <c r="AB17" s="163"/>
      <c r="AC17" s="163"/>
      <c r="AD17" s="163"/>
      <c r="AE17" s="163"/>
      <c r="AF17" s="163"/>
      <c r="AG17" s="163"/>
      <c r="AH17" s="163"/>
      <c r="AI17" s="163"/>
      <c r="AJ17" s="163"/>
      <c r="AK17" s="163"/>
      <c r="AL17" s="163"/>
      <c r="AM17" s="163"/>
      <c r="AN17" s="163"/>
      <c r="AO17" s="163"/>
      <c r="AP17" s="163"/>
      <c r="AQ17" s="163"/>
      <c r="AR17" s="163"/>
      <c r="AS17" s="163"/>
      <c r="AT17" s="163"/>
      <c r="AU17" s="163"/>
      <c r="AV17" s="163"/>
      <c r="AW17" s="163"/>
      <c r="AX17" s="163"/>
      <c r="AY17" s="163"/>
      <c r="AZ17" s="163"/>
      <c r="BA17" s="163"/>
      <c r="BB17" s="163"/>
      <c r="BC17" s="163"/>
      <c r="BD17" s="163"/>
      <c r="BE17" s="163"/>
      <c r="BF17" s="163"/>
      <c r="BG17" s="163"/>
      <c r="BH17" s="163"/>
      <c r="BI17" s="163"/>
      <c r="BJ17" s="163"/>
      <c r="BK17" s="163"/>
      <c r="BL17" s="163"/>
      <c r="BM17" s="163"/>
      <c r="BN17" s="163"/>
      <c r="BO17" s="163"/>
      <c r="BP17" s="163"/>
      <c r="BQ17" s="163"/>
      <c r="BR17" s="163"/>
    </row>
    <row r="18" spans="1:70" ht="117.75" customHeight="1" x14ac:dyDescent="0.3">
      <c r="A18" s="495"/>
      <c r="B18" s="433" t="str">
        <f>'Mapa final'!$B$17</f>
        <v>OAP_01</v>
      </c>
      <c r="C18" s="434" t="str">
        <f>'Mapa final'!$H$17</f>
        <v>Posibilidad de afectación económica por la no prestación integral de los servicios de salud a los usuarios del  HOMIL,  debido a la inadecuada identificación de necesidades para la adquisición de bienes y/o servicios.</v>
      </c>
      <c r="D18" s="466"/>
      <c r="E18" s="467"/>
      <c r="F18" s="463" t="str">
        <f t="shared" ref="F18" si="2">IFERROR(IF($E18="","No",IF($E18="No","No"," "))," ")</f>
        <v>No</v>
      </c>
      <c r="G18" s="463" t="str">
        <f t="shared" si="1"/>
        <v>No</v>
      </c>
      <c r="H18" s="463" t="str">
        <f t="shared" si="1"/>
        <v>No</v>
      </c>
      <c r="I18" s="463" t="str">
        <f t="shared" si="1"/>
        <v>No</v>
      </c>
      <c r="J18" s="463" t="str">
        <f t="shared" si="1"/>
        <v>No</v>
      </c>
      <c r="K18" s="463" t="str">
        <f t="shared" si="1"/>
        <v>No</v>
      </c>
      <c r="L18" s="463" t="str">
        <f t="shared" si="1"/>
        <v>No</v>
      </c>
      <c r="M18" s="463" t="str">
        <f t="shared" si="1"/>
        <v>No</v>
      </c>
      <c r="N18" s="163"/>
      <c r="O18" s="163"/>
      <c r="P18" s="163"/>
      <c r="Q18" s="163"/>
      <c r="R18" s="163"/>
      <c r="S18" s="163"/>
      <c r="T18" s="163"/>
      <c r="U18" s="163"/>
      <c r="V18" s="163"/>
      <c r="W18" s="163"/>
      <c r="X18" s="163"/>
      <c r="Y18" s="163"/>
      <c r="Z18" s="163"/>
      <c r="AA18" s="163"/>
      <c r="AB18" s="163"/>
      <c r="AC18" s="163"/>
      <c r="AD18" s="163"/>
      <c r="AE18" s="163"/>
      <c r="AF18" s="163"/>
      <c r="AG18" s="163"/>
      <c r="AH18" s="163"/>
      <c r="AI18" s="163"/>
      <c r="AJ18" s="163"/>
      <c r="AK18" s="163"/>
      <c r="AL18" s="163"/>
      <c r="AM18" s="163"/>
      <c r="AN18" s="163"/>
      <c r="AO18" s="163"/>
      <c r="AP18" s="163"/>
      <c r="AQ18" s="163"/>
      <c r="AR18" s="163"/>
      <c r="AS18" s="163"/>
      <c r="AT18" s="163"/>
      <c r="AU18" s="163"/>
      <c r="AV18" s="163"/>
      <c r="AW18" s="163"/>
      <c r="AX18" s="163"/>
      <c r="AY18" s="163"/>
      <c r="AZ18" s="163"/>
      <c r="BA18" s="163"/>
      <c r="BB18" s="163"/>
      <c r="BC18" s="163"/>
      <c r="BD18" s="163"/>
      <c r="BE18" s="163"/>
      <c r="BF18" s="163"/>
      <c r="BG18" s="163"/>
      <c r="BH18" s="163"/>
      <c r="BI18" s="163"/>
      <c r="BJ18" s="163"/>
      <c r="BK18" s="163"/>
      <c r="BL18" s="163"/>
      <c r="BM18" s="163"/>
      <c r="BN18" s="163"/>
      <c r="BO18" s="163"/>
      <c r="BP18" s="163"/>
      <c r="BQ18" s="163"/>
      <c r="BR18" s="163"/>
    </row>
    <row r="19" spans="1:70" ht="117.75" customHeight="1" x14ac:dyDescent="0.3">
      <c r="A19" s="495"/>
      <c r="B19" s="433"/>
      <c r="C19" s="434"/>
      <c r="D19" s="466"/>
      <c r="E19" s="467"/>
      <c r="F19" s="463"/>
      <c r="G19" s="463"/>
      <c r="H19" s="463"/>
      <c r="I19" s="463"/>
      <c r="J19" s="463"/>
      <c r="K19" s="463"/>
      <c r="L19" s="463"/>
      <c r="M19" s="463"/>
      <c r="N19" s="163"/>
      <c r="O19" s="163"/>
      <c r="P19" s="163"/>
      <c r="Q19" s="163"/>
      <c r="R19" s="163"/>
      <c r="S19" s="163"/>
      <c r="T19" s="163"/>
      <c r="U19" s="163"/>
      <c r="V19" s="163"/>
      <c r="W19" s="163"/>
      <c r="X19" s="163"/>
      <c r="Y19" s="163"/>
      <c r="Z19" s="163"/>
      <c r="AA19" s="163"/>
      <c r="AB19" s="163"/>
      <c r="AC19" s="163"/>
      <c r="AD19" s="163"/>
      <c r="AE19" s="163"/>
      <c r="AF19" s="163"/>
      <c r="AG19" s="163"/>
      <c r="AH19" s="163"/>
      <c r="AI19" s="163"/>
      <c r="AJ19" s="163"/>
      <c r="AK19" s="163"/>
      <c r="AL19" s="163"/>
      <c r="AM19" s="163"/>
      <c r="AN19" s="163"/>
      <c r="AO19" s="163"/>
      <c r="AP19" s="163"/>
      <c r="AQ19" s="163"/>
      <c r="AR19" s="163"/>
      <c r="AS19" s="163"/>
      <c r="AT19" s="163"/>
      <c r="AU19" s="163"/>
      <c r="AV19" s="163"/>
      <c r="AW19" s="163"/>
      <c r="AX19" s="163"/>
      <c r="AY19" s="163"/>
      <c r="AZ19" s="163"/>
      <c r="BA19" s="163"/>
      <c r="BB19" s="163"/>
      <c r="BC19" s="163"/>
      <c r="BD19" s="163"/>
      <c r="BE19" s="163"/>
      <c r="BF19" s="163"/>
      <c r="BG19" s="163"/>
      <c r="BH19" s="163"/>
      <c r="BI19" s="163"/>
      <c r="BJ19" s="163"/>
      <c r="BK19" s="163"/>
      <c r="BL19" s="163"/>
      <c r="BM19" s="163"/>
      <c r="BN19" s="163"/>
      <c r="BO19" s="163"/>
      <c r="BP19" s="163"/>
      <c r="BQ19" s="163"/>
      <c r="BR19" s="163"/>
    </row>
    <row r="20" spans="1:70" ht="117.75" customHeight="1" x14ac:dyDescent="0.3">
      <c r="A20" s="495"/>
      <c r="B20" s="433"/>
      <c r="C20" s="434"/>
      <c r="D20" s="466"/>
      <c r="E20" s="467"/>
      <c r="F20" s="463"/>
      <c r="G20" s="463"/>
      <c r="H20" s="463"/>
      <c r="I20" s="463"/>
      <c r="J20" s="463"/>
      <c r="K20" s="463"/>
      <c r="L20" s="463"/>
      <c r="M20" s="463"/>
      <c r="N20" s="163"/>
      <c r="O20" s="163"/>
      <c r="P20" s="163"/>
      <c r="Q20" s="163"/>
      <c r="R20" s="163"/>
      <c r="S20" s="163"/>
      <c r="T20" s="163"/>
      <c r="U20" s="163"/>
      <c r="V20" s="163"/>
      <c r="W20" s="163"/>
      <c r="X20" s="163"/>
      <c r="Y20" s="163"/>
      <c r="Z20" s="163"/>
      <c r="AA20" s="163"/>
      <c r="AB20" s="163"/>
      <c r="AC20" s="163"/>
      <c r="AD20" s="163"/>
      <c r="AE20" s="163"/>
      <c r="AF20" s="163"/>
      <c r="AG20" s="163"/>
      <c r="AH20" s="163"/>
      <c r="AI20" s="163"/>
      <c r="AJ20" s="163"/>
      <c r="AK20" s="163"/>
      <c r="AL20" s="163"/>
      <c r="AM20" s="163"/>
      <c r="AN20" s="163"/>
      <c r="AO20" s="163"/>
      <c r="AP20" s="163"/>
      <c r="AQ20" s="163"/>
      <c r="AR20" s="163"/>
      <c r="AS20" s="163"/>
      <c r="AT20" s="163"/>
      <c r="AU20" s="163"/>
      <c r="AV20" s="163"/>
      <c r="AW20" s="163"/>
      <c r="AX20" s="163"/>
      <c r="AY20" s="163"/>
      <c r="AZ20" s="163"/>
      <c r="BA20" s="163"/>
      <c r="BB20" s="163"/>
      <c r="BC20" s="163"/>
      <c r="BD20" s="163"/>
      <c r="BE20" s="163"/>
      <c r="BF20" s="163"/>
      <c r="BG20" s="163"/>
      <c r="BH20" s="163"/>
      <c r="BI20" s="163"/>
      <c r="BJ20" s="163"/>
      <c r="BK20" s="163"/>
      <c r="BL20" s="163"/>
      <c r="BM20" s="163"/>
      <c r="BN20" s="163"/>
      <c r="BO20" s="163"/>
      <c r="BP20" s="163"/>
      <c r="BQ20" s="163"/>
      <c r="BR20" s="163"/>
    </row>
    <row r="21" spans="1:70" ht="117.75" customHeight="1" x14ac:dyDescent="0.3">
      <c r="A21" s="495"/>
      <c r="B21" s="433" t="str">
        <f>'Mapa final'!$B$20</f>
        <v>OAP_02</v>
      </c>
      <c r="C21" s="434" t="str">
        <f>'Mapa final'!$H$20</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66"/>
      <c r="E21" s="467"/>
      <c r="F21" s="463" t="str">
        <f t="shared" ref="F21" si="3">IFERROR(IF($E21="","No",IF($E21="No","No"," "))," ")</f>
        <v>No</v>
      </c>
      <c r="G21" s="463" t="str">
        <f t="shared" si="1"/>
        <v>No</v>
      </c>
      <c r="H21" s="463" t="str">
        <f t="shared" si="1"/>
        <v>No</v>
      </c>
      <c r="I21" s="463" t="str">
        <f t="shared" si="1"/>
        <v>No</v>
      </c>
      <c r="J21" s="463" t="str">
        <f t="shared" si="1"/>
        <v>No</v>
      </c>
      <c r="K21" s="463" t="str">
        <f t="shared" si="1"/>
        <v>No</v>
      </c>
      <c r="L21" s="463" t="str">
        <f t="shared" si="1"/>
        <v>No</v>
      </c>
      <c r="M21" s="463" t="str">
        <f t="shared" si="1"/>
        <v>No</v>
      </c>
      <c r="N21" s="163"/>
      <c r="O21" s="163"/>
      <c r="P21" s="163"/>
      <c r="Q21" s="163"/>
      <c r="R21" s="163"/>
      <c r="S21" s="163"/>
      <c r="T21" s="163"/>
      <c r="U21" s="163"/>
      <c r="V21" s="163"/>
      <c r="W21" s="163"/>
      <c r="X21" s="163"/>
      <c r="Y21" s="163"/>
      <c r="Z21" s="163"/>
      <c r="AA21" s="163"/>
      <c r="AB21" s="163"/>
      <c r="AC21" s="163"/>
      <c r="AD21" s="163"/>
      <c r="AE21" s="163"/>
      <c r="AF21" s="163"/>
      <c r="AG21" s="163"/>
      <c r="AH21" s="163"/>
      <c r="AI21" s="163"/>
      <c r="AJ21" s="163"/>
      <c r="AK21" s="163"/>
      <c r="AL21" s="163"/>
      <c r="AM21" s="163"/>
      <c r="AN21" s="163"/>
      <c r="AO21" s="163"/>
      <c r="AP21" s="163"/>
      <c r="AQ21" s="163"/>
      <c r="AR21" s="163"/>
      <c r="AS21" s="163"/>
      <c r="AT21" s="163"/>
      <c r="AU21" s="163"/>
      <c r="AV21" s="163"/>
      <c r="AW21" s="163"/>
      <c r="AX21" s="163"/>
      <c r="AY21" s="163"/>
      <c r="AZ21" s="163"/>
      <c r="BA21" s="163"/>
      <c r="BB21" s="163"/>
      <c r="BC21" s="163"/>
      <c r="BD21" s="163"/>
      <c r="BE21" s="163"/>
      <c r="BF21" s="163"/>
      <c r="BG21" s="163"/>
      <c r="BH21" s="163"/>
      <c r="BI21" s="163"/>
      <c r="BJ21" s="163"/>
      <c r="BK21" s="163"/>
      <c r="BL21" s="163"/>
      <c r="BM21" s="163"/>
      <c r="BN21" s="163"/>
      <c r="BO21" s="163"/>
      <c r="BP21" s="163"/>
      <c r="BQ21" s="163"/>
      <c r="BR21" s="163"/>
    </row>
    <row r="22" spans="1:70" ht="117.75" customHeight="1" x14ac:dyDescent="0.3">
      <c r="A22" s="495"/>
      <c r="B22" s="433"/>
      <c r="C22" s="434"/>
      <c r="D22" s="466"/>
      <c r="E22" s="467"/>
      <c r="F22" s="463"/>
      <c r="G22" s="463"/>
      <c r="H22" s="463"/>
      <c r="I22" s="463"/>
      <c r="J22" s="463"/>
      <c r="K22" s="463"/>
      <c r="L22" s="463"/>
      <c r="M22" s="463"/>
      <c r="N22" s="163"/>
      <c r="O22" s="163"/>
      <c r="P22" s="163"/>
      <c r="Q22" s="163"/>
      <c r="R22" s="163"/>
      <c r="S22" s="163"/>
      <c r="T22" s="163"/>
      <c r="U22" s="163"/>
      <c r="V22" s="163"/>
      <c r="W22" s="163"/>
      <c r="X22" s="163"/>
      <c r="Y22" s="163"/>
      <c r="Z22" s="163"/>
      <c r="AA22" s="163"/>
      <c r="AB22" s="163"/>
      <c r="AC22" s="163"/>
      <c r="AD22" s="163"/>
      <c r="AE22" s="163"/>
      <c r="AF22" s="163"/>
      <c r="AG22" s="163"/>
      <c r="AH22" s="163"/>
      <c r="AI22" s="163"/>
      <c r="AJ22" s="163"/>
      <c r="AK22" s="163"/>
      <c r="AL22" s="163"/>
      <c r="AM22" s="163"/>
      <c r="AN22" s="163"/>
      <c r="AO22" s="163"/>
      <c r="AP22" s="163"/>
      <c r="AQ22" s="163"/>
      <c r="AR22" s="163"/>
      <c r="AS22" s="163"/>
      <c r="AT22" s="163"/>
      <c r="AU22" s="163"/>
      <c r="AV22" s="163"/>
      <c r="AW22" s="163"/>
      <c r="AX22" s="163"/>
      <c r="AY22" s="163"/>
      <c r="AZ22" s="163"/>
      <c r="BA22" s="163"/>
      <c r="BB22" s="163"/>
      <c r="BC22" s="163"/>
      <c r="BD22" s="163"/>
      <c r="BE22" s="163"/>
      <c r="BF22" s="163"/>
      <c r="BG22" s="163"/>
      <c r="BH22" s="163"/>
      <c r="BI22" s="163"/>
      <c r="BJ22" s="163"/>
      <c r="BK22" s="163"/>
      <c r="BL22" s="163"/>
      <c r="BM22" s="163"/>
      <c r="BN22" s="163"/>
      <c r="BO22" s="163"/>
      <c r="BP22" s="163"/>
      <c r="BQ22" s="163"/>
      <c r="BR22" s="163"/>
    </row>
    <row r="23" spans="1:70" ht="117.75" customHeight="1" x14ac:dyDescent="0.3">
      <c r="A23" s="495"/>
      <c r="B23" s="433"/>
      <c r="C23" s="434"/>
      <c r="D23" s="466"/>
      <c r="E23" s="467"/>
      <c r="F23" s="463"/>
      <c r="G23" s="463"/>
      <c r="H23" s="463"/>
      <c r="I23" s="463"/>
      <c r="J23" s="463"/>
      <c r="K23" s="463"/>
      <c r="L23" s="463"/>
      <c r="M23" s="463"/>
      <c r="N23" s="163"/>
      <c r="O23" s="163"/>
      <c r="P23" s="163"/>
      <c r="Q23" s="163"/>
      <c r="R23" s="163"/>
      <c r="S23" s="163"/>
      <c r="T23" s="163"/>
      <c r="U23" s="163"/>
      <c r="V23" s="163"/>
      <c r="W23" s="163"/>
      <c r="X23" s="163"/>
      <c r="Y23" s="163"/>
      <c r="Z23" s="163"/>
      <c r="AA23" s="163"/>
      <c r="AB23" s="163"/>
      <c r="AC23" s="163"/>
      <c r="AD23" s="163"/>
      <c r="AE23" s="163"/>
      <c r="AF23" s="163"/>
      <c r="AG23" s="163"/>
      <c r="AH23" s="163"/>
      <c r="AI23" s="163"/>
      <c r="AJ23" s="163"/>
      <c r="AK23" s="163"/>
      <c r="AL23" s="163"/>
      <c r="AM23" s="163"/>
      <c r="AN23" s="163"/>
      <c r="AO23" s="163"/>
      <c r="AP23" s="163"/>
      <c r="AQ23" s="163"/>
      <c r="AR23" s="163"/>
      <c r="AS23" s="163"/>
      <c r="AT23" s="163"/>
      <c r="AU23" s="163"/>
      <c r="AV23" s="163"/>
      <c r="AW23" s="163"/>
      <c r="AX23" s="163"/>
      <c r="AY23" s="163"/>
      <c r="AZ23" s="163"/>
      <c r="BA23" s="163"/>
      <c r="BB23" s="163"/>
      <c r="BC23" s="163"/>
      <c r="BD23" s="163"/>
      <c r="BE23" s="163"/>
      <c r="BF23" s="163"/>
      <c r="BG23" s="163"/>
      <c r="BH23" s="163"/>
      <c r="BI23" s="163"/>
      <c r="BJ23" s="163"/>
      <c r="BK23" s="163"/>
      <c r="BL23" s="163"/>
      <c r="BM23" s="163"/>
      <c r="BN23" s="163"/>
      <c r="BO23" s="163"/>
      <c r="BP23" s="163"/>
      <c r="BQ23" s="163"/>
      <c r="BR23" s="163"/>
    </row>
    <row r="24" spans="1:70" ht="117.75" customHeight="1" x14ac:dyDescent="0.3">
      <c r="A24" s="495"/>
      <c r="B24" s="433" t="str">
        <f>'Mapa final'!$B$22</f>
        <v>OAP_03</v>
      </c>
      <c r="C24" s="434" t="str">
        <f>'Mapa final'!$H$22</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466"/>
      <c r="E24" s="467"/>
      <c r="F24" s="463" t="str">
        <f t="shared" ref="F24" si="4">IFERROR(IF($E24="","No",IF($E24="No","No"," "))," ")</f>
        <v>No</v>
      </c>
      <c r="G24" s="463" t="str">
        <f t="shared" si="1"/>
        <v>No</v>
      </c>
      <c r="H24" s="463" t="str">
        <f t="shared" si="1"/>
        <v>No</v>
      </c>
      <c r="I24" s="463" t="str">
        <f t="shared" si="1"/>
        <v>No</v>
      </c>
      <c r="J24" s="463" t="str">
        <f t="shared" si="1"/>
        <v>No</v>
      </c>
      <c r="K24" s="463" t="str">
        <f t="shared" si="1"/>
        <v>No</v>
      </c>
      <c r="L24" s="463" t="str">
        <f t="shared" si="1"/>
        <v>No</v>
      </c>
      <c r="M24" s="463" t="str">
        <f t="shared" si="1"/>
        <v>No</v>
      </c>
      <c r="N24" s="163"/>
      <c r="O24" s="163"/>
      <c r="P24" s="163"/>
      <c r="Q24" s="163"/>
      <c r="R24" s="163"/>
      <c r="S24" s="163"/>
      <c r="T24" s="163"/>
      <c r="U24" s="163"/>
      <c r="V24" s="163"/>
      <c r="W24" s="163"/>
      <c r="X24" s="163"/>
      <c r="Y24" s="163"/>
      <c r="Z24" s="163"/>
      <c r="AA24" s="163"/>
      <c r="AB24" s="163"/>
      <c r="AC24" s="163"/>
      <c r="AD24" s="163"/>
      <c r="AE24" s="163"/>
      <c r="AF24" s="163"/>
      <c r="AG24" s="163"/>
      <c r="AH24" s="163"/>
      <c r="AI24" s="163"/>
      <c r="AJ24" s="163"/>
      <c r="AK24" s="163"/>
      <c r="AL24" s="163"/>
      <c r="AM24" s="163"/>
      <c r="AN24" s="163"/>
      <c r="AO24" s="163"/>
      <c r="AP24" s="163"/>
      <c r="AQ24" s="163"/>
      <c r="AR24" s="163"/>
      <c r="AS24" s="163"/>
      <c r="AT24" s="163"/>
      <c r="AU24" s="163"/>
      <c r="AV24" s="163"/>
      <c r="AW24" s="163"/>
      <c r="AX24" s="163"/>
      <c r="AY24" s="163"/>
      <c r="AZ24" s="163"/>
      <c r="BA24" s="163"/>
      <c r="BB24" s="163"/>
      <c r="BC24" s="163"/>
      <c r="BD24" s="163"/>
      <c r="BE24" s="163"/>
      <c r="BF24" s="163"/>
      <c r="BG24" s="163"/>
      <c r="BH24" s="163"/>
      <c r="BI24" s="163"/>
      <c r="BJ24" s="163"/>
      <c r="BK24" s="163"/>
      <c r="BL24" s="163"/>
      <c r="BM24" s="163"/>
      <c r="BN24" s="163"/>
      <c r="BO24" s="163"/>
      <c r="BP24" s="163"/>
      <c r="BQ24" s="163"/>
      <c r="BR24" s="163"/>
    </row>
    <row r="25" spans="1:70" ht="117.75" customHeight="1" x14ac:dyDescent="0.3">
      <c r="A25" s="495"/>
      <c r="B25" s="433"/>
      <c r="C25" s="434"/>
      <c r="D25" s="466"/>
      <c r="E25" s="467"/>
      <c r="F25" s="463"/>
      <c r="G25" s="463"/>
      <c r="H25" s="463"/>
      <c r="I25" s="463"/>
      <c r="J25" s="463"/>
      <c r="K25" s="463"/>
      <c r="L25" s="463"/>
      <c r="M25" s="463"/>
      <c r="N25" s="163"/>
      <c r="O25" s="163"/>
      <c r="P25" s="163"/>
      <c r="Q25" s="163"/>
      <c r="R25" s="163"/>
      <c r="S25" s="163"/>
      <c r="T25" s="163"/>
      <c r="U25" s="163"/>
      <c r="V25" s="163"/>
      <c r="W25" s="163"/>
      <c r="X25" s="163"/>
      <c r="Y25" s="163"/>
      <c r="Z25" s="163"/>
      <c r="AA25" s="163"/>
      <c r="AB25" s="163"/>
      <c r="AC25" s="163"/>
      <c r="AD25" s="163"/>
      <c r="AE25" s="163"/>
      <c r="AF25" s="163"/>
      <c r="AG25" s="163"/>
      <c r="AH25" s="163"/>
      <c r="AI25" s="163"/>
      <c r="AJ25" s="163"/>
      <c r="AK25" s="163"/>
      <c r="AL25" s="163"/>
      <c r="AM25" s="163"/>
      <c r="AN25" s="163"/>
      <c r="AO25" s="163"/>
      <c r="AP25" s="163"/>
      <c r="AQ25" s="163"/>
      <c r="AR25" s="163"/>
      <c r="AS25" s="163"/>
      <c r="AT25" s="163"/>
      <c r="AU25" s="163"/>
      <c r="AV25" s="163"/>
      <c r="AW25" s="163"/>
      <c r="AX25" s="163"/>
      <c r="AY25" s="163"/>
      <c r="AZ25" s="163"/>
      <c r="BA25" s="163"/>
      <c r="BB25" s="163"/>
      <c r="BC25" s="163"/>
      <c r="BD25" s="163"/>
      <c r="BE25" s="163"/>
      <c r="BF25" s="163"/>
      <c r="BG25" s="163"/>
      <c r="BH25" s="163"/>
      <c r="BI25" s="163"/>
      <c r="BJ25" s="163"/>
      <c r="BK25" s="163"/>
      <c r="BL25" s="163"/>
      <c r="BM25" s="163"/>
      <c r="BN25" s="163"/>
      <c r="BO25" s="163"/>
      <c r="BP25" s="163"/>
      <c r="BQ25" s="163"/>
      <c r="BR25" s="163"/>
    </row>
    <row r="26" spans="1:70" ht="117.75" customHeight="1" x14ac:dyDescent="0.3">
      <c r="A26" s="495"/>
      <c r="B26" s="433"/>
      <c r="C26" s="434"/>
      <c r="D26" s="466"/>
      <c r="E26" s="467"/>
      <c r="F26" s="463"/>
      <c r="G26" s="463"/>
      <c r="H26" s="463"/>
      <c r="I26" s="463"/>
      <c r="J26" s="463"/>
      <c r="K26" s="463"/>
      <c r="L26" s="463"/>
      <c r="M26" s="463"/>
      <c r="N26" s="163"/>
      <c r="O26" s="163"/>
      <c r="P26" s="163"/>
      <c r="Q26" s="163"/>
      <c r="R26" s="163"/>
      <c r="S26" s="163"/>
      <c r="T26" s="163"/>
      <c r="U26" s="163"/>
      <c r="V26" s="163"/>
      <c r="W26" s="163"/>
      <c r="X26" s="163"/>
      <c r="Y26" s="163"/>
      <c r="Z26" s="163"/>
      <c r="AA26" s="163"/>
      <c r="AB26" s="163"/>
      <c r="AC26" s="163"/>
      <c r="AD26" s="163"/>
      <c r="AE26" s="163"/>
      <c r="AF26" s="163"/>
      <c r="AG26" s="163"/>
      <c r="AH26" s="163"/>
      <c r="AI26" s="163"/>
      <c r="AJ26" s="163"/>
      <c r="AK26" s="163"/>
      <c r="AL26" s="163"/>
      <c r="AM26" s="163"/>
      <c r="AN26" s="163"/>
      <c r="AO26" s="163"/>
      <c r="AP26" s="163"/>
      <c r="AQ26" s="163"/>
      <c r="AR26" s="163"/>
      <c r="AS26" s="163"/>
      <c r="AT26" s="163"/>
      <c r="AU26" s="163"/>
      <c r="AV26" s="163"/>
      <c r="AW26" s="163"/>
      <c r="AX26" s="163"/>
      <c r="AY26" s="163"/>
      <c r="AZ26" s="163"/>
      <c r="BA26" s="163"/>
      <c r="BB26" s="163"/>
      <c r="BC26" s="163"/>
      <c r="BD26" s="163"/>
      <c r="BE26" s="163"/>
      <c r="BF26" s="163"/>
      <c r="BG26" s="163"/>
      <c r="BH26" s="163"/>
      <c r="BI26" s="163"/>
      <c r="BJ26" s="163"/>
      <c r="BK26" s="163"/>
      <c r="BL26" s="163"/>
      <c r="BM26" s="163"/>
      <c r="BN26" s="163"/>
      <c r="BO26" s="163"/>
      <c r="BP26" s="163"/>
      <c r="BQ26" s="163"/>
      <c r="BR26" s="163"/>
    </row>
    <row r="27" spans="1:70" ht="117.75" customHeight="1" x14ac:dyDescent="0.3">
      <c r="A27" s="495"/>
      <c r="B27" s="433" t="str">
        <f>'Mapa final'!$B$25</f>
        <v>OAP_04</v>
      </c>
      <c r="C27" s="434" t="str">
        <f>'Mapa final'!$H$25</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466"/>
      <c r="E27" s="467"/>
      <c r="F27" s="463" t="str">
        <f t="shared" ref="F27" si="5">IFERROR(IF($E27="","No",IF($E27="No","No"," "))," ")</f>
        <v>No</v>
      </c>
      <c r="G27" s="463" t="str">
        <f t="shared" si="1"/>
        <v>No</v>
      </c>
      <c r="H27" s="463" t="str">
        <f t="shared" si="1"/>
        <v>No</v>
      </c>
      <c r="I27" s="463" t="str">
        <f t="shared" si="1"/>
        <v>No</v>
      </c>
      <c r="J27" s="463" t="str">
        <f t="shared" si="1"/>
        <v>No</v>
      </c>
      <c r="K27" s="463" t="str">
        <f t="shared" si="1"/>
        <v>No</v>
      </c>
      <c r="L27" s="463" t="str">
        <f t="shared" si="1"/>
        <v>No</v>
      </c>
      <c r="M27" s="463" t="str">
        <f t="shared" si="1"/>
        <v>No</v>
      </c>
      <c r="N27" s="163"/>
      <c r="O27" s="163"/>
      <c r="P27" s="163"/>
      <c r="Q27" s="163"/>
      <c r="R27" s="163"/>
      <c r="S27" s="163"/>
      <c r="T27" s="163"/>
      <c r="U27" s="163"/>
      <c r="V27" s="163"/>
      <c r="W27" s="163"/>
      <c r="X27" s="163"/>
      <c r="Y27" s="163"/>
      <c r="Z27" s="163"/>
      <c r="AA27" s="163"/>
      <c r="AB27" s="163"/>
      <c r="AC27" s="163"/>
      <c r="AD27" s="163"/>
      <c r="AE27" s="163"/>
      <c r="AF27" s="163"/>
      <c r="AG27" s="163"/>
      <c r="AH27" s="163"/>
      <c r="AI27" s="163"/>
      <c r="AJ27" s="163"/>
      <c r="AK27" s="163"/>
      <c r="AL27" s="163"/>
      <c r="AM27" s="163"/>
      <c r="AN27" s="163"/>
      <c r="AO27" s="163"/>
      <c r="AP27" s="163"/>
      <c r="AQ27" s="163"/>
      <c r="AR27" s="163"/>
      <c r="AS27" s="163"/>
      <c r="AT27" s="163"/>
      <c r="AU27" s="163"/>
      <c r="AV27" s="163"/>
      <c r="AW27" s="163"/>
      <c r="AX27" s="163"/>
      <c r="AY27" s="163"/>
      <c r="AZ27" s="163"/>
      <c r="BA27" s="163"/>
      <c r="BB27" s="163"/>
      <c r="BC27" s="163"/>
      <c r="BD27" s="163"/>
      <c r="BE27" s="163"/>
      <c r="BF27" s="163"/>
      <c r="BG27" s="163"/>
      <c r="BH27" s="163"/>
      <c r="BI27" s="163"/>
      <c r="BJ27" s="163"/>
      <c r="BK27" s="163"/>
      <c r="BL27" s="163"/>
      <c r="BM27" s="163"/>
      <c r="BN27" s="163"/>
      <c r="BO27" s="163"/>
      <c r="BP27" s="163"/>
      <c r="BQ27" s="163"/>
      <c r="BR27" s="163"/>
    </row>
    <row r="28" spans="1:70" ht="117.75" customHeight="1" x14ac:dyDescent="0.3">
      <c r="A28" s="495"/>
      <c r="B28" s="433"/>
      <c r="C28" s="434"/>
      <c r="D28" s="466"/>
      <c r="E28" s="467"/>
      <c r="F28" s="463"/>
      <c r="G28" s="463"/>
      <c r="H28" s="463"/>
      <c r="I28" s="463"/>
      <c r="J28" s="463"/>
      <c r="K28" s="463"/>
      <c r="L28" s="463"/>
      <c r="M28" s="463"/>
      <c r="N28" s="163"/>
      <c r="O28" s="163"/>
      <c r="P28" s="163"/>
      <c r="Q28" s="163"/>
      <c r="R28" s="163"/>
      <c r="S28" s="163"/>
      <c r="T28" s="163"/>
      <c r="U28" s="163"/>
      <c r="V28" s="163"/>
      <c r="W28" s="163"/>
      <c r="X28" s="163"/>
      <c r="Y28" s="163"/>
      <c r="Z28" s="163"/>
      <c r="AA28" s="163"/>
      <c r="AB28" s="163"/>
      <c r="AC28" s="163"/>
      <c r="AD28" s="163"/>
      <c r="AE28" s="163"/>
      <c r="AF28" s="163"/>
      <c r="AG28" s="163"/>
      <c r="AH28" s="163"/>
      <c r="AI28" s="163"/>
      <c r="AJ28" s="163"/>
      <c r="AK28" s="163"/>
      <c r="AL28" s="163"/>
      <c r="AM28" s="163"/>
      <c r="AN28" s="163"/>
      <c r="AO28" s="163"/>
      <c r="AP28" s="163"/>
      <c r="AQ28" s="163"/>
      <c r="AR28" s="163"/>
      <c r="AS28" s="163"/>
      <c r="AT28" s="163"/>
      <c r="AU28" s="163"/>
      <c r="AV28" s="163"/>
      <c r="AW28" s="163"/>
      <c r="AX28" s="163"/>
      <c r="AY28" s="163"/>
      <c r="AZ28" s="163"/>
      <c r="BA28" s="163"/>
      <c r="BB28" s="163"/>
      <c r="BC28" s="163"/>
      <c r="BD28" s="163"/>
      <c r="BE28" s="163"/>
      <c r="BF28" s="163"/>
      <c r="BG28" s="163"/>
      <c r="BH28" s="163"/>
      <c r="BI28" s="163"/>
      <c r="BJ28" s="163"/>
      <c r="BK28" s="163"/>
      <c r="BL28" s="163"/>
      <c r="BM28" s="163"/>
      <c r="BN28" s="163"/>
      <c r="BO28" s="163"/>
      <c r="BP28" s="163"/>
      <c r="BQ28" s="163"/>
      <c r="BR28" s="163"/>
    </row>
    <row r="29" spans="1:70" ht="117.75" customHeight="1" x14ac:dyDescent="0.3">
      <c r="A29" s="495"/>
      <c r="B29" s="433"/>
      <c r="C29" s="434"/>
      <c r="D29" s="466"/>
      <c r="E29" s="467"/>
      <c r="F29" s="463"/>
      <c r="G29" s="463"/>
      <c r="H29" s="463"/>
      <c r="I29" s="463"/>
      <c r="J29" s="463"/>
      <c r="K29" s="463"/>
      <c r="L29" s="463"/>
      <c r="M29" s="463"/>
      <c r="N29" s="163"/>
      <c r="O29" s="163"/>
      <c r="P29" s="163"/>
      <c r="Q29" s="163"/>
      <c r="R29" s="163"/>
      <c r="S29" s="163"/>
      <c r="T29" s="163"/>
      <c r="U29" s="163"/>
      <c r="V29" s="163"/>
      <c r="W29" s="163"/>
      <c r="X29" s="163"/>
      <c r="Y29" s="163"/>
      <c r="Z29" s="163"/>
      <c r="AA29" s="163"/>
      <c r="AB29" s="163"/>
      <c r="AC29" s="163"/>
      <c r="AD29" s="163"/>
      <c r="AE29" s="163"/>
      <c r="AF29" s="163"/>
      <c r="AG29" s="163"/>
      <c r="AH29" s="163"/>
      <c r="AI29" s="163"/>
      <c r="AJ29" s="163"/>
      <c r="AK29" s="163"/>
      <c r="AL29" s="163"/>
      <c r="AM29" s="163"/>
      <c r="AN29" s="163"/>
      <c r="AO29" s="163"/>
      <c r="AP29" s="163"/>
      <c r="AQ29" s="163"/>
      <c r="AR29" s="163"/>
      <c r="AS29" s="163"/>
      <c r="AT29" s="163"/>
      <c r="AU29" s="163"/>
      <c r="AV29" s="163"/>
      <c r="AW29" s="163"/>
      <c r="AX29" s="163"/>
      <c r="AY29" s="163"/>
      <c r="AZ29" s="163"/>
      <c r="BA29" s="163"/>
      <c r="BB29" s="163"/>
      <c r="BC29" s="163"/>
      <c r="BD29" s="163"/>
      <c r="BE29" s="163"/>
      <c r="BF29" s="163"/>
      <c r="BG29" s="163"/>
      <c r="BH29" s="163"/>
      <c r="BI29" s="163"/>
      <c r="BJ29" s="163"/>
      <c r="BK29" s="163"/>
      <c r="BL29" s="163"/>
      <c r="BM29" s="163"/>
      <c r="BN29" s="163"/>
      <c r="BO29" s="163"/>
      <c r="BP29" s="163"/>
      <c r="BQ29" s="163"/>
      <c r="BR29" s="163"/>
    </row>
    <row r="30" spans="1:70" ht="117.75" customHeight="1" x14ac:dyDescent="0.3">
      <c r="A30" s="495"/>
      <c r="B30" s="433" t="str">
        <f>'Mapa final'!$B$27</f>
        <v>OAP_05</v>
      </c>
      <c r="C30" s="434" t="str">
        <f>'Mapa final'!$H$27</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66"/>
      <c r="E30" s="467"/>
      <c r="F30" s="463" t="str">
        <f t="shared" ref="F30" si="6">IFERROR(IF($E30="","No",IF($E30="No","No"," "))," ")</f>
        <v>No</v>
      </c>
      <c r="G30" s="463" t="str">
        <f t="shared" si="1"/>
        <v>No</v>
      </c>
      <c r="H30" s="463" t="str">
        <f t="shared" si="1"/>
        <v>No</v>
      </c>
      <c r="I30" s="463" t="str">
        <f t="shared" si="1"/>
        <v>No</v>
      </c>
      <c r="J30" s="463" t="str">
        <f t="shared" si="1"/>
        <v>No</v>
      </c>
      <c r="K30" s="463" t="str">
        <f t="shared" si="1"/>
        <v>No</v>
      </c>
      <c r="L30" s="463" t="str">
        <f t="shared" si="1"/>
        <v>No</v>
      </c>
      <c r="M30" s="463" t="str">
        <f t="shared" si="1"/>
        <v>No</v>
      </c>
      <c r="N30" s="163"/>
      <c r="O30" s="163"/>
      <c r="P30" s="163"/>
      <c r="Q30" s="163"/>
      <c r="R30" s="163"/>
      <c r="S30" s="163"/>
      <c r="T30" s="163"/>
      <c r="U30" s="163"/>
      <c r="V30" s="163"/>
      <c r="W30" s="163"/>
      <c r="X30" s="163"/>
      <c r="Y30" s="163"/>
      <c r="Z30" s="163"/>
      <c r="AA30" s="163"/>
      <c r="AB30" s="163"/>
      <c r="AC30" s="163"/>
      <c r="AD30" s="163"/>
      <c r="AE30" s="163"/>
      <c r="AF30" s="163"/>
      <c r="AG30" s="163"/>
      <c r="AH30" s="163"/>
      <c r="AI30" s="163"/>
      <c r="AJ30" s="163"/>
      <c r="AK30" s="163"/>
      <c r="AL30" s="163"/>
      <c r="AM30" s="163"/>
      <c r="AN30" s="163"/>
      <c r="AO30" s="163"/>
      <c r="AP30" s="163"/>
      <c r="AQ30" s="163"/>
      <c r="AR30" s="163"/>
      <c r="AS30" s="163"/>
      <c r="AT30" s="163"/>
      <c r="AU30" s="163"/>
      <c r="AV30" s="163"/>
      <c r="AW30" s="163"/>
      <c r="AX30" s="163"/>
      <c r="AY30" s="163"/>
      <c r="AZ30" s="163"/>
      <c r="BA30" s="163"/>
      <c r="BB30" s="163"/>
      <c r="BC30" s="163"/>
      <c r="BD30" s="163"/>
      <c r="BE30" s="163"/>
      <c r="BF30" s="163"/>
      <c r="BG30" s="163"/>
      <c r="BH30" s="163"/>
      <c r="BI30" s="163"/>
      <c r="BJ30" s="163"/>
      <c r="BK30" s="163"/>
      <c r="BL30" s="163"/>
      <c r="BM30" s="163"/>
      <c r="BN30" s="163"/>
      <c r="BO30" s="163"/>
      <c r="BP30" s="163"/>
      <c r="BQ30" s="163"/>
      <c r="BR30" s="163"/>
    </row>
    <row r="31" spans="1:70" ht="117.75" customHeight="1" x14ac:dyDescent="0.3">
      <c r="A31" s="495"/>
      <c r="B31" s="433"/>
      <c r="C31" s="434"/>
      <c r="D31" s="466"/>
      <c r="E31" s="467"/>
      <c r="F31" s="463"/>
      <c r="G31" s="463"/>
      <c r="H31" s="463"/>
      <c r="I31" s="463"/>
      <c r="J31" s="463"/>
      <c r="K31" s="463"/>
      <c r="L31" s="463"/>
      <c r="M31" s="463"/>
      <c r="N31" s="163"/>
      <c r="O31" s="163"/>
      <c r="P31" s="163"/>
      <c r="Q31" s="163"/>
      <c r="R31" s="163"/>
      <c r="S31" s="163"/>
      <c r="T31" s="163"/>
      <c r="U31" s="163"/>
      <c r="V31" s="163"/>
      <c r="W31" s="163"/>
      <c r="X31" s="163"/>
      <c r="Y31" s="163"/>
      <c r="Z31" s="163"/>
      <c r="AA31" s="163"/>
      <c r="AB31" s="163"/>
      <c r="AC31" s="163"/>
      <c r="AD31" s="163"/>
      <c r="AE31" s="163"/>
      <c r="AF31" s="163"/>
      <c r="AG31" s="163"/>
      <c r="AH31" s="163"/>
      <c r="AI31" s="163"/>
      <c r="AJ31" s="163"/>
      <c r="AK31" s="163"/>
      <c r="AL31" s="163"/>
      <c r="AM31" s="163"/>
      <c r="AN31" s="163"/>
      <c r="AO31" s="163"/>
      <c r="AP31" s="163"/>
      <c r="AQ31" s="163"/>
      <c r="AR31" s="163"/>
      <c r="AS31" s="163"/>
      <c r="AT31" s="163"/>
      <c r="AU31" s="163"/>
      <c r="AV31" s="163"/>
      <c r="AW31" s="163"/>
      <c r="AX31" s="163"/>
      <c r="AY31" s="163"/>
      <c r="AZ31" s="163"/>
      <c r="BA31" s="163"/>
      <c r="BB31" s="163"/>
      <c r="BC31" s="163"/>
      <c r="BD31" s="163"/>
      <c r="BE31" s="163"/>
      <c r="BF31" s="163"/>
      <c r="BG31" s="163"/>
      <c r="BH31" s="163"/>
      <c r="BI31" s="163"/>
      <c r="BJ31" s="163"/>
      <c r="BK31" s="163"/>
      <c r="BL31" s="163"/>
      <c r="BM31" s="163"/>
      <c r="BN31" s="163"/>
      <c r="BO31" s="163"/>
      <c r="BP31" s="163"/>
      <c r="BQ31" s="163"/>
      <c r="BR31" s="163"/>
    </row>
    <row r="32" spans="1:70" ht="117.75" customHeight="1" x14ac:dyDescent="0.3">
      <c r="A32" s="495"/>
      <c r="B32" s="433"/>
      <c r="C32" s="434"/>
      <c r="D32" s="466"/>
      <c r="E32" s="467"/>
      <c r="F32" s="463"/>
      <c r="G32" s="463"/>
      <c r="H32" s="463"/>
      <c r="I32" s="463"/>
      <c r="J32" s="463"/>
      <c r="K32" s="463"/>
      <c r="L32" s="463"/>
      <c r="M32" s="463"/>
      <c r="N32" s="163"/>
      <c r="O32" s="163"/>
      <c r="P32" s="163"/>
      <c r="Q32" s="163"/>
      <c r="R32" s="163"/>
      <c r="S32" s="163"/>
      <c r="T32" s="163"/>
      <c r="U32" s="163"/>
      <c r="V32" s="163"/>
      <c r="W32" s="163"/>
      <c r="X32" s="163"/>
      <c r="Y32" s="163"/>
      <c r="Z32" s="163"/>
      <c r="AA32" s="163"/>
      <c r="AB32" s="163"/>
      <c r="AC32" s="163"/>
      <c r="AD32" s="163"/>
      <c r="AE32" s="163"/>
      <c r="AF32" s="163"/>
      <c r="AG32" s="163"/>
      <c r="AH32" s="163"/>
      <c r="AI32" s="163"/>
      <c r="AJ32" s="163"/>
      <c r="AK32" s="163"/>
      <c r="AL32" s="163"/>
      <c r="AM32" s="163"/>
      <c r="AN32" s="163"/>
      <c r="AO32" s="163"/>
      <c r="AP32" s="163"/>
      <c r="AQ32" s="163"/>
      <c r="AR32" s="163"/>
      <c r="AS32" s="163"/>
      <c r="AT32" s="163"/>
      <c r="AU32" s="163"/>
      <c r="AV32" s="163"/>
      <c r="AW32" s="163"/>
      <c r="AX32" s="163"/>
      <c r="AY32" s="163"/>
      <c r="AZ32" s="163"/>
      <c r="BA32" s="163"/>
      <c r="BB32" s="163"/>
      <c r="BC32" s="163"/>
      <c r="BD32" s="163"/>
      <c r="BE32" s="163"/>
      <c r="BF32" s="163"/>
      <c r="BG32" s="163"/>
      <c r="BH32" s="163"/>
      <c r="BI32" s="163"/>
      <c r="BJ32" s="163"/>
      <c r="BK32" s="163"/>
      <c r="BL32" s="163"/>
      <c r="BM32" s="163"/>
      <c r="BN32" s="163"/>
      <c r="BO32" s="163"/>
      <c r="BP32" s="163"/>
      <c r="BQ32" s="163"/>
      <c r="BR32" s="163"/>
    </row>
    <row r="33" spans="1:70" ht="117.75" customHeight="1" x14ac:dyDescent="0.3">
      <c r="A33" s="495"/>
      <c r="B33" s="433" t="str">
        <f>'Mapa final'!$B$29</f>
        <v>TIN_01</v>
      </c>
      <c r="C33" s="434" t="str">
        <f>'Mapa final'!$H$29</f>
        <v>Posibilidad de afectación económica y reputacional por registro inoportuno en la Historia Clínica  del estado de salud y la atención brindada, debido a la interrupción en la prestación de los servicios tecnológicos de la entidad.</v>
      </c>
      <c r="D33" s="466"/>
      <c r="E33" s="467"/>
      <c r="F33" s="463" t="str">
        <f t="shared" ref="F33" si="7">IFERROR(IF($E33="","No",IF($E33="No","No"," "))," ")</f>
        <v>No</v>
      </c>
      <c r="G33" s="463" t="str">
        <f t="shared" si="1"/>
        <v>No</v>
      </c>
      <c r="H33" s="463" t="str">
        <f t="shared" si="1"/>
        <v>No</v>
      </c>
      <c r="I33" s="463" t="str">
        <f t="shared" si="1"/>
        <v>No</v>
      </c>
      <c r="J33" s="463" t="str">
        <f t="shared" si="1"/>
        <v>No</v>
      </c>
      <c r="K33" s="463" t="str">
        <f t="shared" si="1"/>
        <v>No</v>
      </c>
      <c r="L33" s="463" t="str">
        <f t="shared" si="1"/>
        <v>No</v>
      </c>
      <c r="M33" s="463" t="str">
        <f t="shared" si="1"/>
        <v>No</v>
      </c>
      <c r="N33" s="163"/>
      <c r="O33" s="163"/>
      <c r="P33" s="163"/>
      <c r="Q33" s="163"/>
      <c r="R33" s="163"/>
      <c r="S33" s="163"/>
      <c r="T33" s="163"/>
      <c r="U33" s="163"/>
      <c r="V33" s="163"/>
      <c r="W33" s="163"/>
      <c r="X33" s="163"/>
      <c r="Y33" s="163"/>
      <c r="Z33" s="163"/>
      <c r="AA33" s="163"/>
      <c r="AB33" s="163"/>
      <c r="AC33" s="163"/>
      <c r="AD33" s="163"/>
      <c r="AE33" s="163"/>
      <c r="AF33" s="163"/>
      <c r="AG33" s="163"/>
      <c r="AH33" s="163"/>
      <c r="AI33" s="163"/>
      <c r="AJ33" s="163"/>
      <c r="AK33" s="163"/>
      <c r="AL33" s="163"/>
      <c r="AM33" s="163"/>
      <c r="AN33" s="163"/>
      <c r="AO33" s="163"/>
      <c r="AP33" s="163"/>
      <c r="AQ33" s="163"/>
      <c r="AR33" s="163"/>
      <c r="AS33" s="163"/>
      <c r="AT33" s="163"/>
      <c r="AU33" s="163"/>
      <c r="AV33" s="163"/>
      <c r="AW33" s="163"/>
      <c r="AX33" s="163"/>
      <c r="AY33" s="163"/>
      <c r="AZ33" s="163"/>
      <c r="BA33" s="163"/>
      <c r="BB33" s="163"/>
      <c r="BC33" s="163"/>
      <c r="BD33" s="163"/>
      <c r="BE33" s="163"/>
      <c r="BF33" s="163"/>
      <c r="BG33" s="163"/>
      <c r="BH33" s="163"/>
      <c r="BI33" s="163"/>
      <c r="BJ33" s="163"/>
      <c r="BK33" s="163"/>
      <c r="BL33" s="163"/>
      <c r="BM33" s="163"/>
      <c r="BN33" s="163"/>
      <c r="BO33" s="163"/>
      <c r="BP33" s="163"/>
      <c r="BQ33" s="163"/>
      <c r="BR33" s="163"/>
    </row>
    <row r="34" spans="1:70" ht="117.75" customHeight="1" x14ac:dyDescent="0.3">
      <c r="A34" s="495"/>
      <c r="B34" s="433"/>
      <c r="C34" s="434"/>
      <c r="D34" s="466"/>
      <c r="E34" s="467"/>
      <c r="F34" s="463"/>
      <c r="G34" s="463"/>
      <c r="H34" s="463"/>
      <c r="I34" s="463"/>
      <c r="J34" s="463"/>
      <c r="K34" s="463"/>
      <c r="L34" s="463"/>
      <c r="M34" s="463"/>
      <c r="N34" s="163"/>
      <c r="O34" s="163"/>
      <c r="P34" s="163"/>
      <c r="Q34" s="163"/>
      <c r="R34" s="163"/>
      <c r="S34" s="163"/>
      <c r="T34" s="163"/>
      <c r="U34" s="163"/>
      <c r="V34" s="163"/>
      <c r="W34" s="163"/>
      <c r="X34" s="163"/>
      <c r="Y34" s="163"/>
      <c r="Z34" s="163"/>
      <c r="AA34" s="163"/>
      <c r="AB34" s="163"/>
      <c r="AC34" s="163"/>
      <c r="AD34" s="163"/>
      <c r="AE34" s="163"/>
      <c r="AF34" s="163"/>
      <c r="AG34" s="163"/>
      <c r="AH34" s="163"/>
      <c r="AI34" s="163"/>
      <c r="AJ34" s="163"/>
      <c r="AK34" s="163"/>
      <c r="AL34" s="163"/>
      <c r="AM34" s="163"/>
      <c r="AN34" s="163"/>
      <c r="AO34" s="163"/>
      <c r="AP34" s="163"/>
      <c r="AQ34" s="163"/>
      <c r="AR34" s="163"/>
      <c r="AS34" s="163"/>
      <c r="AT34" s="163"/>
      <c r="AU34" s="163"/>
      <c r="AV34" s="163"/>
      <c r="AW34" s="163"/>
      <c r="AX34" s="163"/>
      <c r="AY34" s="163"/>
      <c r="AZ34" s="163"/>
      <c r="BA34" s="163"/>
      <c r="BB34" s="163"/>
      <c r="BC34" s="163"/>
      <c r="BD34" s="163"/>
      <c r="BE34" s="163"/>
      <c r="BF34" s="163"/>
      <c r="BG34" s="163"/>
      <c r="BH34" s="163"/>
      <c r="BI34" s="163"/>
      <c r="BJ34" s="163"/>
      <c r="BK34" s="163"/>
      <c r="BL34" s="163"/>
      <c r="BM34" s="163"/>
      <c r="BN34" s="163"/>
      <c r="BO34" s="163"/>
      <c r="BP34" s="163"/>
      <c r="BQ34" s="163"/>
      <c r="BR34" s="163"/>
    </row>
    <row r="35" spans="1:70" ht="117.75" customHeight="1" x14ac:dyDescent="0.3">
      <c r="A35" s="495"/>
      <c r="B35" s="433"/>
      <c r="C35" s="434"/>
      <c r="D35" s="466"/>
      <c r="E35" s="467"/>
      <c r="F35" s="463"/>
      <c r="G35" s="463"/>
      <c r="H35" s="463"/>
      <c r="I35" s="463"/>
      <c r="J35" s="463"/>
      <c r="K35" s="463"/>
      <c r="L35" s="463"/>
      <c r="M35" s="463"/>
      <c r="N35" s="163"/>
      <c r="O35" s="163"/>
      <c r="P35" s="163"/>
      <c r="Q35" s="163"/>
      <c r="R35" s="163"/>
      <c r="S35" s="163"/>
      <c r="T35" s="163"/>
      <c r="U35" s="163"/>
      <c r="V35" s="163"/>
      <c r="W35" s="163"/>
      <c r="X35" s="163"/>
      <c r="Y35" s="163"/>
      <c r="Z35" s="163"/>
      <c r="AA35" s="163"/>
      <c r="AB35" s="163"/>
      <c r="AC35" s="163"/>
      <c r="AD35" s="163"/>
      <c r="AE35" s="163"/>
      <c r="AF35" s="163"/>
      <c r="AG35" s="163"/>
      <c r="AH35" s="163"/>
      <c r="AI35" s="163"/>
      <c r="AJ35" s="163"/>
      <c r="AK35" s="163"/>
      <c r="AL35" s="163"/>
      <c r="AM35" s="163"/>
      <c r="AN35" s="163"/>
      <c r="AO35" s="163"/>
      <c r="AP35" s="163"/>
      <c r="AQ35" s="163"/>
      <c r="AR35" s="163"/>
      <c r="AS35" s="163"/>
      <c r="AT35" s="163"/>
      <c r="AU35" s="163"/>
      <c r="AV35" s="163"/>
      <c r="AW35" s="163"/>
      <c r="AX35" s="163"/>
      <c r="AY35" s="163"/>
      <c r="AZ35" s="163"/>
      <c r="BA35" s="163"/>
      <c r="BB35" s="163"/>
      <c r="BC35" s="163"/>
      <c r="BD35" s="163"/>
      <c r="BE35" s="163"/>
      <c r="BF35" s="163"/>
      <c r="BG35" s="163"/>
      <c r="BH35" s="163"/>
      <c r="BI35" s="163"/>
      <c r="BJ35" s="163"/>
      <c r="BK35" s="163"/>
      <c r="BL35" s="163"/>
      <c r="BM35" s="163"/>
      <c r="BN35" s="163"/>
      <c r="BO35" s="163"/>
      <c r="BP35" s="163"/>
      <c r="BQ35" s="163"/>
      <c r="BR35" s="163"/>
    </row>
    <row r="36" spans="1:70" ht="117.75" customHeight="1" x14ac:dyDescent="0.3">
      <c r="A36" s="495"/>
      <c r="B36" s="433" t="str">
        <f>'Mapa final'!$B$33</f>
        <v>TIN_02</v>
      </c>
      <c r="C36" s="434" t="str">
        <f>'Mapa final'!$H$33</f>
        <v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466"/>
      <c r="E36" s="467"/>
      <c r="F36" s="463" t="str">
        <f t="shared" ref="F36" si="8">IFERROR(IF($E36="","No",IF($E36="No","No"," "))," ")</f>
        <v>No</v>
      </c>
      <c r="G36" s="463" t="str">
        <f t="shared" si="1"/>
        <v>No</v>
      </c>
      <c r="H36" s="463" t="str">
        <f t="shared" si="1"/>
        <v>No</v>
      </c>
      <c r="I36" s="463" t="str">
        <f t="shared" si="1"/>
        <v>No</v>
      </c>
      <c r="J36" s="463" t="str">
        <f t="shared" si="1"/>
        <v>No</v>
      </c>
      <c r="K36" s="463" t="str">
        <f t="shared" si="1"/>
        <v>No</v>
      </c>
      <c r="L36" s="463" t="str">
        <f t="shared" si="1"/>
        <v>No</v>
      </c>
      <c r="M36" s="463" t="str">
        <f t="shared" si="1"/>
        <v>No</v>
      </c>
      <c r="N36" s="163"/>
      <c r="O36" s="163"/>
      <c r="P36" s="163"/>
      <c r="Q36" s="163"/>
      <c r="R36" s="163"/>
      <c r="S36" s="163"/>
      <c r="T36" s="163"/>
      <c r="U36" s="163"/>
      <c r="V36" s="163"/>
      <c r="W36" s="163"/>
      <c r="X36" s="163"/>
      <c r="Y36" s="163"/>
      <c r="Z36" s="163"/>
      <c r="AA36" s="163"/>
      <c r="AB36" s="163"/>
      <c r="AC36" s="163"/>
      <c r="AD36" s="163"/>
      <c r="AE36" s="163"/>
      <c r="AF36" s="163"/>
      <c r="AG36" s="163"/>
      <c r="AH36" s="163"/>
      <c r="AI36" s="163"/>
      <c r="AJ36" s="163"/>
      <c r="AK36" s="163"/>
      <c r="AL36" s="163"/>
      <c r="AM36" s="163"/>
      <c r="AN36" s="163"/>
      <c r="AO36" s="163"/>
      <c r="AP36" s="163"/>
      <c r="AQ36" s="163"/>
      <c r="AR36" s="163"/>
      <c r="AS36" s="163"/>
      <c r="AT36" s="163"/>
      <c r="AU36" s="163"/>
      <c r="AV36" s="163"/>
      <c r="AW36" s="163"/>
      <c r="AX36" s="163"/>
      <c r="AY36" s="163"/>
      <c r="AZ36" s="163"/>
      <c r="BA36" s="163"/>
      <c r="BB36" s="163"/>
      <c r="BC36" s="163"/>
      <c r="BD36" s="163"/>
      <c r="BE36" s="163"/>
      <c r="BF36" s="163"/>
      <c r="BG36" s="163"/>
      <c r="BH36" s="163"/>
      <c r="BI36" s="163"/>
      <c r="BJ36" s="163"/>
      <c r="BK36" s="163"/>
      <c r="BL36" s="163"/>
      <c r="BM36" s="163"/>
      <c r="BN36" s="163"/>
      <c r="BO36" s="163"/>
      <c r="BP36" s="163"/>
      <c r="BQ36" s="163"/>
      <c r="BR36" s="163"/>
    </row>
    <row r="37" spans="1:70" ht="117.75" customHeight="1" x14ac:dyDescent="0.3">
      <c r="A37" s="495"/>
      <c r="B37" s="433"/>
      <c r="C37" s="434"/>
      <c r="D37" s="466"/>
      <c r="E37" s="467"/>
      <c r="F37" s="463"/>
      <c r="G37" s="463"/>
      <c r="H37" s="463"/>
      <c r="I37" s="463"/>
      <c r="J37" s="463"/>
      <c r="K37" s="463"/>
      <c r="L37" s="463"/>
      <c r="M37" s="463"/>
      <c r="N37" s="163"/>
      <c r="O37" s="163"/>
      <c r="P37" s="163"/>
      <c r="Q37" s="163"/>
      <c r="R37" s="163"/>
      <c r="S37" s="163"/>
      <c r="T37" s="163"/>
      <c r="U37" s="163"/>
      <c r="V37" s="163"/>
      <c r="W37" s="163"/>
      <c r="X37" s="163"/>
      <c r="Y37" s="163"/>
      <c r="Z37" s="163"/>
      <c r="AA37" s="163"/>
      <c r="AB37" s="163"/>
      <c r="AC37" s="163"/>
      <c r="AD37" s="163"/>
      <c r="AE37" s="163"/>
      <c r="AF37" s="163"/>
      <c r="AG37" s="163"/>
      <c r="AH37" s="163"/>
      <c r="AI37" s="163"/>
      <c r="AJ37" s="163"/>
      <c r="AK37" s="163"/>
      <c r="AL37" s="163"/>
      <c r="AM37" s="163"/>
      <c r="AN37" s="163"/>
      <c r="AO37" s="163"/>
      <c r="AP37" s="163"/>
      <c r="AQ37" s="163"/>
      <c r="AR37" s="163"/>
      <c r="AS37" s="163"/>
      <c r="AT37" s="163"/>
      <c r="AU37" s="163"/>
      <c r="AV37" s="163"/>
      <c r="AW37" s="163"/>
      <c r="AX37" s="163"/>
      <c r="AY37" s="163"/>
      <c r="AZ37" s="163"/>
      <c r="BA37" s="163"/>
      <c r="BB37" s="163"/>
      <c r="BC37" s="163"/>
      <c r="BD37" s="163"/>
      <c r="BE37" s="163"/>
      <c r="BF37" s="163"/>
      <c r="BG37" s="163"/>
      <c r="BH37" s="163"/>
      <c r="BI37" s="163"/>
      <c r="BJ37" s="163"/>
      <c r="BK37" s="163"/>
      <c r="BL37" s="163"/>
      <c r="BM37" s="163"/>
      <c r="BN37" s="163"/>
      <c r="BO37" s="163"/>
      <c r="BP37" s="163"/>
      <c r="BQ37" s="163"/>
      <c r="BR37" s="163"/>
    </row>
    <row r="38" spans="1:70" ht="117.75" customHeight="1" x14ac:dyDescent="0.3">
      <c r="A38" s="495"/>
      <c r="B38" s="433"/>
      <c r="C38" s="434"/>
      <c r="D38" s="466"/>
      <c r="E38" s="467"/>
      <c r="F38" s="463"/>
      <c r="G38" s="463"/>
      <c r="H38" s="463"/>
      <c r="I38" s="463"/>
      <c r="J38" s="463"/>
      <c r="K38" s="463"/>
      <c r="L38" s="463"/>
      <c r="M38" s="463"/>
      <c r="N38" s="163"/>
      <c r="O38" s="163"/>
      <c r="P38" s="163"/>
      <c r="Q38" s="163"/>
      <c r="R38" s="163"/>
      <c r="S38" s="163"/>
      <c r="T38" s="163"/>
      <c r="U38" s="163"/>
      <c r="V38" s="163"/>
      <c r="W38" s="163"/>
      <c r="X38" s="163"/>
      <c r="Y38" s="163"/>
      <c r="Z38" s="163"/>
      <c r="AA38" s="163"/>
      <c r="AB38" s="163"/>
      <c r="AC38" s="163"/>
      <c r="AD38" s="163"/>
      <c r="AE38" s="163"/>
      <c r="AF38" s="163"/>
      <c r="AG38" s="163"/>
      <c r="AH38" s="163"/>
      <c r="AI38" s="163"/>
      <c r="AJ38" s="163"/>
      <c r="AK38" s="163"/>
      <c r="AL38" s="163"/>
      <c r="AM38" s="163"/>
      <c r="AN38" s="163"/>
      <c r="AO38" s="163"/>
      <c r="AP38" s="163"/>
      <c r="AQ38" s="163"/>
      <c r="AR38" s="163"/>
      <c r="AS38" s="163"/>
      <c r="AT38" s="163"/>
      <c r="AU38" s="163"/>
      <c r="AV38" s="163"/>
      <c r="AW38" s="163"/>
      <c r="AX38" s="163"/>
      <c r="AY38" s="163"/>
      <c r="AZ38" s="163"/>
      <c r="BA38" s="163"/>
      <c r="BB38" s="163"/>
      <c r="BC38" s="163"/>
      <c r="BD38" s="163"/>
      <c r="BE38" s="163"/>
      <c r="BF38" s="163"/>
      <c r="BG38" s="163"/>
      <c r="BH38" s="163"/>
      <c r="BI38" s="163"/>
      <c r="BJ38" s="163"/>
      <c r="BK38" s="163"/>
      <c r="BL38" s="163"/>
      <c r="BM38" s="163"/>
      <c r="BN38" s="163"/>
      <c r="BO38" s="163"/>
      <c r="BP38" s="163"/>
      <c r="BQ38" s="163"/>
      <c r="BR38" s="163"/>
    </row>
    <row r="39" spans="1:70" ht="117.75" customHeight="1" x14ac:dyDescent="0.3">
      <c r="A39" s="495"/>
      <c r="B39" s="433" t="str">
        <f>'Mapa final'!$B$38</f>
        <v>TIN_03</v>
      </c>
      <c r="C39" s="434" t="str">
        <f>'Mapa final'!$H$38</f>
        <v>Posibilidad de afectación económica por no disponibilidad de la información clínica  de los usuarios del  HOMIL, debido a falta de respaldo (copias de seguridad) de la información.</v>
      </c>
      <c r="D39" s="466"/>
      <c r="E39" s="467"/>
      <c r="F39" s="463" t="str">
        <f t="shared" ref="F39" si="9">IFERROR(IF($E39="","No",IF($E39="No","No"," "))," ")</f>
        <v>No</v>
      </c>
      <c r="G39" s="463" t="str">
        <f t="shared" si="1"/>
        <v>No</v>
      </c>
      <c r="H39" s="463" t="str">
        <f t="shared" si="1"/>
        <v>No</v>
      </c>
      <c r="I39" s="463" t="str">
        <f t="shared" si="1"/>
        <v>No</v>
      </c>
      <c r="J39" s="463" t="str">
        <f t="shared" si="1"/>
        <v>No</v>
      </c>
      <c r="K39" s="463" t="str">
        <f t="shared" si="1"/>
        <v>No</v>
      </c>
      <c r="L39" s="463" t="str">
        <f t="shared" si="1"/>
        <v>No</v>
      </c>
      <c r="M39" s="463" t="str">
        <f t="shared" si="1"/>
        <v>No</v>
      </c>
      <c r="N39" s="163"/>
      <c r="O39" s="163"/>
      <c r="P39" s="163"/>
      <c r="Q39" s="163"/>
      <c r="R39" s="163"/>
      <c r="S39" s="163"/>
      <c r="T39" s="163"/>
      <c r="U39" s="163"/>
      <c r="V39" s="163"/>
      <c r="W39" s="163"/>
      <c r="X39" s="163"/>
      <c r="Y39" s="163"/>
      <c r="Z39" s="163"/>
      <c r="AA39" s="163"/>
      <c r="AB39" s="163"/>
      <c r="AC39" s="163"/>
      <c r="AD39" s="163"/>
      <c r="AE39" s="163"/>
      <c r="AF39" s="163"/>
      <c r="AG39" s="163"/>
      <c r="AH39" s="163"/>
      <c r="AI39" s="163"/>
      <c r="AJ39" s="163"/>
      <c r="AK39" s="163"/>
      <c r="AL39" s="163"/>
      <c r="AM39" s="163"/>
      <c r="AN39" s="163"/>
      <c r="AO39" s="163"/>
      <c r="AP39" s="163"/>
      <c r="AQ39" s="163"/>
      <c r="AR39" s="163"/>
      <c r="AS39" s="163"/>
      <c r="AT39" s="163"/>
      <c r="AU39" s="163"/>
      <c r="AV39" s="163"/>
      <c r="AW39" s="163"/>
      <c r="AX39" s="163"/>
      <c r="AY39" s="163"/>
      <c r="AZ39" s="163"/>
      <c r="BA39" s="163"/>
      <c r="BB39" s="163"/>
      <c r="BC39" s="163"/>
      <c r="BD39" s="163"/>
      <c r="BE39" s="163"/>
      <c r="BF39" s="163"/>
      <c r="BG39" s="163"/>
      <c r="BH39" s="163"/>
      <c r="BI39" s="163"/>
      <c r="BJ39" s="163"/>
      <c r="BK39" s="163"/>
      <c r="BL39" s="163"/>
      <c r="BM39" s="163"/>
      <c r="BN39" s="163"/>
      <c r="BO39" s="163"/>
      <c r="BP39" s="163"/>
      <c r="BQ39" s="163"/>
      <c r="BR39" s="163"/>
    </row>
    <row r="40" spans="1:70" ht="117.75" customHeight="1" x14ac:dyDescent="0.3">
      <c r="A40" s="495"/>
      <c r="B40" s="433"/>
      <c r="C40" s="434"/>
      <c r="D40" s="466"/>
      <c r="E40" s="467"/>
      <c r="F40" s="463"/>
      <c r="G40" s="463"/>
      <c r="H40" s="463"/>
      <c r="I40" s="463"/>
      <c r="J40" s="463"/>
      <c r="K40" s="463"/>
      <c r="L40" s="463"/>
      <c r="M40" s="463"/>
      <c r="N40" s="163"/>
      <c r="O40" s="163"/>
      <c r="P40" s="163"/>
      <c r="Q40" s="163"/>
      <c r="R40" s="163"/>
      <c r="S40" s="163"/>
      <c r="T40" s="163"/>
      <c r="U40" s="163"/>
      <c r="V40" s="163"/>
      <c r="W40" s="163"/>
      <c r="X40" s="163"/>
      <c r="Y40" s="163"/>
      <c r="Z40" s="163"/>
      <c r="AA40" s="163"/>
      <c r="AB40" s="163"/>
      <c r="AC40" s="163"/>
      <c r="AD40" s="163"/>
      <c r="AE40" s="163"/>
      <c r="AF40" s="163"/>
      <c r="AG40" s="163"/>
      <c r="AH40" s="163"/>
      <c r="AI40" s="163"/>
      <c r="AJ40" s="163"/>
      <c r="AK40" s="163"/>
      <c r="AL40" s="163"/>
      <c r="AM40" s="163"/>
      <c r="AN40" s="163"/>
      <c r="AO40" s="163"/>
      <c r="AP40" s="163"/>
      <c r="AQ40" s="163"/>
      <c r="AR40" s="163"/>
      <c r="AS40" s="163"/>
      <c r="AT40" s="163"/>
      <c r="AU40" s="163"/>
      <c r="AV40" s="163"/>
      <c r="AW40" s="163"/>
      <c r="AX40" s="163"/>
      <c r="AY40" s="163"/>
      <c r="AZ40" s="163"/>
      <c r="BA40" s="163"/>
      <c r="BB40" s="163"/>
      <c r="BC40" s="163"/>
      <c r="BD40" s="163"/>
      <c r="BE40" s="163"/>
      <c r="BF40" s="163"/>
      <c r="BG40" s="163"/>
      <c r="BH40" s="163"/>
      <c r="BI40" s="163"/>
      <c r="BJ40" s="163"/>
      <c r="BK40" s="163"/>
      <c r="BL40" s="163"/>
      <c r="BM40" s="163"/>
      <c r="BN40" s="163"/>
      <c r="BO40" s="163"/>
      <c r="BP40" s="163"/>
      <c r="BQ40" s="163"/>
      <c r="BR40" s="163"/>
    </row>
    <row r="41" spans="1:70" ht="117.75" customHeight="1" x14ac:dyDescent="0.3">
      <c r="A41" s="495"/>
      <c r="B41" s="433"/>
      <c r="C41" s="434"/>
      <c r="D41" s="466"/>
      <c r="E41" s="467"/>
      <c r="F41" s="463"/>
      <c r="G41" s="463"/>
      <c r="H41" s="463"/>
      <c r="I41" s="463"/>
      <c r="J41" s="463"/>
      <c r="K41" s="463"/>
      <c r="L41" s="463"/>
      <c r="M41" s="463"/>
      <c r="N41" s="163"/>
      <c r="O41" s="163"/>
      <c r="P41" s="163"/>
      <c r="Q41" s="163"/>
      <c r="R41" s="163"/>
      <c r="S41" s="163"/>
      <c r="T41" s="163"/>
      <c r="U41" s="163"/>
      <c r="V41" s="163"/>
      <c r="W41" s="163"/>
      <c r="X41" s="163"/>
      <c r="Y41" s="163"/>
      <c r="Z41" s="163"/>
      <c r="AA41" s="163"/>
      <c r="AB41" s="163"/>
      <c r="AC41" s="163"/>
      <c r="AD41" s="163"/>
      <c r="AE41" s="163"/>
      <c r="AF41" s="163"/>
      <c r="AG41" s="163"/>
      <c r="AH41" s="163"/>
      <c r="AI41" s="163"/>
      <c r="AJ41" s="163"/>
      <c r="AK41" s="163"/>
      <c r="AL41" s="163"/>
      <c r="AM41" s="163"/>
      <c r="AN41" s="163"/>
      <c r="AO41" s="163"/>
      <c r="AP41" s="163"/>
      <c r="AQ41" s="163"/>
      <c r="AR41" s="163"/>
      <c r="AS41" s="163"/>
      <c r="AT41" s="163"/>
      <c r="AU41" s="163"/>
      <c r="AV41" s="163"/>
      <c r="AW41" s="163"/>
      <c r="AX41" s="163"/>
      <c r="AY41" s="163"/>
      <c r="AZ41" s="163"/>
      <c r="BA41" s="163"/>
      <c r="BB41" s="163"/>
      <c r="BC41" s="163"/>
      <c r="BD41" s="163"/>
      <c r="BE41" s="163"/>
      <c r="BF41" s="163"/>
      <c r="BG41" s="163"/>
      <c r="BH41" s="163"/>
      <c r="BI41" s="163"/>
      <c r="BJ41" s="163"/>
      <c r="BK41" s="163"/>
      <c r="BL41" s="163"/>
      <c r="BM41" s="163"/>
      <c r="BN41" s="163"/>
      <c r="BO41" s="163"/>
      <c r="BP41" s="163"/>
      <c r="BQ41" s="163"/>
      <c r="BR41" s="163"/>
    </row>
    <row r="42" spans="1:70" ht="51.75" customHeight="1" x14ac:dyDescent="0.3">
      <c r="A42" s="495"/>
      <c r="B42" s="464"/>
      <c r="C42" s="465"/>
      <c r="D42" s="466"/>
      <c r="E42" s="467"/>
      <c r="F42" s="463" t="str">
        <f t="shared" ref="F42:M69" si="10">IFERROR(IF($E42="","No",IF($E42="No","No"," "))," ")</f>
        <v>No</v>
      </c>
      <c r="G42" s="463" t="str">
        <f t="shared" si="10"/>
        <v>No</v>
      </c>
      <c r="H42" s="463" t="str">
        <f t="shared" si="10"/>
        <v>No</v>
      </c>
      <c r="I42" s="463" t="str">
        <f t="shared" si="10"/>
        <v>No</v>
      </c>
      <c r="J42" s="463" t="str">
        <f t="shared" si="10"/>
        <v>No</v>
      </c>
      <c r="K42" s="463" t="str">
        <f t="shared" si="10"/>
        <v>No</v>
      </c>
      <c r="L42" s="463" t="str">
        <f t="shared" si="10"/>
        <v>No</v>
      </c>
      <c r="M42" s="463" t="str">
        <f t="shared" si="10"/>
        <v>No</v>
      </c>
      <c r="N42" s="163"/>
      <c r="O42" s="163"/>
      <c r="P42" s="163"/>
      <c r="Q42" s="163"/>
      <c r="R42" s="163"/>
      <c r="S42" s="163"/>
      <c r="T42" s="163"/>
      <c r="U42" s="163"/>
      <c r="V42" s="163"/>
      <c r="W42" s="163"/>
      <c r="X42" s="163"/>
      <c r="Y42" s="163"/>
      <c r="Z42" s="163"/>
      <c r="AA42" s="163"/>
      <c r="AB42" s="163"/>
      <c r="AC42" s="163"/>
      <c r="AD42" s="163"/>
      <c r="AE42" s="163"/>
      <c r="AF42" s="163"/>
      <c r="AG42" s="163"/>
      <c r="AH42" s="163"/>
      <c r="AI42" s="163"/>
      <c r="AJ42" s="163"/>
      <c r="AK42" s="163"/>
      <c r="AL42" s="163"/>
      <c r="AM42" s="163"/>
      <c r="AN42" s="163"/>
      <c r="AO42" s="163"/>
      <c r="AP42" s="163"/>
      <c r="AQ42" s="163"/>
      <c r="AR42" s="163"/>
      <c r="AS42" s="163"/>
      <c r="AT42" s="163"/>
      <c r="AU42" s="163"/>
      <c r="AV42" s="163"/>
      <c r="AW42" s="163"/>
      <c r="AX42" s="163"/>
      <c r="AY42" s="163"/>
      <c r="AZ42" s="163"/>
      <c r="BA42" s="163"/>
      <c r="BB42" s="163"/>
      <c r="BC42" s="163"/>
      <c r="BD42" s="163"/>
      <c r="BE42" s="163"/>
      <c r="BF42" s="163"/>
      <c r="BG42" s="163"/>
      <c r="BH42" s="163"/>
      <c r="BI42" s="163"/>
      <c r="BJ42" s="163"/>
      <c r="BK42" s="163"/>
      <c r="BL42" s="163"/>
      <c r="BM42" s="163"/>
      <c r="BN42" s="163"/>
      <c r="BO42" s="163"/>
      <c r="BP42" s="163"/>
      <c r="BQ42" s="163"/>
      <c r="BR42" s="163"/>
    </row>
    <row r="43" spans="1:70" ht="51.75" customHeight="1" x14ac:dyDescent="0.3">
      <c r="A43" s="495"/>
      <c r="B43" s="464"/>
      <c r="C43" s="465"/>
      <c r="D43" s="466"/>
      <c r="E43" s="467"/>
      <c r="F43" s="463"/>
      <c r="G43" s="463"/>
      <c r="H43" s="463"/>
      <c r="I43" s="463"/>
      <c r="J43" s="463"/>
      <c r="K43" s="463"/>
      <c r="L43" s="463"/>
      <c r="M43" s="463"/>
      <c r="N43" s="163"/>
      <c r="O43" s="163"/>
      <c r="P43" s="163"/>
      <c r="Q43" s="163"/>
      <c r="R43" s="163"/>
      <c r="S43" s="163"/>
      <c r="T43" s="163"/>
      <c r="U43" s="163"/>
      <c r="V43" s="163"/>
      <c r="W43" s="163"/>
      <c r="X43" s="163"/>
      <c r="Y43" s="163"/>
      <c r="Z43" s="163"/>
      <c r="AA43" s="163"/>
      <c r="AB43" s="163"/>
      <c r="AC43" s="163"/>
      <c r="AD43" s="163"/>
      <c r="AE43" s="163"/>
      <c r="AF43" s="163"/>
      <c r="AG43" s="163"/>
      <c r="AH43" s="163"/>
      <c r="AI43" s="163"/>
      <c r="AJ43" s="163"/>
      <c r="AK43" s="163"/>
      <c r="AL43" s="163"/>
      <c r="AM43" s="163"/>
      <c r="AN43" s="163"/>
      <c r="AO43" s="163"/>
      <c r="AP43" s="163"/>
      <c r="AQ43" s="163"/>
      <c r="AR43" s="163"/>
      <c r="AS43" s="163"/>
      <c r="AT43" s="163"/>
      <c r="AU43" s="163"/>
      <c r="AV43" s="163"/>
      <c r="AW43" s="163"/>
      <c r="AX43" s="163"/>
      <c r="AY43" s="163"/>
      <c r="AZ43" s="163"/>
      <c r="BA43" s="163"/>
      <c r="BB43" s="163"/>
      <c r="BC43" s="163"/>
      <c r="BD43" s="163"/>
      <c r="BE43" s="163"/>
      <c r="BF43" s="163"/>
      <c r="BG43" s="163"/>
      <c r="BH43" s="163"/>
      <c r="BI43" s="163"/>
      <c r="BJ43" s="163"/>
      <c r="BK43" s="163"/>
      <c r="BL43" s="163"/>
      <c r="BM43" s="163"/>
      <c r="BN43" s="163"/>
      <c r="BO43" s="163"/>
      <c r="BP43" s="163"/>
      <c r="BQ43" s="163"/>
      <c r="BR43" s="163"/>
    </row>
    <row r="44" spans="1:70" ht="51.75" customHeight="1" x14ac:dyDescent="0.3">
      <c r="A44" s="495"/>
      <c r="B44" s="464"/>
      <c r="C44" s="465"/>
      <c r="D44" s="466"/>
      <c r="E44" s="467"/>
      <c r="F44" s="463"/>
      <c r="G44" s="463"/>
      <c r="H44" s="463"/>
      <c r="I44" s="463"/>
      <c r="J44" s="463"/>
      <c r="K44" s="463"/>
      <c r="L44" s="463"/>
      <c r="M44" s="463"/>
      <c r="N44" s="163"/>
      <c r="O44" s="163"/>
      <c r="P44" s="163"/>
      <c r="Q44" s="163"/>
      <c r="R44" s="163"/>
      <c r="S44" s="163"/>
      <c r="T44" s="163"/>
      <c r="U44" s="163"/>
      <c r="V44" s="163"/>
      <c r="W44" s="163"/>
      <c r="X44" s="163"/>
      <c r="Y44" s="163"/>
      <c r="Z44" s="163"/>
      <c r="AA44" s="163"/>
      <c r="AB44" s="163"/>
      <c r="AC44" s="163"/>
      <c r="AD44" s="163"/>
      <c r="AE44" s="163"/>
      <c r="AF44" s="163"/>
      <c r="AG44" s="163"/>
      <c r="AH44" s="163"/>
      <c r="AI44" s="163"/>
      <c r="AJ44" s="163"/>
      <c r="AK44" s="163"/>
      <c r="AL44" s="163"/>
      <c r="AM44" s="163"/>
      <c r="AN44" s="163"/>
      <c r="AO44" s="163"/>
      <c r="AP44" s="163"/>
      <c r="AQ44" s="163"/>
      <c r="AR44" s="163"/>
      <c r="AS44" s="163"/>
      <c r="AT44" s="163"/>
      <c r="AU44" s="163"/>
      <c r="AV44" s="163"/>
      <c r="AW44" s="163"/>
      <c r="AX44" s="163"/>
      <c r="AY44" s="163"/>
      <c r="AZ44" s="163"/>
      <c r="BA44" s="163"/>
      <c r="BB44" s="163"/>
      <c r="BC44" s="163"/>
      <c r="BD44" s="163"/>
      <c r="BE44" s="163"/>
      <c r="BF44" s="163"/>
      <c r="BG44" s="163"/>
      <c r="BH44" s="163"/>
      <c r="BI44" s="163"/>
      <c r="BJ44" s="163"/>
      <c r="BK44" s="163"/>
      <c r="BL44" s="163"/>
      <c r="BM44" s="163"/>
      <c r="BN44" s="163"/>
      <c r="BO44" s="163"/>
      <c r="BP44" s="163"/>
      <c r="BQ44" s="163"/>
      <c r="BR44" s="163"/>
    </row>
    <row r="45" spans="1:70" ht="51.75" customHeight="1" x14ac:dyDescent="0.3">
      <c r="A45" s="495"/>
      <c r="B45" s="464"/>
      <c r="C45" s="465"/>
      <c r="D45" s="466"/>
      <c r="E45" s="467"/>
      <c r="F45" s="463" t="str">
        <f t="shared" si="10"/>
        <v>No</v>
      </c>
      <c r="G45" s="463" t="str">
        <f t="shared" si="10"/>
        <v>No</v>
      </c>
      <c r="H45" s="463" t="str">
        <f t="shared" si="10"/>
        <v>No</v>
      </c>
      <c r="I45" s="463" t="str">
        <f t="shared" si="10"/>
        <v>No</v>
      </c>
      <c r="J45" s="463" t="str">
        <f t="shared" si="10"/>
        <v>No</v>
      </c>
      <c r="K45" s="463" t="str">
        <f t="shared" si="10"/>
        <v>No</v>
      </c>
      <c r="L45" s="463" t="str">
        <f t="shared" si="10"/>
        <v>No</v>
      </c>
      <c r="M45" s="463" t="str">
        <f t="shared" si="10"/>
        <v>No</v>
      </c>
      <c r="N45" s="163"/>
      <c r="O45" s="163"/>
      <c r="P45" s="163"/>
      <c r="Q45" s="163"/>
      <c r="R45" s="163"/>
      <c r="S45" s="163"/>
      <c r="T45" s="163"/>
      <c r="U45" s="163"/>
      <c r="V45" s="163"/>
      <c r="W45" s="163"/>
      <c r="X45" s="163"/>
      <c r="Y45" s="163"/>
      <c r="Z45" s="163"/>
      <c r="AA45" s="163"/>
      <c r="AB45" s="163"/>
      <c r="AC45" s="163"/>
      <c r="AD45" s="163"/>
      <c r="AE45" s="163"/>
      <c r="AF45" s="163"/>
      <c r="AG45" s="163"/>
      <c r="AH45" s="163"/>
      <c r="AI45" s="163"/>
      <c r="AJ45" s="163"/>
      <c r="AK45" s="163"/>
      <c r="AL45" s="163"/>
      <c r="AM45" s="163"/>
      <c r="AN45" s="163"/>
      <c r="AO45" s="163"/>
      <c r="AP45" s="163"/>
      <c r="AQ45" s="163"/>
      <c r="AR45" s="163"/>
      <c r="AS45" s="163"/>
      <c r="AT45" s="163"/>
      <c r="AU45" s="163"/>
      <c r="AV45" s="163"/>
      <c r="AW45" s="163"/>
      <c r="AX45" s="163"/>
      <c r="AY45" s="163"/>
      <c r="AZ45" s="163"/>
      <c r="BA45" s="163"/>
      <c r="BB45" s="163"/>
      <c r="BC45" s="163"/>
      <c r="BD45" s="163"/>
      <c r="BE45" s="163"/>
      <c r="BF45" s="163"/>
      <c r="BG45" s="163"/>
      <c r="BH45" s="163"/>
      <c r="BI45" s="163"/>
      <c r="BJ45" s="163"/>
      <c r="BK45" s="163"/>
      <c r="BL45" s="163"/>
      <c r="BM45" s="163"/>
      <c r="BN45" s="163"/>
      <c r="BO45" s="163"/>
      <c r="BP45" s="163"/>
      <c r="BQ45" s="163"/>
      <c r="BR45" s="163"/>
    </row>
    <row r="46" spans="1:70" ht="51.75" customHeight="1" x14ac:dyDescent="0.3">
      <c r="A46" s="495"/>
      <c r="B46" s="464"/>
      <c r="C46" s="465"/>
      <c r="D46" s="466"/>
      <c r="E46" s="467"/>
      <c r="F46" s="463"/>
      <c r="G46" s="463"/>
      <c r="H46" s="463"/>
      <c r="I46" s="463"/>
      <c r="J46" s="463"/>
      <c r="K46" s="463"/>
      <c r="L46" s="463"/>
      <c r="M46" s="463"/>
      <c r="N46" s="163"/>
      <c r="O46" s="163"/>
      <c r="P46" s="163"/>
      <c r="Q46" s="163"/>
      <c r="R46" s="163"/>
      <c r="S46" s="163"/>
      <c r="T46" s="163"/>
      <c r="U46" s="163"/>
      <c r="V46" s="163"/>
      <c r="W46" s="163"/>
      <c r="X46" s="163"/>
      <c r="Y46" s="163"/>
      <c r="Z46" s="163"/>
      <c r="AA46" s="163"/>
      <c r="AB46" s="163"/>
      <c r="AC46" s="163"/>
      <c r="AD46" s="163"/>
      <c r="AE46" s="163"/>
      <c r="AF46" s="163"/>
      <c r="AG46" s="163"/>
      <c r="AH46" s="163"/>
      <c r="AI46" s="163"/>
      <c r="AJ46" s="163"/>
      <c r="AK46" s="163"/>
      <c r="AL46" s="163"/>
      <c r="AM46" s="163"/>
      <c r="AN46" s="163"/>
      <c r="AO46" s="163"/>
      <c r="AP46" s="163"/>
      <c r="AQ46" s="163"/>
      <c r="AR46" s="163"/>
      <c r="AS46" s="163"/>
      <c r="AT46" s="163"/>
      <c r="AU46" s="163"/>
      <c r="AV46" s="163"/>
      <c r="AW46" s="163"/>
      <c r="AX46" s="163"/>
      <c r="AY46" s="163"/>
      <c r="AZ46" s="163"/>
      <c r="BA46" s="163"/>
      <c r="BB46" s="163"/>
      <c r="BC46" s="163"/>
      <c r="BD46" s="163"/>
      <c r="BE46" s="163"/>
      <c r="BF46" s="163"/>
      <c r="BG46" s="163"/>
      <c r="BH46" s="163"/>
      <c r="BI46" s="163"/>
      <c r="BJ46" s="163"/>
      <c r="BK46" s="163"/>
      <c r="BL46" s="163"/>
      <c r="BM46" s="163"/>
      <c r="BN46" s="163"/>
      <c r="BO46" s="163"/>
      <c r="BP46" s="163"/>
      <c r="BQ46" s="163"/>
      <c r="BR46" s="163"/>
    </row>
    <row r="47" spans="1:70" ht="51.75" customHeight="1" x14ac:dyDescent="0.3">
      <c r="A47" s="495"/>
      <c r="B47" s="464"/>
      <c r="C47" s="465"/>
      <c r="D47" s="466"/>
      <c r="E47" s="467"/>
      <c r="F47" s="463"/>
      <c r="G47" s="463"/>
      <c r="H47" s="463"/>
      <c r="I47" s="463"/>
      <c r="J47" s="463"/>
      <c r="K47" s="463"/>
      <c r="L47" s="463"/>
      <c r="M47" s="463"/>
      <c r="N47" s="163"/>
      <c r="O47" s="163"/>
      <c r="P47" s="163"/>
      <c r="Q47" s="163"/>
      <c r="R47" s="163"/>
      <c r="S47" s="163"/>
      <c r="T47" s="163"/>
      <c r="U47" s="163"/>
      <c r="V47" s="163"/>
      <c r="W47" s="163"/>
      <c r="X47" s="163"/>
      <c r="Y47" s="163"/>
      <c r="Z47" s="163"/>
      <c r="AA47" s="163"/>
      <c r="AB47" s="163"/>
      <c r="AC47" s="163"/>
      <c r="AD47" s="163"/>
      <c r="AE47" s="163"/>
      <c r="AF47" s="163"/>
      <c r="AG47" s="163"/>
      <c r="AH47" s="163"/>
      <c r="AI47" s="163"/>
      <c r="AJ47" s="163"/>
      <c r="AK47" s="163"/>
      <c r="AL47" s="163"/>
      <c r="AM47" s="163"/>
      <c r="AN47" s="163"/>
      <c r="AO47" s="163"/>
      <c r="AP47" s="163"/>
      <c r="AQ47" s="163"/>
      <c r="AR47" s="163"/>
      <c r="AS47" s="163"/>
      <c r="AT47" s="163"/>
      <c r="AU47" s="163"/>
      <c r="AV47" s="163"/>
      <c r="AW47" s="163"/>
      <c r="AX47" s="163"/>
      <c r="AY47" s="163"/>
      <c r="AZ47" s="163"/>
      <c r="BA47" s="163"/>
      <c r="BB47" s="163"/>
      <c r="BC47" s="163"/>
      <c r="BD47" s="163"/>
      <c r="BE47" s="163"/>
      <c r="BF47" s="163"/>
      <c r="BG47" s="163"/>
      <c r="BH47" s="163"/>
      <c r="BI47" s="163"/>
      <c r="BJ47" s="163"/>
      <c r="BK47" s="163"/>
      <c r="BL47" s="163"/>
      <c r="BM47" s="163"/>
      <c r="BN47" s="163"/>
      <c r="BO47" s="163"/>
      <c r="BP47" s="163"/>
      <c r="BQ47" s="163"/>
      <c r="BR47" s="163"/>
    </row>
    <row r="48" spans="1:70" ht="51.75" customHeight="1" x14ac:dyDescent="0.3">
      <c r="A48" s="495"/>
      <c r="B48" s="464"/>
      <c r="C48" s="465"/>
      <c r="D48" s="466"/>
      <c r="E48" s="467"/>
      <c r="F48" s="463" t="str">
        <f t="shared" si="10"/>
        <v>No</v>
      </c>
      <c r="G48" s="463" t="str">
        <f t="shared" si="10"/>
        <v>No</v>
      </c>
      <c r="H48" s="463" t="str">
        <f t="shared" si="10"/>
        <v>No</v>
      </c>
      <c r="I48" s="463" t="str">
        <f t="shared" si="10"/>
        <v>No</v>
      </c>
      <c r="J48" s="463" t="str">
        <f t="shared" si="10"/>
        <v>No</v>
      </c>
      <c r="K48" s="463" t="str">
        <f t="shared" si="10"/>
        <v>No</v>
      </c>
      <c r="L48" s="463" t="str">
        <f t="shared" si="10"/>
        <v>No</v>
      </c>
      <c r="M48" s="463" t="str">
        <f t="shared" si="10"/>
        <v>No</v>
      </c>
      <c r="N48" s="163"/>
      <c r="O48" s="163"/>
      <c r="P48" s="163"/>
      <c r="Q48" s="163"/>
      <c r="R48" s="163"/>
      <c r="S48" s="163"/>
      <c r="T48" s="163"/>
      <c r="U48" s="163"/>
      <c r="V48" s="163"/>
      <c r="W48" s="163"/>
      <c r="X48" s="163"/>
      <c r="Y48" s="163"/>
      <c r="Z48" s="163"/>
      <c r="AA48" s="163"/>
      <c r="AB48" s="163"/>
      <c r="AC48" s="163"/>
      <c r="AD48" s="163"/>
      <c r="AE48" s="163"/>
      <c r="AF48" s="163"/>
      <c r="AG48" s="163"/>
      <c r="AH48" s="163"/>
      <c r="AI48" s="163"/>
      <c r="AJ48" s="163"/>
      <c r="AK48" s="163"/>
      <c r="AL48" s="163"/>
      <c r="AM48" s="163"/>
      <c r="AN48" s="163"/>
      <c r="AO48" s="163"/>
      <c r="AP48" s="163"/>
      <c r="AQ48" s="163"/>
      <c r="AR48" s="163"/>
      <c r="AS48" s="163"/>
      <c r="AT48" s="163"/>
      <c r="AU48" s="163"/>
      <c r="AV48" s="163"/>
      <c r="AW48" s="163"/>
      <c r="AX48" s="163"/>
      <c r="AY48" s="163"/>
      <c r="AZ48" s="163"/>
      <c r="BA48" s="163"/>
      <c r="BB48" s="163"/>
      <c r="BC48" s="163"/>
      <c r="BD48" s="163"/>
      <c r="BE48" s="163"/>
      <c r="BF48" s="163"/>
      <c r="BG48" s="163"/>
      <c r="BH48" s="163"/>
      <c r="BI48" s="163"/>
      <c r="BJ48" s="163"/>
      <c r="BK48" s="163"/>
      <c r="BL48" s="163"/>
      <c r="BM48" s="163"/>
      <c r="BN48" s="163"/>
      <c r="BO48" s="163"/>
      <c r="BP48" s="163"/>
      <c r="BQ48" s="163"/>
      <c r="BR48" s="163"/>
    </row>
    <row r="49" spans="1:70" ht="51.75" customHeight="1" x14ac:dyDescent="0.3">
      <c r="A49" s="495"/>
      <c r="B49" s="464"/>
      <c r="C49" s="465"/>
      <c r="D49" s="466"/>
      <c r="E49" s="467"/>
      <c r="F49" s="463"/>
      <c r="G49" s="463"/>
      <c r="H49" s="463"/>
      <c r="I49" s="463"/>
      <c r="J49" s="463"/>
      <c r="K49" s="463"/>
      <c r="L49" s="463"/>
      <c r="M49" s="463"/>
      <c r="N49" s="163"/>
      <c r="O49" s="163"/>
      <c r="P49" s="163"/>
      <c r="Q49" s="163"/>
      <c r="R49" s="163"/>
      <c r="S49" s="163"/>
      <c r="T49" s="163"/>
      <c r="U49" s="163"/>
      <c r="V49" s="163"/>
      <c r="W49" s="163"/>
      <c r="X49" s="163"/>
      <c r="Y49" s="163"/>
      <c r="Z49" s="163"/>
      <c r="AA49" s="163"/>
      <c r="AB49" s="163"/>
      <c r="AC49" s="163"/>
      <c r="AD49" s="163"/>
      <c r="AE49" s="163"/>
      <c r="AF49" s="163"/>
      <c r="AG49" s="163"/>
      <c r="AH49" s="163"/>
      <c r="AI49" s="163"/>
      <c r="AJ49" s="163"/>
      <c r="AK49" s="163"/>
      <c r="AL49" s="163"/>
      <c r="AM49" s="163"/>
      <c r="AN49" s="163"/>
      <c r="AO49" s="163"/>
      <c r="AP49" s="163"/>
      <c r="AQ49" s="163"/>
      <c r="AR49" s="163"/>
      <c r="AS49" s="163"/>
      <c r="AT49" s="163"/>
      <c r="AU49" s="163"/>
      <c r="AV49" s="163"/>
      <c r="AW49" s="163"/>
      <c r="AX49" s="163"/>
      <c r="AY49" s="163"/>
      <c r="AZ49" s="163"/>
      <c r="BA49" s="163"/>
      <c r="BB49" s="163"/>
      <c r="BC49" s="163"/>
      <c r="BD49" s="163"/>
      <c r="BE49" s="163"/>
      <c r="BF49" s="163"/>
      <c r="BG49" s="163"/>
      <c r="BH49" s="163"/>
      <c r="BI49" s="163"/>
      <c r="BJ49" s="163"/>
      <c r="BK49" s="163"/>
      <c r="BL49" s="163"/>
      <c r="BM49" s="163"/>
      <c r="BN49" s="163"/>
      <c r="BO49" s="163"/>
      <c r="BP49" s="163"/>
      <c r="BQ49" s="163"/>
      <c r="BR49" s="163"/>
    </row>
    <row r="50" spans="1:70" ht="51.75" customHeight="1" x14ac:dyDescent="0.3">
      <c r="A50" s="495"/>
      <c r="B50" s="464"/>
      <c r="C50" s="465"/>
      <c r="D50" s="466"/>
      <c r="E50" s="467"/>
      <c r="F50" s="463"/>
      <c r="G50" s="463"/>
      <c r="H50" s="463"/>
      <c r="I50" s="463"/>
      <c r="J50" s="463"/>
      <c r="K50" s="463"/>
      <c r="L50" s="463"/>
      <c r="M50" s="463"/>
      <c r="N50" s="163"/>
      <c r="O50" s="163"/>
      <c r="P50" s="163"/>
      <c r="Q50" s="163"/>
      <c r="R50" s="163"/>
      <c r="S50" s="163"/>
      <c r="T50" s="163"/>
      <c r="U50" s="163"/>
      <c r="V50" s="163"/>
      <c r="W50" s="163"/>
      <c r="X50" s="163"/>
      <c r="Y50" s="163"/>
      <c r="Z50" s="163"/>
      <c r="AA50" s="163"/>
      <c r="AB50" s="163"/>
      <c r="AC50" s="163"/>
      <c r="AD50" s="163"/>
      <c r="AE50" s="163"/>
      <c r="AF50" s="163"/>
      <c r="AG50" s="163"/>
      <c r="AH50" s="163"/>
      <c r="AI50" s="163"/>
      <c r="AJ50" s="163"/>
      <c r="AK50" s="163"/>
      <c r="AL50" s="163"/>
      <c r="AM50" s="163"/>
      <c r="AN50" s="163"/>
      <c r="AO50" s="163"/>
      <c r="AP50" s="163"/>
      <c r="AQ50" s="163"/>
      <c r="AR50" s="163"/>
      <c r="AS50" s="163"/>
      <c r="AT50" s="163"/>
      <c r="AU50" s="163"/>
      <c r="AV50" s="163"/>
      <c r="AW50" s="163"/>
      <c r="AX50" s="163"/>
      <c r="AY50" s="163"/>
      <c r="AZ50" s="163"/>
      <c r="BA50" s="163"/>
      <c r="BB50" s="163"/>
      <c r="BC50" s="163"/>
      <c r="BD50" s="163"/>
      <c r="BE50" s="163"/>
      <c r="BF50" s="163"/>
      <c r="BG50" s="163"/>
      <c r="BH50" s="163"/>
      <c r="BI50" s="163"/>
      <c r="BJ50" s="163"/>
      <c r="BK50" s="163"/>
      <c r="BL50" s="163"/>
      <c r="BM50" s="163"/>
      <c r="BN50" s="163"/>
      <c r="BO50" s="163"/>
      <c r="BP50" s="163"/>
      <c r="BQ50" s="163"/>
      <c r="BR50" s="163"/>
    </row>
    <row r="51" spans="1:70" ht="51.75" customHeight="1" x14ac:dyDescent="0.3">
      <c r="A51" s="495"/>
      <c r="B51" s="464"/>
      <c r="C51" s="465"/>
      <c r="D51" s="466"/>
      <c r="E51" s="467"/>
      <c r="F51" s="463" t="str">
        <f t="shared" si="10"/>
        <v>No</v>
      </c>
      <c r="G51" s="463" t="str">
        <f t="shared" si="10"/>
        <v>No</v>
      </c>
      <c r="H51" s="463" t="str">
        <f t="shared" si="10"/>
        <v>No</v>
      </c>
      <c r="I51" s="463" t="str">
        <f t="shared" si="10"/>
        <v>No</v>
      </c>
      <c r="J51" s="463" t="str">
        <f t="shared" si="10"/>
        <v>No</v>
      </c>
      <c r="K51" s="463" t="str">
        <f t="shared" si="10"/>
        <v>No</v>
      </c>
      <c r="L51" s="463" t="str">
        <f t="shared" si="10"/>
        <v>No</v>
      </c>
      <c r="M51" s="463" t="str">
        <f t="shared" si="10"/>
        <v>No</v>
      </c>
      <c r="N51" s="163"/>
      <c r="O51" s="163"/>
      <c r="P51" s="163"/>
      <c r="Q51" s="163"/>
      <c r="R51" s="163"/>
      <c r="S51" s="163"/>
      <c r="T51" s="163"/>
      <c r="U51" s="163"/>
      <c r="V51" s="163"/>
      <c r="W51" s="163"/>
      <c r="X51" s="163"/>
      <c r="Y51" s="163"/>
      <c r="Z51" s="163"/>
      <c r="AA51" s="163"/>
      <c r="AB51" s="163"/>
      <c r="AC51" s="163"/>
      <c r="AD51" s="163"/>
      <c r="AE51" s="163"/>
      <c r="AF51" s="163"/>
      <c r="AG51" s="163"/>
      <c r="AH51" s="163"/>
      <c r="AI51" s="163"/>
      <c r="AJ51" s="163"/>
      <c r="AK51" s="163"/>
      <c r="AL51" s="163"/>
      <c r="AM51" s="163"/>
      <c r="AN51" s="163"/>
      <c r="AO51" s="163"/>
      <c r="AP51" s="163"/>
      <c r="AQ51" s="163"/>
      <c r="AR51" s="163"/>
      <c r="AS51" s="163"/>
      <c r="AT51" s="163"/>
      <c r="AU51" s="163"/>
      <c r="AV51" s="163"/>
      <c r="AW51" s="163"/>
      <c r="AX51" s="163"/>
      <c r="AY51" s="163"/>
      <c r="AZ51" s="163"/>
      <c r="BA51" s="163"/>
      <c r="BB51" s="163"/>
      <c r="BC51" s="163"/>
      <c r="BD51" s="163"/>
      <c r="BE51" s="163"/>
      <c r="BF51" s="163"/>
      <c r="BG51" s="163"/>
      <c r="BH51" s="163"/>
      <c r="BI51" s="163"/>
      <c r="BJ51" s="163"/>
      <c r="BK51" s="163"/>
      <c r="BL51" s="163"/>
      <c r="BM51" s="163"/>
      <c r="BN51" s="163"/>
      <c r="BO51" s="163"/>
      <c r="BP51" s="163"/>
      <c r="BQ51" s="163"/>
      <c r="BR51" s="163"/>
    </row>
    <row r="52" spans="1:70" ht="51.75" customHeight="1" x14ac:dyDescent="0.3">
      <c r="A52" s="495"/>
      <c r="B52" s="464"/>
      <c r="C52" s="465"/>
      <c r="D52" s="466"/>
      <c r="E52" s="467"/>
      <c r="F52" s="463"/>
      <c r="G52" s="463"/>
      <c r="H52" s="463"/>
      <c r="I52" s="463"/>
      <c r="J52" s="463"/>
      <c r="K52" s="463"/>
      <c r="L52" s="463"/>
      <c r="M52" s="463"/>
      <c r="N52" s="163"/>
      <c r="O52" s="163"/>
      <c r="P52" s="163"/>
      <c r="Q52" s="163"/>
      <c r="R52" s="163"/>
      <c r="S52" s="163"/>
      <c r="T52" s="163"/>
      <c r="U52" s="163"/>
      <c r="V52" s="163"/>
      <c r="W52" s="163"/>
      <c r="X52" s="163"/>
      <c r="Y52" s="163"/>
      <c r="Z52" s="163"/>
      <c r="AA52" s="163"/>
      <c r="AB52" s="163"/>
      <c r="AC52" s="163"/>
      <c r="AD52" s="163"/>
      <c r="AE52" s="163"/>
      <c r="AF52" s="163"/>
      <c r="AG52" s="163"/>
      <c r="AH52" s="163"/>
      <c r="AI52" s="163"/>
      <c r="AJ52" s="163"/>
      <c r="AK52" s="163"/>
      <c r="AL52" s="163"/>
      <c r="AM52" s="163"/>
      <c r="AN52" s="163"/>
      <c r="AO52" s="163"/>
      <c r="AP52" s="163"/>
      <c r="AQ52" s="163"/>
      <c r="AR52" s="163"/>
      <c r="AS52" s="163"/>
      <c r="AT52" s="163"/>
      <c r="AU52" s="163"/>
      <c r="AV52" s="163"/>
      <c r="AW52" s="163"/>
      <c r="AX52" s="163"/>
      <c r="AY52" s="163"/>
      <c r="AZ52" s="163"/>
      <c r="BA52" s="163"/>
      <c r="BB52" s="163"/>
      <c r="BC52" s="163"/>
      <c r="BD52" s="163"/>
      <c r="BE52" s="163"/>
      <c r="BF52" s="163"/>
      <c r="BG52" s="163"/>
      <c r="BH52" s="163"/>
      <c r="BI52" s="163"/>
      <c r="BJ52" s="163"/>
      <c r="BK52" s="163"/>
      <c r="BL52" s="163"/>
      <c r="BM52" s="163"/>
      <c r="BN52" s="163"/>
      <c r="BO52" s="163"/>
      <c r="BP52" s="163"/>
      <c r="BQ52" s="163"/>
      <c r="BR52" s="163"/>
    </row>
    <row r="53" spans="1:70" ht="51.75" customHeight="1" x14ac:dyDescent="0.3">
      <c r="A53" s="495"/>
      <c r="B53" s="464"/>
      <c r="C53" s="465"/>
      <c r="D53" s="466"/>
      <c r="E53" s="467"/>
      <c r="F53" s="463"/>
      <c r="G53" s="463"/>
      <c r="H53" s="463"/>
      <c r="I53" s="463"/>
      <c r="J53" s="463"/>
      <c r="K53" s="463"/>
      <c r="L53" s="463"/>
      <c r="M53" s="463"/>
      <c r="N53" s="163"/>
      <c r="O53" s="163"/>
      <c r="P53" s="163"/>
      <c r="Q53" s="163"/>
      <c r="R53" s="163"/>
      <c r="S53" s="163"/>
      <c r="T53" s="163"/>
      <c r="U53" s="163"/>
      <c r="V53" s="163"/>
      <c r="W53" s="163"/>
      <c r="X53" s="163"/>
      <c r="Y53" s="163"/>
      <c r="Z53" s="163"/>
      <c r="AA53" s="163"/>
      <c r="AB53" s="163"/>
      <c r="AC53" s="163"/>
      <c r="AD53" s="163"/>
      <c r="AE53" s="163"/>
      <c r="AF53" s="163"/>
      <c r="AG53" s="163"/>
      <c r="AH53" s="163"/>
      <c r="AI53" s="163"/>
      <c r="AJ53" s="163"/>
      <c r="AK53" s="163"/>
      <c r="AL53" s="163"/>
      <c r="AM53" s="163"/>
      <c r="AN53" s="163"/>
      <c r="AO53" s="163"/>
      <c r="AP53" s="163"/>
      <c r="AQ53" s="163"/>
      <c r="AR53" s="163"/>
      <c r="AS53" s="163"/>
      <c r="AT53" s="163"/>
      <c r="AU53" s="163"/>
      <c r="AV53" s="163"/>
      <c r="AW53" s="163"/>
      <c r="AX53" s="163"/>
      <c r="AY53" s="163"/>
      <c r="AZ53" s="163"/>
      <c r="BA53" s="163"/>
      <c r="BB53" s="163"/>
      <c r="BC53" s="163"/>
      <c r="BD53" s="163"/>
      <c r="BE53" s="163"/>
      <c r="BF53" s="163"/>
      <c r="BG53" s="163"/>
      <c r="BH53" s="163"/>
      <c r="BI53" s="163"/>
      <c r="BJ53" s="163"/>
      <c r="BK53" s="163"/>
      <c r="BL53" s="163"/>
      <c r="BM53" s="163"/>
      <c r="BN53" s="163"/>
      <c r="BO53" s="163"/>
      <c r="BP53" s="163"/>
      <c r="BQ53" s="163"/>
      <c r="BR53" s="163"/>
    </row>
    <row r="54" spans="1:70" ht="51.75" customHeight="1" x14ac:dyDescent="0.3">
      <c r="A54" s="495"/>
      <c r="B54" s="464"/>
      <c r="C54" s="465"/>
      <c r="D54" s="466"/>
      <c r="E54" s="467"/>
      <c r="F54" s="463" t="str">
        <f t="shared" si="10"/>
        <v>No</v>
      </c>
      <c r="G54" s="463" t="str">
        <f t="shared" si="10"/>
        <v>No</v>
      </c>
      <c r="H54" s="463" t="str">
        <f t="shared" si="10"/>
        <v>No</v>
      </c>
      <c r="I54" s="463" t="str">
        <f t="shared" si="10"/>
        <v>No</v>
      </c>
      <c r="J54" s="463" t="str">
        <f t="shared" si="10"/>
        <v>No</v>
      </c>
      <c r="K54" s="463" t="str">
        <f t="shared" si="10"/>
        <v>No</v>
      </c>
      <c r="L54" s="463" t="str">
        <f t="shared" si="10"/>
        <v>No</v>
      </c>
      <c r="M54" s="463" t="str">
        <f t="shared" si="10"/>
        <v>No</v>
      </c>
      <c r="N54" s="163"/>
      <c r="O54" s="163"/>
      <c r="P54" s="163"/>
      <c r="Q54" s="163"/>
      <c r="R54" s="163"/>
      <c r="S54" s="163"/>
      <c r="T54" s="163"/>
      <c r="U54" s="163"/>
      <c r="V54" s="163"/>
      <c r="W54" s="163"/>
      <c r="X54" s="163"/>
      <c r="Y54" s="163"/>
      <c r="Z54" s="163"/>
      <c r="AA54" s="163"/>
      <c r="AB54" s="163"/>
      <c r="AC54" s="163"/>
      <c r="AD54" s="163"/>
      <c r="AE54" s="163"/>
      <c r="AF54" s="163"/>
      <c r="AG54" s="163"/>
      <c r="AH54" s="163"/>
      <c r="AI54" s="163"/>
      <c r="AJ54" s="163"/>
      <c r="AK54" s="163"/>
      <c r="AL54" s="163"/>
      <c r="AM54" s="163"/>
      <c r="AN54" s="163"/>
      <c r="AO54" s="163"/>
      <c r="AP54" s="163"/>
      <c r="AQ54" s="163"/>
      <c r="AR54" s="163"/>
      <c r="AS54" s="163"/>
      <c r="AT54" s="163"/>
      <c r="AU54" s="163"/>
      <c r="AV54" s="163"/>
      <c r="AW54" s="163"/>
      <c r="AX54" s="163"/>
      <c r="AY54" s="163"/>
      <c r="AZ54" s="163"/>
      <c r="BA54" s="163"/>
      <c r="BB54" s="163"/>
      <c r="BC54" s="163"/>
      <c r="BD54" s="163"/>
      <c r="BE54" s="163"/>
      <c r="BF54" s="163"/>
      <c r="BG54" s="163"/>
      <c r="BH54" s="163"/>
      <c r="BI54" s="163"/>
      <c r="BJ54" s="163"/>
      <c r="BK54" s="163"/>
      <c r="BL54" s="163"/>
      <c r="BM54" s="163"/>
      <c r="BN54" s="163"/>
      <c r="BO54" s="163"/>
      <c r="BP54" s="163"/>
      <c r="BQ54" s="163"/>
      <c r="BR54" s="163"/>
    </row>
    <row r="55" spans="1:70" ht="51.75" customHeight="1" x14ac:dyDescent="0.3">
      <c r="A55" s="495"/>
      <c r="B55" s="464"/>
      <c r="C55" s="465"/>
      <c r="D55" s="466"/>
      <c r="E55" s="467"/>
      <c r="F55" s="463"/>
      <c r="G55" s="463"/>
      <c r="H55" s="463"/>
      <c r="I55" s="463"/>
      <c r="J55" s="463"/>
      <c r="K55" s="463"/>
      <c r="L55" s="463"/>
      <c r="M55" s="463"/>
      <c r="N55" s="163"/>
      <c r="O55" s="163"/>
      <c r="P55" s="163"/>
      <c r="Q55" s="163"/>
      <c r="R55" s="163"/>
      <c r="S55" s="163"/>
      <c r="T55" s="163"/>
      <c r="U55" s="163"/>
      <c r="V55" s="163"/>
      <c r="W55" s="163"/>
      <c r="X55" s="163"/>
      <c r="Y55" s="163"/>
      <c r="Z55" s="163"/>
      <c r="AA55" s="163"/>
      <c r="AB55" s="163"/>
      <c r="AC55" s="163"/>
      <c r="AD55" s="163"/>
      <c r="AE55" s="163"/>
      <c r="AF55" s="163"/>
      <c r="AG55" s="163"/>
      <c r="AH55" s="163"/>
      <c r="AI55" s="163"/>
      <c r="AJ55" s="163"/>
      <c r="AK55" s="163"/>
      <c r="AL55" s="163"/>
      <c r="AM55" s="163"/>
      <c r="AN55" s="163"/>
      <c r="AO55" s="163"/>
      <c r="AP55" s="163"/>
      <c r="AQ55" s="163"/>
      <c r="AR55" s="163"/>
      <c r="AS55" s="163"/>
      <c r="AT55" s="163"/>
      <c r="AU55" s="163"/>
      <c r="AV55" s="163"/>
      <c r="AW55" s="163"/>
      <c r="AX55" s="163"/>
      <c r="AY55" s="163"/>
      <c r="AZ55" s="163"/>
      <c r="BA55" s="163"/>
      <c r="BB55" s="163"/>
      <c r="BC55" s="163"/>
      <c r="BD55" s="163"/>
      <c r="BE55" s="163"/>
      <c r="BF55" s="163"/>
      <c r="BG55" s="163"/>
      <c r="BH55" s="163"/>
      <c r="BI55" s="163"/>
      <c r="BJ55" s="163"/>
      <c r="BK55" s="163"/>
      <c r="BL55" s="163"/>
      <c r="BM55" s="163"/>
      <c r="BN55" s="163"/>
      <c r="BO55" s="163"/>
      <c r="BP55" s="163"/>
      <c r="BQ55" s="163"/>
      <c r="BR55" s="163"/>
    </row>
    <row r="56" spans="1:70" ht="51.75" customHeight="1" x14ac:dyDescent="0.3">
      <c r="A56" s="495"/>
      <c r="B56" s="464"/>
      <c r="C56" s="465"/>
      <c r="D56" s="466"/>
      <c r="E56" s="467"/>
      <c r="F56" s="463"/>
      <c r="G56" s="463"/>
      <c r="H56" s="463"/>
      <c r="I56" s="463"/>
      <c r="J56" s="463"/>
      <c r="K56" s="463"/>
      <c r="L56" s="463"/>
      <c r="M56" s="463"/>
      <c r="N56" s="163"/>
      <c r="O56" s="163"/>
      <c r="P56" s="163"/>
      <c r="Q56" s="163"/>
      <c r="R56" s="163"/>
      <c r="S56" s="163"/>
      <c r="T56" s="163"/>
      <c r="U56" s="163"/>
      <c r="V56" s="163"/>
      <c r="W56" s="163"/>
      <c r="X56" s="163"/>
      <c r="Y56" s="163"/>
      <c r="Z56" s="163"/>
      <c r="AA56" s="163"/>
      <c r="AB56" s="163"/>
      <c r="AC56" s="163"/>
      <c r="AD56" s="163"/>
      <c r="AE56" s="163"/>
      <c r="AF56" s="163"/>
      <c r="AG56" s="163"/>
      <c r="AH56" s="163"/>
      <c r="AI56" s="163"/>
      <c r="AJ56" s="163"/>
      <c r="AK56" s="163"/>
      <c r="AL56" s="163"/>
      <c r="AM56" s="163"/>
      <c r="AN56" s="163"/>
      <c r="AO56" s="163"/>
      <c r="AP56" s="163"/>
      <c r="AQ56" s="163"/>
      <c r="AR56" s="163"/>
      <c r="AS56" s="163"/>
      <c r="AT56" s="163"/>
      <c r="AU56" s="163"/>
      <c r="AV56" s="163"/>
      <c r="AW56" s="163"/>
      <c r="AX56" s="163"/>
      <c r="AY56" s="163"/>
      <c r="AZ56" s="163"/>
      <c r="BA56" s="163"/>
      <c r="BB56" s="163"/>
      <c r="BC56" s="163"/>
      <c r="BD56" s="163"/>
      <c r="BE56" s="163"/>
      <c r="BF56" s="163"/>
      <c r="BG56" s="163"/>
      <c r="BH56" s="163"/>
      <c r="BI56" s="163"/>
      <c r="BJ56" s="163"/>
      <c r="BK56" s="163"/>
      <c r="BL56" s="163"/>
      <c r="BM56" s="163"/>
      <c r="BN56" s="163"/>
      <c r="BO56" s="163"/>
      <c r="BP56" s="163"/>
      <c r="BQ56" s="163"/>
      <c r="BR56" s="163"/>
    </row>
    <row r="57" spans="1:70" ht="51.75" customHeight="1" x14ac:dyDescent="0.3">
      <c r="A57" s="495"/>
      <c r="B57" s="464"/>
      <c r="C57" s="465"/>
      <c r="D57" s="466"/>
      <c r="E57" s="467"/>
      <c r="F57" s="463" t="str">
        <f t="shared" si="10"/>
        <v>No</v>
      </c>
      <c r="G57" s="463" t="str">
        <f t="shared" si="10"/>
        <v>No</v>
      </c>
      <c r="H57" s="463" t="str">
        <f t="shared" si="10"/>
        <v>No</v>
      </c>
      <c r="I57" s="463" t="str">
        <f t="shared" si="10"/>
        <v>No</v>
      </c>
      <c r="J57" s="463" t="str">
        <f t="shared" si="10"/>
        <v>No</v>
      </c>
      <c r="K57" s="463" t="str">
        <f t="shared" si="10"/>
        <v>No</v>
      </c>
      <c r="L57" s="463" t="str">
        <f t="shared" si="10"/>
        <v>No</v>
      </c>
      <c r="M57" s="463" t="str">
        <f t="shared" si="10"/>
        <v>No</v>
      </c>
      <c r="N57" s="163"/>
      <c r="O57" s="163"/>
      <c r="P57" s="163"/>
      <c r="Q57" s="163"/>
      <c r="R57" s="163"/>
      <c r="S57" s="163"/>
      <c r="T57" s="163"/>
      <c r="U57" s="163"/>
      <c r="V57" s="163"/>
      <c r="W57" s="163"/>
      <c r="X57" s="163"/>
      <c r="Y57" s="163"/>
      <c r="Z57" s="163"/>
      <c r="AA57" s="163"/>
      <c r="AB57" s="163"/>
      <c r="AC57" s="163"/>
      <c r="AD57" s="163"/>
      <c r="AE57" s="163"/>
      <c r="AF57" s="163"/>
      <c r="AG57" s="163"/>
      <c r="AH57" s="163"/>
      <c r="AI57" s="163"/>
      <c r="AJ57" s="163"/>
      <c r="AK57" s="163"/>
      <c r="AL57" s="163"/>
      <c r="AM57" s="163"/>
      <c r="AN57" s="163"/>
      <c r="AO57" s="163"/>
      <c r="AP57" s="163"/>
      <c r="AQ57" s="163"/>
      <c r="AR57" s="163"/>
      <c r="AS57" s="163"/>
      <c r="AT57" s="163"/>
      <c r="AU57" s="163"/>
      <c r="AV57" s="163"/>
      <c r="AW57" s="163"/>
      <c r="AX57" s="163"/>
      <c r="AY57" s="163"/>
      <c r="AZ57" s="163"/>
      <c r="BA57" s="163"/>
      <c r="BB57" s="163"/>
      <c r="BC57" s="163"/>
      <c r="BD57" s="163"/>
      <c r="BE57" s="163"/>
      <c r="BF57" s="163"/>
      <c r="BG57" s="163"/>
      <c r="BH57" s="163"/>
      <c r="BI57" s="163"/>
      <c r="BJ57" s="163"/>
      <c r="BK57" s="163"/>
      <c r="BL57" s="163"/>
      <c r="BM57" s="163"/>
      <c r="BN57" s="163"/>
      <c r="BO57" s="163"/>
      <c r="BP57" s="163"/>
      <c r="BQ57" s="163"/>
      <c r="BR57" s="163"/>
    </row>
    <row r="58" spans="1:70" ht="51.75" customHeight="1" x14ac:dyDescent="0.3">
      <c r="A58" s="495"/>
      <c r="B58" s="464"/>
      <c r="C58" s="465"/>
      <c r="D58" s="466"/>
      <c r="E58" s="467"/>
      <c r="F58" s="463"/>
      <c r="G58" s="463"/>
      <c r="H58" s="463"/>
      <c r="I58" s="463"/>
      <c r="J58" s="463"/>
      <c r="K58" s="463"/>
      <c r="L58" s="463"/>
      <c r="M58" s="463"/>
      <c r="N58" s="163"/>
      <c r="O58" s="163"/>
      <c r="P58" s="163"/>
      <c r="Q58" s="163"/>
      <c r="R58" s="163"/>
      <c r="S58" s="163"/>
      <c r="T58" s="163"/>
      <c r="U58" s="163"/>
      <c r="V58" s="163"/>
      <c r="W58" s="163"/>
      <c r="X58" s="163"/>
      <c r="Y58" s="163"/>
      <c r="Z58" s="163"/>
      <c r="AA58" s="163"/>
      <c r="AB58" s="163"/>
      <c r="AC58" s="163"/>
      <c r="AD58" s="163"/>
      <c r="AE58" s="163"/>
      <c r="AF58" s="163"/>
      <c r="AG58" s="163"/>
      <c r="AH58" s="163"/>
      <c r="AI58" s="163"/>
      <c r="AJ58" s="163"/>
      <c r="AK58" s="163"/>
      <c r="AL58" s="163"/>
      <c r="AM58" s="163"/>
      <c r="AN58" s="163"/>
      <c r="AO58" s="163"/>
      <c r="AP58" s="163"/>
      <c r="AQ58" s="163"/>
      <c r="AR58" s="163"/>
      <c r="AS58" s="163"/>
      <c r="AT58" s="163"/>
      <c r="AU58" s="163"/>
      <c r="AV58" s="163"/>
      <c r="AW58" s="163"/>
      <c r="AX58" s="163"/>
      <c r="AY58" s="163"/>
      <c r="AZ58" s="163"/>
      <c r="BA58" s="163"/>
      <c r="BB58" s="163"/>
      <c r="BC58" s="163"/>
      <c r="BD58" s="163"/>
      <c r="BE58" s="163"/>
      <c r="BF58" s="163"/>
      <c r="BG58" s="163"/>
      <c r="BH58" s="163"/>
      <c r="BI58" s="163"/>
      <c r="BJ58" s="163"/>
      <c r="BK58" s="163"/>
      <c r="BL58" s="163"/>
      <c r="BM58" s="163"/>
      <c r="BN58" s="163"/>
      <c r="BO58" s="163"/>
      <c r="BP58" s="163"/>
      <c r="BQ58" s="163"/>
      <c r="BR58" s="163"/>
    </row>
    <row r="59" spans="1:70" ht="51.75" customHeight="1" x14ac:dyDescent="0.3">
      <c r="A59" s="495"/>
      <c r="B59" s="464"/>
      <c r="C59" s="465"/>
      <c r="D59" s="466"/>
      <c r="E59" s="467"/>
      <c r="F59" s="463"/>
      <c r="G59" s="463"/>
      <c r="H59" s="463"/>
      <c r="I59" s="463"/>
      <c r="J59" s="463"/>
      <c r="K59" s="463"/>
      <c r="L59" s="463"/>
      <c r="M59" s="463"/>
      <c r="N59" s="163"/>
      <c r="O59" s="163"/>
      <c r="P59" s="163"/>
      <c r="Q59" s="163"/>
      <c r="R59" s="163"/>
      <c r="S59" s="163"/>
      <c r="T59" s="163"/>
      <c r="U59" s="163"/>
      <c r="V59" s="163"/>
      <c r="W59" s="163"/>
      <c r="X59" s="163"/>
      <c r="Y59" s="163"/>
      <c r="Z59" s="163"/>
      <c r="AA59" s="163"/>
      <c r="AB59" s="163"/>
      <c r="AC59" s="163"/>
      <c r="AD59" s="163"/>
      <c r="AE59" s="163"/>
      <c r="AF59" s="163"/>
      <c r="AG59" s="163"/>
      <c r="AH59" s="163"/>
      <c r="AI59" s="163"/>
      <c r="AJ59" s="163"/>
      <c r="AK59" s="163"/>
      <c r="AL59" s="163"/>
      <c r="AM59" s="163"/>
      <c r="AN59" s="163"/>
      <c r="AO59" s="163"/>
      <c r="AP59" s="163"/>
      <c r="AQ59" s="163"/>
      <c r="AR59" s="163"/>
      <c r="AS59" s="163"/>
      <c r="AT59" s="163"/>
      <c r="AU59" s="163"/>
      <c r="AV59" s="163"/>
      <c r="AW59" s="163"/>
      <c r="AX59" s="163"/>
      <c r="AY59" s="163"/>
      <c r="AZ59" s="163"/>
      <c r="BA59" s="163"/>
      <c r="BB59" s="163"/>
      <c r="BC59" s="163"/>
      <c r="BD59" s="163"/>
      <c r="BE59" s="163"/>
      <c r="BF59" s="163"/>
      <c r="BG59" s="163"/>
      <c r="BH59" s="163"/>
      <c r="BI59" s="163"/>
      <c r="BJ59" s="163"/>
      <c r="BK59" s="163"/>
      <c r="BL59" s="163"/>
      <c r="BM59" s="163"/>
      <c r="BN59" s="163"/>
      <c r="BO59" s="163"/>
      <c r="BP59" s="163"/>
      <c r="BQ59" s="163"/>
      <c r="BR59" s="163"/>
    </row>
    <row r="60" spans="1:70" ht="51.75" customHeight="1" x14ac:dyDescent="0.3">
      <c r="A60" s="495"/>
      <c r="B60" s="464"/>
      <c r="C60" s="465"/>
      <c r="D60" s="466"/>
      <c r="E60" s="467"/>
      <c r="F60" s="463" t="str">
        <f t="shared" si="10"/>
        <v>No</v>
      </c>
      <c r="G60" s="463" t="str">
        <f t="shared" si="10"/>
        <v>No</v>
      </c>
      <c r="H60" s="463" t="str">
        <f t="shared" si="10"/>
        <v>No</v>
      </c>
      <c r="I60" s="463" t="str">
        <f t="shared" si="10"/>
        <v>No</v>
      </c>
      <c r="J60" s="463" t="str">
        <f t="shared" si="10"/>
        <v>No</v>
      </c>
      <c r="K60" s="463" t="str">
        <f t="shared" si="10"/>
        <v>No</v>
      </c>
      <c r="L60" s="463" t="str">
        <f t="shared" si="10"/>
        <v>No</v>
      </c>
      <c r="M60" s="463" t="str">
        <f t="shared" si="10"/>
        <v>No</v>
      </c>
      <c r="N60" s="163"/>
      <c r="O60" s="163"/>
      <c r="P60" s="163"/>
      <c r="Q60" s="163"/>
      <c r="R60" s="163"/>
      <c r="S60" s="163"/>
      <c r="T60" s="163"/>
      <c r="U60" s="163"/>
      <c r="V60" s="163"/>
      <c r="W60" s="163"/>
      <c r="X60" s="163"/>
      <c r="Y60" s="163"/>
      <c r="Z60" s="163"/>
      <c r="AA60" s="163"/>
      <c r="AB60" s="163"/>
      <c r="AC60" s="163"/>
      <c r="AD60" s="163"/>
      <c r="AE60" s="163"/>
      <c r="AF60" s="163"/>
      <c r="AG60" s="163"/>
      <c r="AH60" s="163"/>
      <c r="AI60" s="163"/>
      <c r="AJ60" s="163"/>
      <c r="AK60" s="163"/>
      <c r="AL60" s="163"/>
      <c r="AM60" s="163"/>
      <c r="AN60" s="163"/>
      <c r="AO60" s="163"/>
      <c r="AP60" s="163"/>
      <c r="AQ60" s="163"/>
      <c r="AR60" s="163"/>
      <c r="AS60" s="163"/>
      <c r="AT60" s="163"/>
      <c r="AU60" s="163"/>
      <c r="AV60" s="163"/>
      <c r="AW60" s="163"/>
      <c r="AX60" s="163"/>
      <c r="AY60" s="163"/>
      <c r="AZ60" s="163"/>
      <c r="BA60" s="163"/>
      <c r="BB60" s="163"/>
      <c r="BC60" s="163"/>
      <c r="BD60" s="163"/>
      <c r="BE60" s="163"/>
      <c r="BF60" s="163"/>
      <c r="BG60" s="163"/>
      <c r="BH60" s="163"/>
      <c r="BI60" s="163"/>
      <c r="BJ60" s="163"/>
      <c r="BK60" s="163"/>
      <c r="BL60" s="163"/>
      <c r="BM60" s="163"/>
      <c r="BN60" s="163"/>
      <c r="BO60" s="163"/>
      <c r="BP60" s="163"/>
      <c r="BQ60" s="163"/>
      <c r="BR60" s="163"/>
    </row>
    <row r="61" spans="1:70" ht="51.75" customHeight="1" x14ac:dyDescent="0.3">
      <c r="A61" s="495"/>
      <c r="B61" s="464"/>
      <c r="C61" s="465"/>
      <c r="D61" s="466"/>
      <c r="E61" s="467"/>
      <c r="F61" s="463"/>
      <c r="G61" s="463"/>
      <c r="H61" s="463"/>
      <c r="I61" s="463"/>
      <c r="J61" s="463"/>
      <c r="K61" s="463"/>
      <c r="L61" s="463"/>
      <c r="M61" s="463"/>
      <c r="N61" s="163"/>
      <c r="O61" s="163"/>
      <c r="P61" s="163"/>
      <c r="Q61" s="163"/>
      <c r="R61" s="163"/>
      <c r="S61" s="163"/>
      <c r="T61" s="163"/>
      <c r="U61" s="163"/>
      <c r="V61" s="163"/>
      <c r="W61" s="163"/>
      <c r="X61" s="163"/>
      <c r="Y61" s="163"/>
      <c r="Z61" s="163"/>
      <c r="AA61" s="163"/>
      <c r="AB61" s="163"/>
      <c r="AC61" s="163"/>
      <c r="AD61" s="163"/>
      <c r="AE61" s="163"/>
      <c r="AF61" s="163"/>
      <c r="AG61" s="163"/>
      <c r="AH61" s="163"/>
      <c r="AI61" s="163"/>
      <c r="AJ61" s="163"/>
      <c r="AK61" s="163"/>
      <c r="AL61" s="163"/>
      <c r="AM61" s="163"/>
      <c r="AN61" s="163"/>
      <c r="AO61" s="163"/>
      <c r="AP61" s="163"/>
      <c r="AQ61" s="163"/>
      <c r="AR61" s="163"/>
      <c r="AS61" s="163"/>
      <c r="AT61" s="163"/>
      <c r="AU61" s="163"/>
      <c r="AV61" s="163"/>
      <c r="AW61" s="163"/>
      <c r="AX61" s="163"/>
      <c r="AY61" s="163"/>
      <c r="AZ61" s="163"/>
      <c r="BA61" s="163"/>
      <c r="BB61" s="163"/>
      <c r="BC61" s="163"/>
      <c r="BD61" s="163"/>
      <c r="BE61" s="163"/>
      <c r="BF61" s="163"/>
      <c r="BG61" s="163"/>
      <c r="BH61" s="163"/>
      <c r="BI61" s="163"/>
      <c r="BJ61" s="163"/>
      <c r="BK61" s="163"/>
      <c r="BL61" s="163"/>
      <c r="BM61" s="163"/>
      <c r="BN61" s="163"/>
      <c r="BO61" s="163"/>
      <c r="BP61" s="163"/>
      <c r="BQ61" s="163"/>
      <c r="BR61" s="163"/>
    </row>
    <row r="62" spans="1:70" ht="51.75" customHeight="1" x14ac:dyDescent="0.3">
      <c r="A62" s="495"/>
      <c r="B62" s="464"/>
      <c r="C62" s="465"/>
      <c r="D62" s="466"/>
      <c r="E62" s="467"/>
      <c r="F62" s="463"/>
      <c r="G62" s="463"/>
      <c r="H62" s="463"/>
      <c r="I62" s="463"/>
      <c r="J62" s="463"/>
      <c r="K62" s="463"/>
      <c r="L62" s="463"/>
      <c r="M62" s="463"/>
      <c r="N62" s="163"/>
      <c r="O62" s="163"/>
      <c r="P62" s="163"/>
      <c r="Q62" s="163"/>
      <c r="R62" s="163"/>
      <c r="S62" s="163"/>
      <c r="T62" s="163"/>
      <c r="U62" s="163"/>
      <c r="V62" s="163"/>
      <c r="W62" s="163"/>
      <c r="X62" s="163"/>
      <c r="Y62" s="163"/>
      <c r="Z62" s="163"/>
      <c r="AA62" s="163"/>
      <c r="AB62" s="163"/>
      <c r="AC62" s="163"/>
      <c r="AD62" s="163"/>
      <c r="AE62" s="163"/>
      <c r="AF62" s="163"/>
      <c r="AG62" s="163"/>
      <c r="AH62" s="163"/>
      <c r="AI62" s="163"/>
      <c r="AJ62" s="163"/>
      <c r="AK62" s="163"/>
      <c r="AL62" s="163"/>
      <c r="AM62" s="163"/>
      <c r="AN62" s="163"/>
      <c r="AO62" s="163"/>
      <c r="AP62" s="163"/>
      <c r="AQ62" s="163"/>
      <c r="AR62" s="163"/>
      <c r="AS62" s="163"/>
      <c r="AT62" s="163"/>
      <c r="AU62" s="163"/>
      <c r="AV62" s="163"/>
      <c r="AW62" s="163"/>
      <c r="AX62" s="163"/>
      <c r="AY62" s="163"/>
      <c r="AZ62" s="163"/>
      <c r="BA62" s="163"/>
      <c r="BB62" s="163"/>
      <c r="BC62" s="163"/>
      <c r="BD62" s="163"/>
      <c r="BE62" s="163"/>
      <c r="BF62" s="163"/>
      <c r="BG62" s="163"/>
      <c r="BH62" s="163"/>
      <c r="BI62" s="163"/>
      <c r="BJ62" s="163"/>
      <c r="BK62" s="163"/>
      <c r="BL62" s="163"/>
      <c r="BM62" s="163"/>
      <c r="BN62" s="163"/>
      <c r="BO62" s="163"/>
      <c r="BP62" s="163"/>
      <c r="BQ62" s="163"/>
      <c r="BR62" s="163"/>
    </row>
    <row r="63" spans="1:70" ht="51.75" customHeight="1" x14ac:dyDescent="0.3">
      <c r="A63" s="495"/>
      <c r="B63" s="464"/>
      <c r="C63" s="465"/>
      <c r="D63" s="466"/>
      <c r="E63" s="467"/>
      <c r="F63" s="463" t="str">
        <f t="shared" si="10"/>
        <v>No</v>
      </c>
      <c r="G63" s="463" t="str">
        <f t="shared" si="10"/>
        <v>No</v>
      </c>
      <c r="H63" s="463" t="str">
        <f t="shared" si="10"/>
        <v>No</v>
      </c>
      <c r="I63" s="463" t="str">
        <f t="shared" si="10"/>
        <v>No</v>
      </c>
      <c r="J63" s="463" t="str">
        <f t="shared" si="10"/>
        <v>No</v>
      </c>
      <c r="K63" s="463" t="str">
        <f t="shared" si="10"/>
        <v>No</v>
      </c>
      <c r="L63" s="463" t="str">
        <f t="shared" si="10"/>
        <v>No</v>
      </c>
      <c r="M63" s="463" t="str">
        <f t="shared" si="10"/>
        <v>No</v>
      </c>
      <c r="N63" s="163"/>
      <c r="O63" s="163"/>
      <c r="P63" s="163"/>
      <c r="Q63" s="163"/>
      <c r="R63" s="163"/>
      <c r="S63" s="163"/>
      <c r="T63" s="163"/>
      <c r="U63" s="163"/>
      <c r="V63" s="163"/>
      <c r="W63" s="163"/>
      <c r="X63" s="163"/>
      <c r="Y63" s="163"/>
      <c r="Z63" s="163"/>
      <c r="AA63" s="163"/>
      <c r="AB63" s="163"/>
      <c r="AC63" s="163"/>
      <c r="AD63" s="163"/>
      <c r="AE63" s="163"/>
      <c r="AF63" s="163"/>
      <c r="AG63" s="163"/>
      <c r="AH63" s="163"/>
      <c r="AI63" s="163"/>
      <c r="AJ63" s="163"/>
      <c r="AK63" s="163"/>
      <c r="AL63" s="163"/>
      <c r="AM63" s="163"/>
      <c r="AN63" s="163"/>
      <c r="AO63" s="163"/>
      <c r="AP63" s="163"/>
      <c r="AQ63" s="163"/>
      <c r="AR63" s="163"/>
      <c r="AS63" s="163"/>
      <c r="AT63" s="163"/>
      <c r="AU63" s="163"/>
      <c r="AV63" s="163"/>
      <c r="AW63" s="163"/>
      <c r="AX63" s="163"/>
      <c r="AY63" s="163"/>
      <c r="AZ63" s="163"/>
      <c r="BA63" s="163"/>
      <c r="BB63" s="163"/>
      <c r="BC63" s="163"/>
      <c r="BD63" s="163"/>
      <c r="BE63" s="163"/>
      <c r="BF63" s="163"/>
      <c r="BG63" s="163"/>
      <c r="BH63" s="163"/>
      <c r="BI63" s="163"/>
      <c r="BJ63" s="163"/>
      <c r="BK63" s="163"/>
      <c r="BL63" s="163"/>
      <c r="BM63" s="163"/>
      <c r="BN63" s="163"/>
      <c r="BO63" s="163"/>
      <c r="BP63" s="163"/>
      <c r="BQ63" s="163"/>
      <c r="BR63" s="163"/>
    </row>
    <row r="64" spans="1:70" ht="51.75" customHeight="1" x14ac:dyDescent="0.3">
      <c r="A64" s="495"/>
      <c r="B64" s="464"/>
      <c r="C64" s="465"/>
      <c r="D64" s="466"/>
      <c r="E64" s="467"/>
      <c r="F64" s="463"/>
      <c r="G64" s="463"/>
      <c r="H64" s="463"/>
      <c r="I64" s="463"/>
      <c r="J64" s="463"/>
      <c r="K64" s="463"/>
      <c r="L64" s="463"/>
      <c r="M64" s="463"/>
      <c r="N64" s="163"/>
      <c r="O64" s="163"/>
      <c r="P64" s="163"/>
      <c r="Q64" s="163"/>
      <c r="R64" s="163"/>
      <c r="S64" s="163"/>
      <c r="T64" s="163"/>
      <c r="U64" s="163"/>
      <c r="V64" s="163"/>
      <c r="W64" s="163"/>
      <c r="X64" s="163"/>
      <c r="Y64" s="163"/>
      <c r="Z64" s="163"/>
      <c r="AA64" s="163"/>
      <c r="AB64" s="163"/>
      <c r="AC64" s="163"/>
      <c r="AD64" s="163"/>
      <c r="AE64" s="163"/>
      <c r="AF64" s="163"/>
      <c r="AG64" s="163"/>
      <c r="AH64" s="163"/>
      <c r="AI64" s="163"/>
      <c r="AJ64" s="163"/>
      <c r="AK64" s="163"/>
      <c r="AL64" s="163"/>
      <c r="AM64" s="163"/>
      <c r="AN64" s="163"/>
      <c r="AO64" s="163"/>
      <c r="AP64" s="163"/>
      <c r="AQ64" s="163"/>
      <c r="AR64" s="163"/>
      <c r="AS64" s="163"/>
      <c r="AT64" s="163"/>
      <c r="AU64" s="163"/>
      <c r="AV64" s="163"/>
      <c r="AW64" s="163"/>
      <c r="AX64" s="163"/>
      <c r="AY64" s="163"/>
      <c r="AZ64" s="163"/>
      <c r="BA64" s="163"/>
      <c r="BB64" s="163"/>
      <c r="BC64" s="163"/>
      <c r="BD64" s="163"/>
      <c r="BE64" s="163"/>
      <c r="BF64" s="163"/>
      <c r="BG64" s="163"/>
      <c r="BH64" s="163"/>
      <c r="BI64" s="163"/>
      <c r="BJ64" s="163"/>
      <c r="BK64" s="163"/>
      <c r="BL64" s="163"/>
      <c r="BM64" s="163"/>
      <c r="BN64" s="163"/>
      <c r="BO64" s="163"/>
      <c r="BP64" s="163"/>
      <c r="BQ64" s="163"/>
      <c r="BR64" s="163"/>
    </row>
    <row r="65" spans="1:70" ht="51.75" customHeight="1" x14ac:dyDescent="0.3">
      <c r="A65" s="495"/>
      <c r="B65" s="464"/>
      <c r="C65" s="465"/>
      <c r="D65" s="466"/>
      <c r="E65" s="467"/>
      <c r="F65" s="463"/>
      <c r="G65" s="463"/>
      <c r="H65" s="463"/>
      <c r="I65" s="463"/>
      <c r="J65" s="463"/>
      <c r="K65" s="463"/>
      <c r="L65" s="463"/>
      <c r="M65" s="463"/>
      <c r="N65" s="163"/>
      <c r="O65" s="163"/>
      <c r="P65" s="163"/>
      <c r="Q65" s="163"/>
      <c r="R65" s="163"/>
      <c r="S65" s="163"/>
      <c r="T65" s="163"/>
      <c r="U65" s="163"/>
      <c r="V65" s="163"/>
      <c r="W65" s="163"/>
      <c r="X65" s="163"/>
      <c r="Y65" s="163"/>
      <c r="Z65" s="163"/>
      <c r="AA65" s="163"/>
      <c r="AB65" s="163"/>
      <c r="AC65" s="163"/>
      <c r="AD65" s="163"/>
      <c r="AE65" s="163"/>
      <c r="AF65" s="163"/>
      <c r="AG65" s="163"/>
      <c r="AH65" s="163"/>
      <c r="AI65" s="163"/>
      <c r="AJ65" s="163"/>
      <c r="AK65" s="163"/>
      <c r="AL65" s="163"/>
      <c r="AM65" s="163"/>
      <c r="AN65" s="163"/>
      <c r="AO65" s="163"/>
      <c r="AP65" s="163"/>
      <c r="AQ65" s="163"/>
      <c r="AR65" s="163"/>
      <c r="AS65" s="163"/>
      <c r="AT65" s="163"/>
      <c r="AU65" s="163"/>
      <c r="AV65" s="163"/>
      <c r="AW65" s="163"/>
      <c r="AX65" s="163"/>
      <c r="AY65" s="163"/>
      <c r="AZ65" s="163"/>
      <c r="BA65" s="163"/>
      <c r="BB65" s="163"/>
      <c r="BC65" s="163"/>
      <c r="BD65" s="163"/>
      <c r="BE65" s="163"/>
      <c r="BF65" s="163"/>
      <c r="BG65" s="163"/>
      <c r="BH65" s="163"/>
      <c r="BI65" s="163"/>
      <c r="BJ65" s="163"/>
      <c r="BK65" s="163"/>
      <c r="BL65" s="163"/>
      <c r="BM65" s="163"/>
      <c r="BN65" s="163"/>
      <c r="BO65" s="163"/>
      <c r="BP65" s="163"/>
      <c r="BQ65" s="163"/>
      <c r="BR65" s="163"/>
    </row>
    <row r="66" spans="1:70" ht="51.75" customHeight="1" x14ac:dyDescent="0.3">
      <c r="A66" s="495"/>
      <c r="B66" s="464"/>
      <c r="C66" s="465"/>
      <c r="D66" s="466"/>
      <c r="E66" s="467"/>
      <c r="F66" s="463" t="str">
        <f t="shared" si="10"/>
        <v>No</v>
      </c>
      <c r="G66" s="463" t="str">
        <f t="shared" si="10"/>
        <v>No</v>
      </c>
      <c r="H66" s="463" t="str">
        <f t="shared" si="10"/>
        <v>No</v>
      </c>
      <c r="I66" s="463" t="str">
        <f t="shared" si="10"/>
        <v>No</v>
      </c>
      <c r="J66" s="463" t="str">
        <f t="shared" si="10"/>
        <v>No</v>
      </c>
      <c r="K66" s="463" t="str">
        <f t="shared" si="10"/>
        <v>No</v>
      </c>
      <c r="L66" s="463" t="str">
        <f t="shared" si="10"/>
        <v>No</v>
      </c>
      <c r="M66" s="463" t="str">
        <f t="shared" si="10"/>
        <v>No</v>
      </c>
      <c r="N66" s="163"/>
      <c r="O66" s="163"/>
      <c r="P66" s="163"/>
      <c r="Q66" s="163"/>
      <c r="R66" s="163"/>
      <c r="S66" s="163"/>
      <c r="T66" s="163"/>
      <c r="U66" s="163"/>
      <c r="V66" s="163"/>
      <c r="W66" s="163"/>
      <c r="X66" s="163"/>
      <c r="Y66" s="163"/>
      <c r="Z66" s="163"/>
      <c r="AA66" s="163"/>
      <c r="AB66" s="163"/>
      <c r="AC66" s="163"/>
      <c r="AD66" s="163"/>
      <c r="AE66" s="163"/>
      <c r="AF66" s="163"/>
      <c r="AG66" s="163"/>
      <c r="AH66" s="163"/>
      <c r="AI66" s="163"/>
      <c r="AJ66" s="163"/>
      <c r="AK66" s="163"/>
      <c r="AL66" s="163"/>
      <c r="AM66" s="163"/>
      <c r="AN66" s="163"/>
      <c r="AO66" s="163"/>
      <c r="AP66" s="163"/>
      <c r="AQ66" s="163"/>
      <c r="AR66" s="163"/>
      <c r="AS66" s="163"/>
      <c r="AT66" s="163"/>
      <c r="AU66" s="163"/>
      <c r="AV66" s="163"/>
      <c r="AW66" s="163"/>
      <c r="AX66" s="163"/>
      <c r="AY66" s="163"/>
      <c r="AZ66" s="163"/>
      <c r="BA66" s="163"/>
      <c r="BB66" s="163"/>
      <c r="BC66" s="163"/>
      <c r="BD66" s="163"/>
      <c r="BE66" s="163"/>
      <c r="BF66" s="163"/>
      <c r="BG66" s="163"/>
      <c r="BH66" s="163"/>
      <c r="BI66" s="163"/>
      <c r="BJ66" s="163"/>
      <c r="BK66" s="163"/>
      <c r="BL66" s="163"/>
      <c r="BM66" s="163"/>
      <c r="BN66" s="163"/>
      <c r="BO66" s="163"/>
      <c r="BP66" s="163"/>
      <c r="BQ66" s="163"/>
      <c r="BR66" s="163"/>
    </row>
    <row r="67" spans="1:70" ht="51.75" customHeight="1" x14ac:dyDescent="0.3">
      <c r="A67" s="495"/>
      <c r="B67" s="464"/>
      <c r="C67" s="465"/>
      <c r="D67" s="466"/>
      <c r="E67" s="467"/>
      <c r="F67" s="463"/>
      <c r="G67" s="463"/>
      <c r="H67" s="463"/>
      <c r="I67" s="463"/>
      <c r="J67" s="463"/>
      <c r="K67" s="463"/>
      <c r="L67" s="463"/>
      <c r="M67" s="463"/>
      <c r="N67" s="163"/>
      <c r="O67" s="163"/>
      <c r="P67" s="163"/>
      <c r="Q67" s="163"/>
      <c r="R67" s="163"/>
      <c r="S67" s="163"/>
      <c r="T67" s="163"/>
      <c r="U67" s="163"/>
      <c r="V67" s="163"/>
      <c r="W67" s="163"/>
      <c r="X67" s="163"/>
      <c r="Y67" s="163"/>
      <c r="Z67" s="163"/>
      <c r="AA67" s="163"/>
      <c r="AB67" s="163"/>
      <c r="AC67" s="163"/>
      <c r="AD67" s="163"/>
      <c r="AE67" s="163"/>
      <c r="AF67" s="163"/>
      <c r="AG67" s="163"/>
      <c r="AH67" s="163"/>
      <c r="AI67" s="163"/>
      <c r="AJ67" s="163"/>
      <c r="AK67" s="163"/>
      <c r="AL67" s="163"/>
      <c r="AM67" s="163"/>
      <c r="AN67" s="163"/>
      <c r="AO67" s="163"/>
      <c r="AP67" s="163"/>
      <c r="AQ67" s="163"/>
      <c r="AR67" s="163"/>
      <c r="AS67" s="163"/>
      <c r="AT67" s="163"/>
      <c r="AU67" s="163"/>
      <c r="AV67" s="163"/>
      <c r="AW67" s="163"/>
      <c r="AX67" s="163"/>
      <c r="AY67" s="163"/>
      <c r="AZ67" s="163"/>
      <c r="BA67" s="163"/>
      <c r="BB67" s="163"/>
      <c r="BC67" s="163"/>
      <c r="BD67" s="163"/>
      <c r="BE67" s="163"/>
      <c r="BF67" s="163"/>
      <c r="BG67" s="163"/>
      <c r="BH67" s="163"/>
      <c r="BI67" s="163"/>
      <c r="BJ67" s="163"/>
      <c r="BK67" s="163"/>
      <c r="BL67" s="163"/>
      <c r="BM67" s="163"/>
      <c r="BN67" s="163"/>
      <c r="BO67" s="163"/>
      <c r="BP67" s="163"/>
      <c r="BQ67" s="163"/>
      <c r="BR67" s="163"/>
    </row>
    <row r="68" spans="1:70" ht="51.75" customHeight="1" x14ac:dyDescent="0.3">
      <c r="A68" s="495"/>
      <c r="B68" s="464"/>
      <c r="C68" s="465"/>
      <c r="D68" s="466"/>
      <c r="E68" s="467"/>
      <c r="F68" s="463"/>
      <c r="G68" s="463"/>
      <c r="H68" s="463"/>
      <c r="I68" s="463"/>
      <c r="J68" s="463"/>
      <c r="K68" s="463"/>
      <c r="L68" s="463"/>
      <c r="M68" s="463"/>
      <c r="N68" s="163"/>
      <c r="O68" s="163"/>
      <c r="P68" s="163"/>
      <c r="Q68" s="163"/>
      <c r="R68" s="163"/>
      <c r="S68" s="163"/>
      <c r="T68" s="163"/>
      <c r="U68" s="163"/>
      <c r="V68" s="163"/>
      <c r="W68" s="163"/>
      <c r="X68" s="163"/>
      <c r="Y68" s="163"/>
      <c r="Z68" s="163"/>
      <c r="AA68" s="163"/>
      <c r="AB68" s="163"/>
      <c r="AC68" s="163"/>
      <c r="AD68" s="163"/>
      <c r="AE68" s="163"/>
      <c r="AF68" s="163"/>
      <c r="AG68" s="163"/>
      <c r="AH68" s="163"/>
      <c r="AI68" s="163"/>
      <c r="AJ68" s="163"/>
      <c r="AK68" s="163"/>
      <c r="AL68" s="163"/>
      <c r="AM68" s="163"/>
      <c r="AN68" s="163"/>
      <c r="AO68" s="163"/>
      <c r="AP68" s="163"/>
      <c r="AQ68" s="163"/>
      <c r="AR68" s="163"/>
      <c r="AS68" s="163"/>
      <c r="AT68" s="163"/>
      <c r="AU68" s="163"/>
      <c r="AV68" s="163"/>
      <c r="AW68" s="163"/>
      <c r="AX68" s="163"/>
      <c r="AY68" s="163"/>
      <c r="AZ68" s="163"/>
      <c r="BA68" s="163"/>
      <c r="BB68" s="163"/>
      <c r="BC68" s="163"/>
      <c r="BD68" s="163"/>
      <c r="BE68" s="163"/>
      <c r="BF68" s="163"/>
      <c r="BG68" s="163"/>
      <c r="BH68" s="163"/>
      <c r="BI68" s="163"/>
      <c r="BJ68" s="163"/>
      <c r="BK68" s="163"/>
      <c r="BL68" s="163"/>
      <c r="BM68" s="163"/>
      <c r="BN68" s="163"/>
      <c r="BO68" s="163"/>
      <c r="BP68" s="163"/>
      <c r="BQ68" s="163"/>
      <c r="BR68" s="163"/>
    </row>
    <row r="69" spans="1:70" ht="51.75" customHeight="1" x14ac:dyDescent="0.3">
      <c r="A69" s="495"/>
      <c r="B69" s="464"/>
      <c r="C69" s="465"/>
      <c r="D69" s="466"/>
      <c r="E69" s="467"/>
      <c r="F69" s="463" t="str">
        <f t="shared" si="10"/>
        <v>No</v>
      </c>
      <c r="G69" s="463" t="str">
        <f t="shared" si="10"/>
        <v>No</v>
      </c>
      <c r="H69" s="463" t="str">
        <f t="shared" si="10"/>
        <v>No</v>
      </c>
      <c r="I69" s="463" t="str">
        <f t="shared" si="10"/>
        <v>No</v>
      </c>
      <c r="J69" s="463" t="str">
        <f t="shared" si="10"/>
        <v>No</v>
      </c>
      <c r="K69" s="463" t="str">
        <f t="shared" si="10"/>
        <v>No</v>
      </c>
      <c r="L69" s="463" t="str">
        <f t="shared" si="10"/>
        <v>No</v>
      </c>
      <c r="M69" s="463" t="str">
        <f t="shared" si="10"/>
        <v>No</v>
      </c>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3"/>
      <c r="BE69" s="163"/>
      <c r="BF69" s="163"/>
      <c r="BG69" s="163"/>
      <c r="BH69" s="163"/>
      <c r="BI69" s="163"/>
      <c r="BJ69" s="163"/>
      <c r="BK69" s="163"/>
      <c r="BL69" s="163"/>
      <c r="BM69" s="163"/>
      <c r="BN69" s="163"/>
      <c r="BO69" s="163"/>
      <c r="BP69" s="163"/>
      <c r="BQ69" s="163"/>
      <c r="BR69" s="163"/>
    </row>
    <row r="70" spans="1:70" ht="51.75" customHeight="1" x14ac:dyDescent="0.3">
      <c r="A70" s="495"/>
      <c r="B70" s="464"/>
      <c r="C70" s="465"/>
      <c r="D70" s="466"/>
      <c r="E70" s="467"/>
      <c r="F70" s="463"/>
      <c r="G70" s="463"/>
      <c r="H70" s="463"/>
      <c r="I70" s="463"/>
      <c r="J70" s="463"/>
      <c r="K70" s="463"/>
      <c r="L70" s="463"/>
      <c r="M70" s="463"/>
      <c r="N70" s="163"/>
      <c r="O70" s="163"/>
      <c r="P70" s="163"/>
      <c r="Q70" s="163"/>
      <c r="R70" s="163"/>
      <c r="S70" s="163"/>
      <c r="T70" s="163"/>
      <c r="U70" s="163"/>
      <c r="V70" s="163"/>
      <c r="W70" s="163"/>
      <c r="X70" s="163"/>
      <c r="Y70" s="163"/>
      <c r="Z70" s="163"/>
      <c r="AA70" s="163"/>
      <c r="AB70" s="163"/>
      <c r="AC70" s="163"/>
      <c r="AD70" s="163"/>
      <c r="AE70" s="163"/>
      <c r="AF70" s="163"/>
      <c r="AG70" s="163"/>
      <c r="AH70" s="163"/>
      <c r="AI70" s="163"/>
      <c r="AJ70" s="163"/>
      <c r="AK70" s="163"/>
      <c r="AL70" s="163"/>
      <c r="AM70" s="163"/>
      <c r="AN70" s="163"/>
      <c r="AO70" s="163"/>
      <c r="AP70" s="163"/>
      <c r="AQ70" s="163"/>
      <c r="AR70" s="163"/>
      <c r="AS70" s="163"/>
      <c r="AT70" s="163"/>
      <c r="AU70" s="163"/>
      <c r="AV70" s="163"/>
      <c r="AW70" s="163"/>
      <c r="AX70" s="163"/>
      <c r="AY70" s="163"/>
      <c r="AZ70" s="163"/>
      <c r="BA70" s="163"/>
      <c r="BB70" s="163"/>
      <c r="BC70" s="163"/>
      <c r="BD70" s="163"/>
      <c r="BE70" s="163"/>
      <c r="BF70" s="163"/>
      <c r="BG70" s="163"/>
      <c r="BH70" s="163"/>
      <c r="BI70" s="163"/>
      <c r="BJ70" s="163"/>
      <c r="BK70" s="163"/>
      <c r="BL70" s="163"/>
      <c r="BM70" s="163"/>
      <c r="BN70" s="163"/>
      <c r="BO70" s="163"/>
      <c r="BP70" s="163"/>
      <c r="BQ70" s="163"/>
      <c r="BR70" s="163"/>
    </row>
    <row r="71" spans="1:70" ht="51.75" customHeight="1" x14ac:dyDescent="0.3">
      <c r="A71" s="495"/>
      <c r="B71" s="464"/>
      <c r="C71" s="465"/>
      <c r="D71" s="466"/>
      <c r="E71" s="467"/>
      <c r="F71" s="463"/>
      <c r="G71" s="463"/>
      <c r="H71" s="463"/>
      <c r="I71" s="463"/>
      <c r="J71" s="463"/>
      <c r="K71" s="463"/>
      <c r="L71" s="463"/>
      <c r="M71" s="463"/>
      <c r="N71" s="163"/>
      <c r="O71" s="163"/>
      <c r="P71" s="163"/>
      <c r="Q71" s="163"/>
      <c r="R71" s="163"/>
      <c r="S71" s="163"/>
      <c r="T71" s="163"/>
      <c r="U71" s="163"/>
      <c r="V71" s="163"/>
      <c r="W71" s="163"/>
      <c r="X71" s="163"/>
      <c r="Y71" s="163"/>
      <c r="Z71" s="163"/>
      <c r="AA71" s="163"/>
      <c r="AB71" s="163"/>
      <c r="AC71" s="163"/>
      <c r="AD71" s="163"/>
      <c r="AE71" s="163"/>
      <c r="AF71" s="163"/>
      <c r="AG71" s="163"/>
      <c r="AH71" s="163"/>
      <c r="AI71" s="163"/>
      <c r="AJ71" s="163"/>
      <c r="AK71" s="163"/>
      <c r="AL71" s="163"/>
      <c r="AM71" s="163"/>
      <c r="AN71" s="163"/>
      <c r="AO71" s="163"/>
      <c r="AP71" s="163"/>
      <c r="AQ71" s="163"/>
      <c r="AR71" s="163"/>
      <c r="AS71" s="163"/>
      <c r="AT71" s="163"/>
      <c r="AU71" s="163"/>
      <c r="AV71" s="163"/>
      <c r="AW71" s="163"/>
      <c r="AX71" s="163"/>
      <c r="AY71" s="163"/>
      <c r="AZ71" s="163"/>
      <c r="BA71" s="163"/>
      <c r="BB71" s="163"/>
      <c r="BC71" s="163"/>
      <c r="BD71" s="163"/>
      <c r="BE71" s="163"/>
      <c r="BF71" s="163"/>
      <c r="BG71" s="163"/>
      <c r="BH71" s="163"/>
      <c r="BI71" s="163"/>
      <c r="BJ71" s="163"/>
      <c r="BK71" s="163"/>
      <c r="BL71" s="163"/>
      <c r="BM71" s="163"/>
      <c r="BN71" s="163"/>
      <c r="BO71" s="163"/>
      <c r="BP71" s="163"/>
      <c r="BQ71" s="163"/>
      <c r="BR71" s="163"/>
    </row>
    <row r="72" spans="1:70" x14ac:dyDescent="0.3">
      <c r="A72" s="163"/>
      <c r="B72" s="163"/>
      <c r="C72" s="163"/>
      <c r="D72" s="163"/>
      <c r="E72" s="163"/>
      <c r="F72" s="163"/>
      <c r="G72" s="163"/>
      <c r="H72" s="163"/>
      <c r="I72" s="163"/>
      <c r="J72" s="163"/>
      <c r="K72" s="163"/>
      <c r="L72" s="163"/>
      <c r="M72" s="163"/>
      <c r="N72" s="163"/>
      <c r="O72" s="163"/>
      <c r="P72" s="163"/>
      <c r="Q72" s="163"/>
      <c r="R72" s="163"/>
      <c r="S72" s="163"/>
      <c r="T72" s="163"/>
      <c r="U72" s="163"/>
      <c r="V72" s="163"/>
      <c r="W72" s="163"/>
      <c r="X72" s="163"/>
      <c r="Y72" s="163"/>
      <c r="Z72" s="163"/>
      <c r="AA72" s="163"/>
      <c r="AB72" s="163"/>
      <c r="AC72" s="163"/>
      <c r="AD72" s="163"/>
      <c r="AE72" s="163"/>
      <c r="AF72" s="163"/>
      <c r="AG72" s="163"/>
      <c r="AH72" s="163"/>
      <c r="AI72" s="163"/>
      <c r="AJ72" s="163"/>
      <c r="AK72" s="163"/>
      <c r="AL72" s="163"/>
      <c r="AM72" s="163"/>
      <c r="AN72" s="163"/>
      <c r="AO72" s="163"/>
      <c r="AP72" s="163"/>
      <c r="AQ72" s="163"/>
      <c r="AR72" s="163"/>
      <c r="AS72" s="163"/>
      <c r="AT72" s="163"/>
      <c r="AU72" s="163"/>
      <c r="AV72" s="163"/>
      <c r="AW72" s="163"/>
      <c r="AX72" s="163"/>
      <c r="AY72" s="163"/>
      <c r="AZ72" s="163"/>
      <c r="BA72" s="163"/>
      <c r="BB72" s="163"/>
      <c r="BC72" s="163"/>
      <c r="BD72" s="163"/>
      <c r="BE72" s="163"/>
      <c r="BF72" s="163"/>
      <c r="BG72" s="163"/>
      <c r="BH72" s="163"/>
      <c r="BI72" s="163"/>
      <c r="BJ72" s="163"/>
      <c r="BK72" s="163"/>
      <c r="BL72" s="163"/>
      <c r="BM72" s="163"/>
      <c r="BN72" s="163"/>
      <c r="BO72" s="163"/>
      <c r="BP72" s="163"/>
      <c r="BQ72" s="163"/>
      <c r="BR72" s="163"/>
    </row>
    <row r="73" spans="1:70" x14ac:dyDescent="0.3">
      <c r="A73" s="163"/>
      <c r="B73" s="163"/>
      <c r="C73" s="163"/>
      <c r="D73" s="163"/>
      <c r="E73" s="163"/>
      <c r="F73" s="163"/>
      <c r="G73" s="163"/>
      <c r="H73" s="163"/>
      <c r="I73" s="163"/>
      <c r="J73" s="163"/>
      <c r="K73" s="163"/>
      <c r="L73" s="163"/>
      <c r="M73" s="163"/>
      <c r="N73" s="163"/>
      <c r="O73" s="163"/>
      <c r="P73" s="163"/>
      <c r="Q73" s="163"/>
      <c r="R73" s="163"/>
      <c r="S73" s="163"/>
      <c r="T73" s="163"/>
      <c r="U73" s="163"/>
      <c r="V73" s="163"/>
      <c r="W73" s="163"/>
      <c r="X73" s="163"/>
      <c r="Y73" s="163"/>
      <c r="Z73" s="163"/>
      <c r="AA73" s="163"/>
      <c r="AB73" s="163"/>
      <c r="AC73" s="163"/>
      <c r="AD73" s="163"/>
      <c r="AE73" s="163"/>
      <c r="AF73" s="163"/>
      <c r="AG73" s="163"/>
      <c r="AH73" s="163"/>
      <c r="AI73" s="163"/>
      <c r="AJ73" s="163"/>
      <c r="AK73" s="163"/>
      <c r="AL73" s="163"/>
      <c r="AM73" s="163"/>
      <c r="AN73" s="163"/>
      <c r="AO73" s="163"/>
      <c r="AP73" s="163"/>
      <c r="AQ73" s="163"/>
      <c r="AR73" s="163"/>
      <c r="AS73" s="163"/>
      <c r="AT73" s="163"/>
      <c r="AU73" s="163"/>
      <c r="AV73" s="163"/>
      <c r="AW73" s="163"/>
      <c r="AX73" s="163"/>
      <c r="AY73" s="163"/>
      <c r="AZ73" s="163"/>
      <c r="BA73" s="163"/>
      <c r="BB73" s="163"/>
      <c r="BC73" s="163"/>
      <c r="BD73" s="163"/>
      <c r="BE73" s="163"/>
      <c r="BF73" s="163"/>
      <c r="BG73" s="163"/>
      <c r="BH73" s="163"/>
      <c r="BI73" s="163"/>
      <c r="BJ73" s="163"/>
      <c r="BK73" s="163"/>
      <c r="BL73" s="163"/>
      <c r="BM73" s="163"/>
      <c r="BN73" s="163"/>
      <c r="BO73" s="163"/>
      <c r="BP73" s="163"/>
      <c r="BQ73" s="163"/>
      <c r="BR73" s="163"/>
    </row>
    <row r="74" spans="1:70" x14ac:dyDescent="0.3">
      <c r="A74" s="163"/>
      <c r="B74" s="163"/>
      <c r="C74" s="163"/>
      <c r="D74" s="163"/>
      <c r="E74" s="163"/>
      <c r="F74" s="163"/>
      <c r="G74" s="163"/>
      <c r="H74" s="163"/>
      <c r="I74" s="163"/>
      <c r="J74" s="163"/>
      <c r="K74" s="163"/>
      <c r="L74" s="163"/>
      <c r="M74" s="163"/>
      <c r="N74" s="163"/>
      <c r="O74" s="163"/>
      <c r="P74" s="163"/>
      <c r="Q74" s="163"/>
      <c r="R74" s="163"/>
      <c r="S74" s="163"/>
      <c r="T74" s="163"/>
      <c r="U74" s="163"/>
      <c r="V74" s="163"/>
      <c r="W74" s="163"/>
      <c r="X74" s="163"/>
      <c r="Y74" s="163"/>
      <c r="Z74" s="163"/>
      <c r="AA74" s="163"/>
      <c r="AB74" s="163"/>
      <c r="AC74" s="163"/>
      <c r="AD74" s="163"/>
      <c r="AE74" s="163"/>
      <c r="AF74" s="163"/>
      <c r="AG74" s="163"/>
      <c r="AH74" s="163"/>
      <c r="AI74" s="163"/>
      <c r="AJ74" s="163"/>
      <c r="AK74" s="163"/>
      <c r="AL74" s="163"/>
      <c r="AM74" s="163"/>
      <c r="AN74" s="163"/>
      <c r="AO74" s="163"/>
      <c r="AP74" s="163"/>
      <c r="AQ74" s="163"/>
      <c r="AR74" s="163"/>
      <c r="AS74" s="163"/>
      <c r="AT74" s="163"/>
      <c r="AU74" s="163"/>
      <c r="AV74" s="163"/>
      <c r="AW74" s="163"/>
      <c r="AX74" s="163"/>
      <c r="AY74" s="163"/>
      <c r="AZ74" s="163"/>
      <c r="BA74" s="163"/>
      <c r="BB74" s="163"/>
      <c r="BC74" s="163"/>
      <c r="BD74" s="163"/>
      <c r="BE74" s="163"/>
      <c r="BF74" s="163"/>
      <c r="BG74" s="163"/>
      <c r="BH74" s="163"/>
      <c r="BI74" s="163"/>
      <c r="BJ74" s="163"/>
      <c r="BK74" s="163"/>
      <c r="BL74" s="163"/>
      <c r="BM74" s="163"/>
      <c r="BN74" s="163"/>
      <c r="BO74" s="163"/>
      <c r="BP74" s="163"/>
      <c r="BQ74" s="163"/>
      <c r="BR74" s="163"/>
    </row>
    <row r="75" spans="1:70" x14ac:dyDescent="0.3">
      <c r="A75" s="163"/>
      <c r="B75" s="163"/>
      <c r="C75" s="163"/>
      <c r="D75" s="163"/>
      <c r="E75" s="163"/>
      <c r="F75" s="163"/>
      <c r="G75" s="163"/>
      <c r="H75" s="163"/>
      <c r="I75" s="163"/>
      <c r="J75" s="163"/>
      <c r="K75" s="163"/>
      <c r="L75" s="163"/>
      <c r="M75" s="163"/>
      <c r="N75" s="163"/>
      <c r="O75" s="163"/>
      <c r="P75" s="163"/>
      <c r="Q75" s="163"/>
      <c r="R75" s="163"/>
      <c r="S75" s="163"/>
      <c r="T75" s="163"/>
      <c r="U75" s="163"/>
      <c r="V75" s="163"/>
      <c r="W75" s="163"/>
      <c r="X75" s="163"/>
      <c r="Y75" s="163"/>
      <c r="Z75" s="163"/>
      <c r="AA75" s="163"/>
      <c r="AB75" s="163"/>
      <c r="AC75" s="163"/>
      <c r="AD75" s="163"/>
      <c r="AE75" s="163"/>
      <c r="AF75" s="163"/>
      <c r="AG75" s="163"/>
      <c r="AH75" s="163"/>
      <c r="AI75" s="163"/>
      <c r="AJ75" s="163"/>
      <c r="AK75" s="163"/>
      <c r="AL75" s="163"/>
      <c r="AM75" s="163"/>
      <c r="AN75" s="163"/>
      <c r="AO75" s="163"/>
      <c r="AP75" s="163"/>
      <c r="AQ75" s="163"/>
      <c r="AR75" s="163"/>
      <c r="AS75" s="163"/>
      <c r="AT75" s="163"/>
      <c r="AU75" s="163"/>
      <c r="AV75" s="163"/>
      <c r="AW75" s="163"/>
      <c r="AX75" s="163"/>
      <c r="AY75" s="163"/>
      <c r="AZ75" s="163"/>
      <c r="BA75" s="163"/>
      <c r="BB75" s="163"/>
      <c r="BC75" s="163"/>
      <c r="BD75" s="163"/>
      <c r="BE75" s="163"/>
      <c r="BF75" s="163"/>
      <c r="BG75" s="163"/>
      <c r="BH75" s="163"/>
      <c r="BI75" s="163"/>
      <c r="BJ75" s="163"/>
      <c r="BK75" s="163"/>
      <c r="BL75" s="163"/>
      <c r="BM75" s="163"/>
      <c r="BN75" s="163"/>
      <c r="BO75" s="163"/>
      <c r="BP75" s="163"/>
      <c r="BQ75" s="163"/>
      <c r="BR75" s="163"/>
    </row>
    <row r="76" spans="1:70" x14ac:dyDescent="0.3">
      <c r="A76" s="163"/>
      <c r="B76" s="163"/>
      <c r="C76" s="163"/>
      <c r="D76" s="163"/>
      <c r="E76" s="163"/>
      <c r="F76" s="163"/>
      <c r="G76" s="163"/>
      <c r="H76" s="163"/>
      <c r="I76" s="163"/>
      <c r="J76" s="163"/>
      <c r="K76" s="163"/>
      <c r="L76" s="163"/>
      <c r="M76" s="163"/>
      <c r="N76" s="163"/>
      <c r="O76" s="163"/>
      <c r="P76" s="163"/>
      <c r="Q76" s="163"/>
      <c r="R76" s="163"/>
      <c r="S76" s="163"/>
      <c r="T76" s="163"/>
      <c r="U76" s="163"/>
      <c r="V76" s="163"/>
      <c r="W76" s="163"/>
      <c r="X76" s="163"/>
      <c r="Y76" s="163"/>
      <c r="Z76" s="163"/>
      <c r="AA76" s="163"/>
      <c r="AB76" s="163"/>
      <c r="AC76" s="163"/>
      <c r="AD76" s="163"/>
      <c r="AE76" s="163"/>
      <c r="AF76" s="163"/>
      <c r="AG76" s="163"/>
      <c r="AH76" s="163"/>
      <c r="AI76" s="163"/>
      <c r="AJ76" s="163"/>
      <c r="AK76" s="163"/>
      <c r="AL76" s="163"/>
      <c r="AM76" s="163"/>
      <c r="AN76" s="163"/>
      <c r="AO76" s="163"/>
      <c r="AP76" s="163"/>
      <c r="AQ76" s="163"/>
      <c r="AR76" s="163"/>
      <c r="AS76" s="163"/>
      <c r="AT76" s="163"/>
      <c r="AU76" s="163"/>
      <c r="AV76" s="163"/>
      <c r="AW76" s="163"/>
      <c r="AX76" s="163"/>
      <c r="AY76" s="163"/>
      <c r="AZ76" s="163"/>
      <c r="BA76" s="163"/>
      <c r="BB76" s="163"/>
      <c r="BC76" s="163"/>
      <c r="BD76" s="163"/>
      <c r="BE76" s="163"/>
      <c r="BF76" s="163"/>
      <c r="BG76" s="163"/>
      <c r="BH76" s="163"/>
      <c r="BI76" s="163"/>
      <c r="BJ76" s="163"/>
      <c r="BK76" s="163"/>
      <c r="BL76" s="163"/>
      <c r="BM76" s="163"/>
      <c r="BN76" s="163"/>
      <c r="BO76" s="163"/>
      <c r="BP76" s="163"/>
      <c r="BQ76" s="163"/>
      <c r="BR76" s="163"/>
    </row>
    <row r="77" spans="1:70" x14ac:dyDescent="0.3">
      <c r="A77" s="163"/>
      <c r="B77" s="163"/>
      <c r="C77" s="163"/>
      <c r="D77" s="163"/>
      <c r="E77" s="163"/>
      <c r="F77" s="163"/>
      <c r="G77" s="163"/>
      <c r="H77" s="163"/>
      <c r="I77" s="163"/>
      <c r="J77" s="163"/>
      <c r="K77" s="163"/>
      <c r="L77" s="163"/>
      <c r="M77" s="163"/>
      <c r="N77" s="163"/>
      <c r="O77" s="163"/>
      <c r="P77" s="163"/>
      <c r="Q77" s="163"/>
      <c r="R77" s="163"/>
      <c r="S77" s="163"/>
      <c r="T77" s="163"/>
      <c r="U77" s="163"/>
      <c r="V77" s="163"/>
      <c r="W77" s="163"/>
      <c r="X77" s="163"/>
      <c r="Y77" s="163"/>
      <c r="Z77" s="163"/>
      <c r="AA77" s="163"/>
      <c r="AB77" s="163"/>
      <c r="AC77" s="163"/>
    </row>
    <row r="78" spans="1:70" x14ac:dyDescent="0.3">
      <c r="A78" s="163"/>
      <c r="B78" s="163"/>
      <c r="C78" s="163"/>
      <c r="D78" s="163"/>
      <c r="E78" s="163"/>
      <c r="F78" s="163"/>
      <c r="G78" s="163"/>
      <c r="H78" s="163"/>
      <c r="I78" s="163"/>
      <c r="J78" s="163"/>
      <c r="K78" s="163"/>
      <c r="L78" s="163"/>
      <c r="M78" s="163"/>
      <c r="N78" s="163"/>
      <c r="O78" s="163"/>
      <c r="P78" s="163"/>
      <c r="Q78" s="163"/>
      <c r="R78" s="163"/>
      <c r="S78" s="163"/>
      <c r="T78" s="163"/>
      <c r="U78" s="163"/>
      <c r="V78" s="163"/>
      <c r="W78" s="163"/>
      <c r="X78" s="163"/>
      <c r="Y78" s="163"/>
      <c r="Z78" s="163"/>
      <c r="AA78" s="163"/>
      <c r="AB78" s="163"/>
      <c r="AC78" s="163"/>
    </row>
    <row r="79" spans="1:70" x14ac:dyDescent="0.3">
      <c r="A79" s="163"/>
      <c r="B79" s="163"/>
      <c r="C79" s="163"/>
      <c r="D79" s="163"/>
      <c r="E79" s="163"/>
      <c r="F79" s="163"/>
      <c r="G79" s="163"/>
      <c r="H79" s="163"/>
      <c r="I79" s="163"/>
      <c r="J79" s="163"/>
      <c r="K79" s="163"/>
      <c r="L79" s="163"/>
      <c r="M79" s="163"/>
      <c r="N79" s="163"/>
      <c r="O79" s="163"/>
      <c r="P79" s="163"/>
      <c r="Q79" s="163"/>
      <c r="R79" s="163"/>
      <c r="S79" s="163"/>
      <c r="T79" s="163"/>
      <c r="U79" s="163"/>
      <c r="V79" s="163"/>
      <c r="W79" s="163"/>
      <c r="X79" s="163"/>
      <c r="Y79" s="163"/>
      <c r="Z79" s="163"/>
      <c r="AA79" s="163"/>
      <c r="AB79" s="163"/>
      <c r="AC79" s="163"/>
    </row>
    <row r="80" spans="1:70" x14ac:dyDescent="0.3">
      <c r="A80" s="163"/>
      <c r="B80" s="163"/>
      <c r="C80" s="163"/>
      <c r="D80" s="163"/>
      <c r="E80" s="163"/>
      <c r="F80" s="163"/>
      <c r="G80" s="163"/>
      <c r="H80" s="163"/>
      <c r="I80" s="163"/>
      <c r="J80" s="163"/>
      <c r="K80" s="163"/>
      <c r="L80" s="163"/>
      <c r="M80" s="163"/>
      <c r="N80" s="163"/>
      <c r="O80" s="163"/>
      <c r="P80" s="163"/>
      <c r="Q80" s="163"/>
      <c r="R80" s="163"/>
      <c r="S80" s="163"/>
      <c r="T80" s="163"/>
      <c r="U80" s="163"/>
      <c r="V80" s="163"/>
      <c r="W80" s="163"/>
      <c r="X80" s="163"/>
      <c r="Y80" s="163"/>
      <c r="Z80" s="163"/>
      <c r="AA80" s="163"/>
      <c r="AB80" s="163"/>
      <c r="AC80" s="163"/>
    </row>
    <row r="81" spans="1:29" x14ac:dyDescent="0.3">
      <c r="A81" s="163"/>
      <c r="B81" s="163"/>
      <c r="C81" s="163"/>
      <c r="D81" s="163"/>
      <c r="E81" s="163"/>
      <c r="F81" s="163"/>
      <c r="G81" s="163"/>
      <c r="H81" s="163"/>
      <c r="I81" s="163"/>
      <c r="J81" s="163"/>
      <c r="K81" s="163"/>
      <c r="L81" s="163"/>
      <c r="M81" s="163"/>
      <c r="N81" s="163"/>
      <c r="O81" s="163"/>
      <c r="P81" s="163"/>
      <c r="Q81" s="163"/>
      <c r="R81" s="163"/>
      <c r="S81" s="163"/>
      <c r="T81" s="163"/>
      <c r="U81" s="163"/>
      <c r="V81" s="163"/>
      <c r="W81" s="163"/>
      <c r="X81" s="163"/>
      <c r="Y81" s="163"/>
      <c r="Z81" s="163"/>
      <c r="AA81" s="163"/>
      <c r="AB81" s="163"/>
      <c r="AC81" s="163"/>
    </row>
    <row r="82" spans="1:29" x14ac:dyDescent="0.3">
      <c r="A82" s="163"/>
      <c r="B82" s="163"/>
      <c r="C82" s="163"/>
      <c r="D82" s="163"/>
      <c r="E82" s="163"/>
      <c r="F82" s="163"/>
      <c r="G82" s="163"/>
      <c r="H82" s="163"/>
      <c r="I82" s="163"/>
      <c r="J82" s="163"/>
      <c r="K82" s="163"/>
      <c r="L82" s="163"/>
      <c r="M82" s="163"/>
      <c r="N82" s="163"/>
      <c r="O82" s="163"/>
      <c r="P82" s="163"/>
      <c r="Q82" s="163"/>
      <c r="R82" s="163"/>
      <c r="S82" s="163"/>
      <c r="T82" s="163"/>
      <c r="U82" s="163"/>
      <c r="V82" s="163"/>
      <c r="W82" s="163"/>
      <c r="X82" s="163"/>
      <c r="Y82" s="163"/>
      <c r="Z82" s="163"/>
      <c r="AA82" s="163"/>
      <c r="AB82" s="163"/>
      <c r="AC82" s="163"/>
    </row>
    <row r="83" spans="1:29" x14ac:dyDescent="0.3">
      <c r="A83" s="163"/>
      <c r="B83" s="163"/>
      <c r="C83" s="163"/>
      <c r="D83" s="163"/>
      <c r="E83" s="163"/>
      <c r="F83" s="163"/>
      <c r="G83" s="163"/>
      <c r="H83" s="163"/>
      <c r="I83" s="163"/>
      <c r="J83" s="163"/>
      <c r="K83" s="163"/>
      <c r="L83" s="163"/>
      <c r="M83" s="163"/>
      <c r="N83" s="163"/>
      <c r="O83" s="163"/>
      <c r="P83" s="163"/>
      <c r="Q83" s="163"/>
      <c r="R83" s="163"/>
      <c r="S83" s="163"/>
      <c r="T83" s="163"/>
      <c r="U83" s="163"/>
      <c r="V83" s="163"/>
      <c r="W83" s="163"/>
      <c r="X83" s="163"/>
      <c r="Y83" s="163"/>
      <c r="Z83" s="163"/>
      <c r="AA83" s="163"/>
      <c r="AB83" s="163"/>
      <c r="AC83" s="163"/>
    </row>
    <row r="84" spans="1:29" x14ac:dyDescent="0.3">
      <c r="A84" s="163"/>
      <c r="B84" s="163"/>
      <c r="C84" s="163"/>
      <c r="D84" s="163"/>
      <c r="E84" s="163"/>
      <c r="F84" s="163"/>
      <c r="G84" s="163"/>
      <c r="H84" s="163"/>
      <c r="I84" s="163"/>
      <c r="J84" s="163"/>
      <c r="K84" s="163"/>
      <c r="L84" s="163"/>
      <c r="M84" s="163"/>
      <c r="N84" s="163"/>
      <c r="O84" s="163"/>
      <c r="P84" s="163"/>
      <c r="Q84" s="163"/>
      <c r="R84" s="163"/>
      <c r="S84" s="163"/>
      <c r="T84" s="163"/>
      <c r="U84" s="163"/>
      <c r="V84" s="163"/>
      <c r="W84" s="163"/>
      <c r="X84" s="163"/>
      <c r="Y84" s="163"/>
      <c r="Z84" s="163"/>
      <c r="AA84" s="163"/>
      <c r="AB84" s="163"/>
      <c r="AC84" s="163"/>
    </row>
    <row r="85" spans="1:29" x14ac:dyDescent="0.3">
      <c r="A85" s="169"/>
      <c r="B85" s="169"/>
      <c r="C85" s="163"/>
      <c r="D85" s="163"/>
      <c r="E85" s="163"/>
      <c r="F85" s="163"/>
      <c r="G85" s="163"/>
      <c r="H85" s="163"/>
      <c r="I85" s="163"/>
      <c r="J85" s="163"/>
      <c r="K85" s="163"/>
      <c r="L85" s="163"/>
      <c r="M85" s="163"/>
      <c r="N85" s="163"/>
      <c r="O85" s="163"/>
      <c r="P85" s="163"/>
      <c r="Q85" s="163"/>
      <c r="R85" s="163"/>
      <c r="S85" s="163"/>
      <c r="T85" s="163"/>
      <c r="U85" s="163"/>
      <c r="V85" s="163"/>
      <c r="W85" s="163"/>
      <c r="X85" s="163"/>
      <c r="Y85" s="163"/>
      <c r="Z85" s="163"/>
      <c r="AA85" s="163"/>
      <c r="AB85" s="163"/>
      <c r="AC85" s="163"/>
    </row>
    <row r="86" spans="1:29" x14ac:dyDescent="0.3">
      <c r="A86" s="169"/>
      <c r="B86" s="169"/>
      <c r="C86" s="163"/>
      <c r="D86" s="163"/>
      <c r="E86" s="163"/>
      <c r="F86" s="163"/>
      <c r="G86" s="163"/>
      <c r="H86" s="163"/>
      <c r="I86" s="163"/>
      <c r="J86" s="163"/>
      <c r="K86" s="163"/>
      <c r="L86" s="163"/>
      <c r="M86" s="163"/>
      <c r="N86" s="163"/>
      <c r="O86" s="163"/>
      <c r="P86" s="163"/>
      <c r="Q86" s="163"/>
      <c r="R86" s="163"/>
      <c r="S86" s="163"/>
      <c r="T86" s="163"/>
      <c r="U86" s="163"/>
      <c r="V86" s="163"/>
      <c r="W86" s="163"/>
      <c r="X86" s="163"/>
      <c r="Y86" s="163"/>
      <c r="Z86" s="163"/>
      <c r="AA86" s="163"/>
      <c r="AB86" s="163"/>
      <c r="AC86" s="163"/>
    </row>
    <row r="87" spans="1:29" x14ac:dyDescent="0.3">
      <c r="A87" s="169"/>
      <c r="B87" s="169"/>
      <c r="C87" s="163"/>
      <c r="D87" s="163"/>
      <c r="E87" s="163"/>
      <c r="F87" s="163"/>
      <c r="G87" s="163"/>
      <c r="H87" s="163"/>
      <c r="I87" s="163"/>
      <c r="J87" s="163"/>
      <c r="K87" s="163"/>
      <c r="L87" s="163"/>
      <c r="M87" s="163"/>
      <c r="N87" s="163"/>
      <c r="O87" s="163"/>
      <c r="P87" s="163"/>
      <c r="Q87" s="163"/>
      <c r="R87" s="163"/>
      <c r="S87" s="163"/>
      <c r="T87" s="163"/>
      <c r="U87" s="163"/>
      <c r="V87" s="163"/>
      <c r="W87" s="163"/>
      <c r="X87" s="163"/>
      <c r="Y87" s="163"/>
      <c r="Z87" s="163"/>
      <c r="AA87" s="163"/>
      <c r="AB87" s="163"/>
      <c r="AC87" s="163"/>
    </row>
    <row r="88" spans="1:29" x14ac:dyDescent="0.3">
      <c r="A88" s="163"/>
      <c r="B88" s="163"/>
      <c r="C88" s="163"/>
      <c r="D88" s="163"/>
      <c r="E88" s="163"/>
      <c r="F88" s="163"/>
      <c r="G88" s="163"/>
      <c r="H88" s="163"/>
      <c r="I88" s="163"/>
      <c r="J88" s="163"/>
      <c r="K88" s="163"/>
      <c r="L88" s="163"/>
      <c r="M88" s="163"/>
    </row>
  </sheetData>
  <sheetProtection algorithmName="SHA-512" hashValue="mzAB48vnWa6z7a3uklZkEKoQ8oItLcO4duMZiIoX94MeAHqWaitxd7N5leb6k/ge0ZKDQVHQCmT7DpFFCPbxwA==" saltValue="HEhi33VFC+pUpVPwk0KQDQ==" spinCount="100000" sheet="1" objects="1" scenarios="1"/>
  <mergeCells count="255">
    <mergeCell ref="M39:M41"/>
    <mergeCell ref="M36:M38"/>
    <mergeCell ref="B39:B41"/>
    <mergeCell ref="C39:C41"/>
    <mergeCell ref="E39:E41"/>
    <mergeCell ref="F39:F41"/>
    <mergeCell ref="G39:G41"/>
    <mergeCell ref="H39:H41"/>
    <mergeCell ref="I39:I41"/>
    <mergeCell ref="J39:J41"/>
    <mergeCell ref="K39:K41"/>
    <mergeCell ref="L39:L41"/>
    <mergeCell ref="D39:D41"/>
    <mergeCell ref="B33:B35"/>
    <mergeCell ref="C33:C35"/>
    <mergeCell ref="E33:E35"/>
    <mergeCell ref="F33:F35"/>
    <mergeCell ref="M33:M35"/>
    <mergeCell ref="B36:B38"/>
    <mergeCell ref="C36:C38"/>
    <mergeCell ref="E36:E38"/>
    <mergeCell ref="F36:F38"/>
    <mergeCell ref="G36:G38"/>
    <mergeCell ref="H36:H38"/>
    <mergeCell ref="I36:I38"/>
    <mergeCell ref="J36:J38"/>
    <mergeCell ref="G33:G35"/>
    <mergeCell ref="H33:H35"/>
    <mergeCell ref="I33:I35"/>
    <mergeCell ref="J33:J35"/>
    <mergeCell ref="K33:K35"/>
    <mergeCell ref="L33:L35"/>
    <mergeCell ref="K36:K38"/>
    <mergeCell ref="L36:L38"/>
    <mergeCell ref="D33:D35"/>
    <mergeCell ref="D36:D38"/>
    <mergeCell ref="M30:M32"/>
    <mergeCell ref="B27:B29"/>
    <mergeCell ref="C27:C29"/>
    <mergeCell ref="E27:E29"/>
    <mergeCell ref="F27:F29"/>
    <mergeCell ref="G27:G29"/>
    <mergeCell ref="H27:H29"/>
    <mergeCell ref="B30:B32"/>
    <mergeCell ref="C30:C32"/>
    <mergeCell ref="E30:E32"/>
    <mergeCell ref="F30:F32"/>
    <mergeCell ref="G30:G32"/>
    <mergeCell ref="H30:H32"/>
    <mergeCell ref="I30:I32"/>
    <mergeCell ref="J30:J32"/>
    <mergeCell ref="D30:D32"/>
    <mergeCell ref="J27:J29"/>
    <mergeCell ref="K30:K32"/>
    <mergeCell ref="L30:L32"/>
    <mergeCell ref="M21:M23"/>
    <mergeCell ref="K24:K26"/>
    <mergeCell ref="L24:L26"/>
    <mergeCell ref="M24:M26"/>
    <mergeCell ref="M27:M29"/>
    <mergeCell ref="B21:B23"/>
    <mergeCell ref="C21:C23"/>
    <mergeCell ref="E21:E23"/>
    <mergeCell ref="F21:F23"/>
    <mergeCell ref="K27:K29"/>
    <mergeCell ref="L27:L29"/>
    <mergeCell ref="B24:B26"/>
    <mergeCell ref="C24:C26"/>
    <mergeCell ref="E24:E26"/>
    <mergeCell ref="F24:F26"/>
    <mergeCell ref="G24:G26"/>
    <mergeCell ref="H24:H26"/>
    <mergeCell ref="I24:I26"/>
    <mergeCell ref="J24:J26"/>
    <mergeCell ref="D24:D26"/>
    <mergeCell ref="D27:D29"/>
    <mergeCell ref="I27:I29"/>
    <mergeCell ref="B18:B20"/>
    <mergeCell ref="C18:C20"/>
    <mergeCell ref="E18:E20"/>
    <mergeCell ref="F18:F20"/>
    <mergeCell ref="G18:G20"/>
    <mergeCell ref="H18:H20"/>
    <mergeCell ref="I18:I20"/>
    <mergeCell ref="J18:J20"/>
    <mergeCell ref="M15:M17"/>
    <mergeCell ref="K18:K20"/>
    <mergeCell ref="L18:L20"/>
    <mergeCell ref="M18:M20"/>
    <mergeCell ref="B15:B17"/>
    <mergeCell ref="C15:C17"/>
    <mergeCell ref="E15:E17"/>
    <mergeCell ref="F15:F17"/>
    <mergeCell ref="G15:G17"/>
    <mergeCell ref="H15:H17"/>
    <mergeCell ref="I15:I17"/>
    <mergeCell ref="J15:J17"/>
    <mergeCell ref="C12:C14"/>
    <mergeCell ref="E12:E14"/>
    <mergeCell ref="F12:F14"/>
    <mergeCell ref="G12:G14"/>
    <mergeCell ref="H12:H14"/>
    <mergeCell ref="I12:I14"/>
    <mergeCell ref="J12:J14"/>
    <mergeCell ref="B12:B14"/>
    <mergeCell ref="B10:C10"/>
    <mergeCell ref="D10:D11"/>
    <mergeCell ref="A2:C2"/>
    <mergeCell ref="M2:M3"/>
    <mergeCell ref="A3:C6"/>
    <mergeCell ref="A7:M7"/>
    <mergeCell ref="A9:M9"/>
    <mergeCell ref="A10:A11"/>
    <mergeCell ref="E10:E11"/>
    <mergeCell ref="F10:M10"/>
    <mergeCell ref="M12:M14"/>
    <mergeCell ref="A12:A71"/>
    <mergeCell ref="K66:K68"/>
    <mergeCell ref="L66:L68"/>
    <mergeCell ref="M66:M68"/>
    <mergeCell ref="B69:B71"/>
    <mergeCell ref="C69:C71"/>
    <mergeCell ref="D69:D71"/>
    <mergeCell ref="E69:E71"/>
    <mergeCell ref="F69:F71"/>
    <mergeCell ref="G69:G71"/>
    <mergeCell ref="H69:H71"/>
    <mergeCell ref="I69:I71"/>
    <mergeCell ref="J69:J71"/>
    <mergeCell ref="K69:K71"/>
    <mergeCell ref="L69:L71"/>
    <mergeCell ref="D2:L2"/>
    <mergeCell ref="D3:L4"/>
    <mergeCell ref="D5:L5"/>
    <mergeCell ref="D6:L6"/>
    <mergeCell ref="D12:D14"/>
    <mergeCell ref="D15:D17"/>
    <mergeCell ref="D18:D20"/>
    <mergeCell ref="D21:D23"/>
    <mergeCell ref="G21:G23"/>
    <mergeCell ref="H21:H23"/>
    <mergeCell ref="I21:I23"/>
    <mergeCell ref="J21:J23"/>
    <mergeCell ref="K12:K14"/>
    <mergeCell ref="L12:L14"/>
    <mergeCell ref="K15:K17"/>
    <mergeCell ref="L15:L17"/>
    <mergeCell ref="K21:K23"/>
    <mergeCell ref="L21:L23"/>
    <mergeCell ref="K42:K44"/>
    <mergeCell ref="L42:L44"/>
    <mergeCell ref="M42:M44"/>
    <mergeCell ref="B45:B47"/>
    <mergeCell ref="C45:C47"/>
    <mergeCell ref="D45:D47"/>
    <mergeCell ref="E45:E47"/>
    <mergeCell ref="F45:F47"/>
    <mergeCell ref="G45:G47"/>
    <mergeCell ref="H45:H47"/>
    <mergeCell ref="I45:I47"/>
    <mergeCell ref="J45:J47"/>
    <mergeCell ref="K45:K47"/>
    <mergeCell ref="L45:L47"/>
    <mergeCell ref="M45:M47"/>
    <mergeCell ref="B42:B44"/>
    <mergeCell ref="C42:C44"/>
    <mergeCell ref="D42:D44"/>
    <mergeCell ref="E42:E44"/>
    <mergeCell ref="F42:F44"/>
    <mergeCell ref="G42:G44"/>
    <mergeCell ref="H42:H44"/>
    <mergeCell ref="I42:I44"/>
    <mergeCell ref="J42:J44"/>
    <mergeCell ref="K48:K50"/>
    <mergeCell ref="L48:L50"/>
    <mergeCell ref="M48:M50"/>
    <mergeCell ref="B51:B53"/>
    <mergeCell ref="C51:C53"/>
    <mergeCell ref="D51:D53"/>
    <mergeCell ref="E51:E53"/>
    <mergeCell ref="F51:F53"/>
    <mergeCell ref="G51:G53"/>
    <mergeCell ref="H51:H53"/>
    <mergeCell ref="I51:I53"/>
    <mergeCell ref="J51:J53"/>
    <mergeCell ref="K51:K53"/>
    <mergeCell ref="L51:L53"/>
    <mergeCell ref="M51:M53"/>
    <mergeCell ref="B48:B50"/>
    <mergeCell ref="C48:C50"/>
    <mergeCell ref="D48:D50"/>
    <mergeCell ref="E48:E50"/>
    <mergeCell ref="F48:F50"/>
    <mergeCell ref="G48:G50"/>
    <mergeCell ref="H48:H50"/>
    <mergeCell ref="I48:I50"/>
    <mergeCell ref="J48:J50"/>
    <mergeCell ref="K54:K56"/>
    <mergeCell ref="L54:L56"/>
    <mergeCell ref="M54:M56"/>
    <mergeCell ref="B57:B59"/>
    <mergeCell ref="C57:C59"/>
    <mergeCell ref="D57:D59"/>
    <mergeCell ref="E57:E59"/>
    <mergeCell ref="F57:F59"/>
    <mergeCell ref="G57:G59"/>
    <mergeCell ref="H57:H59"/>
    <mergeCell ref="I57:I59"/>
    <mergeCell ref="J57:J59"/>
    <mergeCell ref="K57:K59"/>
    <mergeCell ref="L57:L59"/>
    <mergeCell ref="M57:M59"/>
    <mergeCell ref="B54:B56"/>
    <mergeCell ref="C54:C56"/>
    <mergeCell ref="D54:D56"/>
    <mergeCell ref="E54:E56"/>
    <mergeCell ref="F54:F56"/>
    <mergeCell ref="G54:G56"/>
    <mergeCell ref="H54:H56"/>
    <mergeCell ref="I54:I56"/>
    <mergeCell ref="J54:J56"/>
    <mergeCell ref="K60:K62"/>
    <mergeCell ref="L60:L62"/>
    <mergeCell ref="M60:M62"/>
    <mergeCell ref="B63:B65"/>
    <mergeCell ref="C63:C65"/>
    <mergeCell ref="D63:D65"/>
    <mergeCell ref="E63:E65"/>
    <mergeCell ref="F63:F65"/>
    <mergeCell ref="G63:G65"/>
    <mergeCell ref="H63:H65"/>
    <mergeCell ref="I63:I65"/>
    <mergeCell ref="J63:J65"/>
    <mergeCell ref="K63:K65"/>
    <mergeCell ref="L63:L65"/>
    <mergeCell ref="M63:M65"/>
    <mergeCell ref="B60:B62"/>
    <mergeCell ref="C60:C62"/>
    <mergeCell ref="D60:D62"/>
    <mergeCell ref="E60:E62"/>
    <mergeCell ref="F60:F62"/>
    <mergeCell ref="G60:G62"/>
    <mergeCell ref="H60:H62"/>
    <mergeCell ref="I60:I62"/>
    <mergeCell ref="J60:J62"/>
    <mergeCell ref="M69:M71"/>
    <mergeCell ref="B66:B68"/>
    <mergeCell ref="C66:C68"/>
    <mergeCell ref="D66:D68"/>
    <mergeCell ref="E66:E68"/>
    <mergeCell ref="F66:F68"/>
    <mergeCell ref="G66:G68"/>
    <mergeCell ref="H66:H68"/>
    <mergeCell ref="I66:I68"/>
    <mergeCell ref="J66:J68"/>
  </mergeCells>
  <conditionalFormatting sqref="F12:M71">
    <cfRule type="containsText" dxfId="7"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2"/>
  <dimension ref="A1:BR91"/>
  <sheetViews>
    <sheetView view="pageBreakPreview" topLeftCell="A37" zoomScale="40" zoomScaleNormal="10" zoomScaleSheetLayoutView="40" workbookViewId="0">
      <selection activeCell="N12" sqref="A12:XFD41"/>
    </sheetView>
  </sheetViews>
  <sheetFormatPr baseColWidth="10" defaultColWidth="11.42578125" defaultRowHeight="16.5" x14ac:dyDescent="0.3"/>
  <cols>
    <col min="1" max="1" width="81.5703125" style="149" customWidth="1"/>
    <col min="2" max="2" width="20.5703125" style="149" bestFit="1" customWidth="1"/>
    <col min="3" max="4" width="90.85546875" style="149" customWidth="1"/>
    <col min="5" max="5" width="41.140625" style="149" customWidth="1"/>
    <col min="6" max="6" width="90.85546875" style="149" customWidth="1"/>
    <col min="7" max="8" width="48.7109375" style="149" customWidth="1"/>
    <col min="9" max="10" width="90.85546875" style="149" customWidth="1"/>
    <col min="11" max="11" width="39.7109375" style="149" customWidth="1"/>
    <col min="12" max="12" width="40.8554687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2.75" customHeight="1" x14ac:dyDescent="0.35">
      <c r="A2" s="514" t="s">
        <v>60</v>
      </c>
      <c r="B2" s="515"/>
      <c r="C2" s="515"/>
      <c r="D2" s="499" t="s">
        <v>106</v>
      </c>
      <c r="E2" s="500"/>
      <c r="F2" s="500"/>
      <c r="G2" s="500"/>
      <c r="H2" s="500"/>
      <c r="I2" s="500"/>
      <c r="J2" s="500"/>
      <c r="K2" s="500"/>
      <c r="L2" s="501"/>
      <c r="M2" s="516" t="s">
        <v>107</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518"/>
      <c r="B3" s="519"/>
      <c r="C3" s="519"/>
      <c r="D3" s="502" t="s">
        <v>63</v>
      </c>
      <c r="E3" s="503"/>
      <c r="F3" s="503"/>
      <c r="G3" s="503"/>
      <c r="H3" s="503"/>
      <c r="I3" s="503"/>
      <c r="J3" s="503"/>
      <c r="K3" s="503"/>
      <c r="L3" s="504"/>
      <c r="M3" s="517"/>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518"/>
      <c r="B4" s="519"/>
      <c r="C4" s="519"/>
      <c r="D4" s="505"/>
      <c r="E4" s="506"/>
      <c r="F4" s="506"/>
      <c r="G4" s="506"/>
      <c r="H4" s="506"/>
      <c r="I4" s="506"/>
      <c r="J4" s="506"/>
      <c r="K4" s="506"/>
      <c r="L4" s="507"/>
      <c r="M4" s="165"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518"/>
      <c r="B5" s="519"/>
      <c r="C5" s="519"/>
      <c r="D5" s="508" t="s">
        <v>65</v>
      </c>
      <c r="E5" s="509"/>
      <c r="F5" s="509"/>
      <c r="G5" s="509"/>
      <c r="H5" s="509"/>
      <c r="I5" s="509"/>
      <c r="J5" s="509"/>
      <c r="K5" s="509"/>
      <c r="L5" s="510"/>
      <c r="M5" s="165" t="s">
        <v>108</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518"/>
      <c r="B6" s="519"/>
      <c r="C6" s="519"/>
      <c r="D6" s="511" t="s">
        <v>67</v>
      </c>
      <c r="E6" s="512"/>
      <c r="F6" s="512"/>
      <c r="G6" s="512"/>
      <c r="H6" s="512"/>
      <c r="I6" s="512"/>
      <c r="J6" s="512"/>
      <c r="K6" s="512"/>
      <c r="L6" s="513"/>
      <c r="M6" s="17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520"/>
      <c r="B7" s="521"/>
      <c r="C7" s="521"/>
      <c r="D7" s="521"/>
      <c r="E7" s="521"/>
      <c r="F7" s="521"/>
      <c r="G7" s="521"/>
      <c r="H7" s="521"/>
      <c r="I7" s="521"/>
      <c r="J7" s="521"/>
      <c r="K7" s="521"/>
      <c r="L7" s="521"/>
      <c r="M7" s="522"/>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523" t="s">
        <v>943</v>
      </c>
      <c r="B9" s="524"/>
      <c r="C9" s="524"/>
      <c r="D9" s="524"/>
      <c r="E9" s="524"/>
      <c r="F9" s="524"/>
      <c r="G9" s="524"/>
      <c r="H9" s="524"/>
      <c r="I9" s="524"/>
      <c r="J9" s="524"/>
      <c r="K9" s="524"/>
      <c r="L9" s="524"/>
      <c r="M9" s="524"/>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81.75" customHeight="1" x14ac:dyDescent="0.35">
      <c r="A10" s="498" t="s">
        <v>109</v>
      </c>
      <c r="B10" s="498" t="s">
        <v>110</v>
      </c>
      <c r="C10" s="498"/>
      <c r="D10" s="498" t="s">
        <v>122</v>
      </c>
      <c r="E10" s="498" t="s">
        <v>112</v>
      </c>
      <c r="F10" s="498" t="s">
        <v>113</v>
      </c>
      <c r="G10" s="498"/>
      <c r="H10" s="498"/>
      <c r="I10" s="498"/>
      <c r="J10" s="498"/>
      <c r="K10" s="498"/>
      <c r="L10" s="498"/>
      <c r="M10" s="498"/>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249" customHeight="1" x14ac:dyDescent="0.35">
      <c r="A11" s="498"/>
      <c r="B11" s="154" t="s">
        <v>114</v>
      </c>
      <c r="C11" s="154" t="s">
        <v>21</v>
      </c>
      <c r="D11" s="498"/>
      <c r="E11" s="498"/>
      <c r="F11" s="154" t="s">
        <v>115</v>
      </c>
      <c r="G11" s="154" t="s">
        <v>116</v>
      </c>
      <c r="H11" s="154" t="s">
        <v>126</v>
      </c>
      <c r="I11" s="154" t="s">
        <v>118</v>
      </c>
      <c r="J11" s="154" t="s">
        <v>124</v>
      </c>
      <c r="K11" s="154" t="s">
        <v>93</v>
      </c>
      <c r="L11" s="154" t="s">
        <v>120</v>
      </c>
      <c r="M11" s="154" t="s">
        <v>121</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ht="120.75" customHeight="1" x14ac:dyDescent="0.3">
      <c r="A12" s="525" t="str">
        <f>A9</f>
        <v>MATRIZ DE MONITOREO DE RIESGOS III TRIMESTRE
 (JULIO - SEPTIEMBRE)</v>
      </c>
      <c r="B12" s="433" t="str">
        <f>'Mapa final'!$B$13</f>
        <v>GBG_02</v>
      </c>
      <c r="C12" s="434"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466"/>
      <c r="E12" s="467"/>
      <c r="F12" s="463" t="str">
        <f t="shared" ref="F12:M12" si="0">IFERROR(IF($E12="","No",IF($E12="No","No"," "))," ")</f>
        <v>No</v>
      </c>
      <c r="G12" s="463" t="str">
        <f t="shared" si="0"/>
        <v>No</v>
      </c>
      <c r="H12" s="463" t="str">
        <f t="shared" si="0"/>
        <v>No</v>
      </c>
      <c r="I12" s="463" t="str">
        <f t="shared" si="0"/>
        <v>No</v>
      </c>
      <c r="J12" s="463" t="str">
        <f t="shared" si="0"/>
        <v>No</v>
      </c>
      <c r="K12" s="463" t="str">
        <f t="shared" si="0"/>
        <v>No</v>
      </c>
      <c r="L12" s="463" t="str">
        <f t="shared" si="0"/>
        <v>No</v>
      </c>
      <c r="M12" s="463" t="str">
        <f t="shared" si="0"/>
        <v>No</v>
      </c>
      <c r="N12" s="148"/>
      <c r="O12" s="148"/>
      <c r="P12" s="148"/>
      <c r="Q12" s="148"/>
      <c r="R12" s="148"/>
      <c r="S12" s="148"/>
      <c r="T12" s="148"/>
      <c r="U12" s="148"/>
      <c r="V12" s="148"/>
      <c r="W12" s="148"/>
      <c r="X12" s="148"/>
      <c r="Y12" s="148"/>
      <c r="Z12" s="148"/>
      <c r="AA12" s="148"/>
      <c r="AB12" s="148"/>
      <c r="AC12" s="148"/>
      <c r="AD12" s="148"/>
      <c r="AE12" s="148"/>
      <c r="AF12" s="148"/>
      <c r="AG12" s="148"/>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c r="BI12" s="148"/>
      <c r="BJ12" s="148"/>
      <c r="BK12" s="148"/>
      <c r="BL12" s="148"/>
      <c r="BM12" s="148"/>
      <c r="BN12" s="148"/>
      <c r="BO12" s="148"/>
      <c r="BP12" s="148"/>
      <c r="BQ12" s="148"/>
      <c r="BR12" s="148"/>
    </row>
    <row r="13" spans="1:70" ht="120.75" customHeight="1" x14ac:dyDescent="0.3">
      <c r="A13" s="525"/>
      <c r="B13" s="433"/>
      <c r="C13" s="434"/>
      <c r="D13" s="466"/>
      <c r="E13" s="467"/>
      <c r="F13" s="463"/>
      <c r="G13" s="463"/>
      <c r="H13" s="463"/>
      <c r="I13" s="463"/>
      <c r="J13" s="463"/>
      <c r="K13" s="463"/>
      <c r="L13" s="463"/>
      <c r="M13" s="463"/>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c r="BI13" s="148"/>
      <c r="BJ13" s="148"/>
      <c r="BK13" s="148"/>
      <c r="BL13" s="148"/>
      <c r="BM13" s="148"/>
      <c r="BN13" s="148"/>
      <c r="BO13" s="148"/>
      <c r="BP13" s="148"/>
      <c r="BQ13" s="148"/>
      <c r="BR13" s="148"/>
    </row>
    <row r="14" spans="1:70" ht="120.75" customHeight="1" x14ac:dyDescent="0.3">
      <c r="A14" s="525"/>
      <c r="B14" s="433"/>
      <c r="C14" s="434"/>
      <c r="D14" s="466"/>
      <c r="E14" s="467"/>
      <c r="F14" s="463"/>
      <c r="G14" s="463"/>
      <c r="H14" s="463"/>
      <c r="I14" s="463"/>
      <c r="J14" s="463"/>
      <c r="K14" s="463"/>
      <c r="L14" s="463"/>
      <c r="M14" s="463"/>
      <c r="N14" s="148"/>
      <c r="O14" s="148"/>
      <c r="P14" s="148"/>
      <c r="Q14" s="148"/>
      <c r="R14" s="148"/>
      <c r="S14" s="148"/>
      <c r="T14" s="148"/>
      <c r="U14" s="148"/>
      <c r="V14" s="148"/>
      <c r="W14" s="148"/>
      <c r="X14" s="148"/>
      <c r="Y14" s="148"/>
      <c r="Z14" s="148"/>
      <c r="AA14" s="148"/>
      <c r="AB14" s="148"/>
      <c r="AC14" s="148"/>
      <c r="AD14" s="148"/>
      <c r="AE14" s="148"/>
      <c r="AF14" s="148"/>
      <c r="AG14" s="148"/>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c r="BI14" s="148"/>
      <c r="BJ14" s="148"/>
      <c r="BK14" s="148"/>
      <c r="BL14" s="148"/>
      <c r="BM14" s="148"/>
      <c r="BN14" s="148"/>
      <c r="BO14" s="148"/>
      <c r="BP14" s="148"/>
      <c r="BQ14" s="148"/>
      <c r="BR14" s="148"/>
    </row>
    <row r="15" spans="1:70" ht="120.75" customHeight="1" x14ac:dyDescent="0.3">
      <c r="A15" s="525"/>
      <c r="B15" s="433" t="str">
        <f>'Mapa final'!$B$15</f>
        <v>GBG_03</v>
      </c>
      <c r="C15" s="434" t="str">
        <f>'Mapa final'!$H$15</f>
        <v>Posibilidad de afectación económica y reputacional por demandas legales y sanciones, debido a la omisión de la declaración de impedimento o recusación ante la posibilidad real o aparente de un conflicto de interés.</v>
      </c>
      <c r="D15" s="466"/>
      <c r="E15" s="467"/>
      <c r="F15" s="463" t="str">
        <f t="shared" ref="F15:M39" si="1">IFERROR(IF($E15="","No",IF($E15="No","No"," "))," ")</f>
        <v>No</v>
      </c>
      <c r="G15" s="463" t="str">
        <f t="shared" si="1"/>
        <v>No</v>
      </c>
      <c r="H15" s="463" t="str">
        <f t="shared" si="1"/>
        <v>No</v>
      </c>
      <c r="I15" s="463" t="str">
        <f t="shared" si="1"/>
        <v>No</v>
      </c>
      <c r="J15" s="463" t="str">
        <f t="shared" si="1"/>
        <v>No</v>
      </c>
      <c r="K15" s="463" t="str">
        <f t="shared" si="1"/>
        <v>No</v>
      </c>
      <c r="L15" s="463" t="str">
        <f t="shared" si="1"/>
        <v>No</v>
      </c>
      <c r="M15" s="463" t="str">
        <f t="shared" si="1"/>
        <v>No</v>
      </c>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c r="BI15" s="148"/>
      <c r="BJ15" s="148"/>
      <c r="BK15" s="148"/>
      <c r="BL15" s="148"/>
      <c r="BM15" s="148"/>
      <c r="BN15" s="148"/>
      <c r="BO15" s="148"/>
      <c r="BP15" s="148"/>
      <c r="BQ15" s="148"/>
      <c r="BR15" s="148"/>
    </row>
    <row r="16" spans="1:70" ht="120.75" customHeight="1" x14ac:dyDescent="0.3">
      <c r="A16" s="525"/>
      <c r="B16" s="433"/>
      <c r="C16" s="434"/>
      <c r="D16" s="466"/>
      <c r="E16" s="467"/>
      <c r="F16" s="463"/>
      <c r="G16" s="463"/>
      <c r="H16" s="463"/>
      <c r="I16" s="463"/>
      <c r="J16" s="463"/>
      <c r="K16" s="463"/>
      <c r="L16" s="463"/>
      <c r="M16" s="463"/>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c r="BI16" s="148"/>
      <c r="BJ16" s="148"/>
      <c r="BK16" s="148"/>
      <c r="BL16" s="148"/>
      <c r="BM16" s="148"/>
      <c r="BN16" s="148"/>
      <c r="BO16" s="148"/>
      <c r="BP16" s="148"/>
      <c r="BQ16" s="148"/>
      <c r="BR16" s="148"/>
    </row>
    <row r="17" spans="1:70" ht="120.75" customHeight="1" x14ac:dyDescent="0.3">
      <c r="A17" s="525"/>
      <c r="B17" s="433"/>
      <c r="C17" s="434"/>
      <c r="D17" s="466"/>
      <c r="E17" s="467"/>
      <c r="F17" s="463"/>
      <c r="G17" s="463"/>
      <c r="H17" s="463"/>
      <c r="I17" s="463"/>
      <c r="J17" s="463"/>
      <c r="K17" s="463"/>
      <c r="L17" s="463"/>
      <c r="M17" s="463"/>
      <c r="N17" s="148"/>
      <c r="O17" s="148"/>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c r="BI17" s="148"/>
      <c r="BJ17" s="148"/>
      <c r="BK17" s="148"/>
      <c r="BL17" s="148"/>
      <c r="BM17" s="148"/>
      <c r="BN17" s="148"/>
      <c r="BO17" s="148"/>
      <c r="BP17" s="148"/>
      <c r="BQ17" s="148"/>
      <c r="BR17" s="148"/>
    </row>
    <row r="18" spans="1:70" ht="120.75" customHeight="1" x14ac:dyDescent="0.3">
      <c r="A18" s="525"/>
      <c r="B18" s="433" t="str">
        <f>'Mapa final'!$B$17</f>
        <v>OAP_01</v>
      </c>
      <c r="C18" s="434" t="str">
        <f>'Mapa final'!$H$17</f>
        <v>Posibilidad de afectación económica por la no prestación integral de los servicios de salud a los usuarios del  HOMIL,  debido a la inadecuada identificación de necesidades para la adquisición de bienes y/o servicios.</v>
      </c>
      <c r="D18" s="466"/>
      <c r="E18" s="467"/>
      <c r="F18" s="463" t="str">
        <f t="shared" ref="F18" si="2">IFERROR(IF($E18="","No",IF($E18="No","No"," "))," ")</f>
        <v>No</v>
      </c>
      <c r="G18" s="463" t="str">
        <f t="shared" si="1"/>
        <v>No</v>
      </c>
      <c r="H18" s="463" t="str">
        <f t="shared" si="1"/>
        <v>No</v>
      </c>
      <c r="I18" s="463" t="str">
        <f t="shared" si="1"/>
        <v>No</v>
      </c>
      <c r="J18" s="463" t="str">
        <f t="shared" si="1"/>
        <v>No</v>
      </c>
      <c r="K18" s="463" t="str">
        <f t="shared" si="1"/>
        <v>No</v>
      </c>
      <c r="L18" s="463" t="str">
        <f t="shared" si="1"/>
        <v>No</v>
      </c>
      <c r="M18" s="463" t="str">
        <f t="shared" si="1"/>
        <v>No</v>
      </c>
      <c r="N18" s="148"/>
      <c r="O18" s="148"/>
      <c r="P18" s="148"/>
      <c r="Q18" s="148"/>
      <c r="R18" s="148"/>
      <c r="S18" s="148"/>
      <c r="T18" s="148"/>
      <c r="U18" s="148"/>
      <c r="V18" s="148"/>
      <c r="W18" s="148"/>
      <c r="X18" s="148"/>
      <c r="Y18" s="148"/>
      <c r="Z18" s="148"/>
      <c r="AA18" s="148"/>
      <c r="AB18" s="148"/>
      <c r="AC18" s="148"/>
      <c r="AD18" s="148"/>
      <c r="AE18" s="148"/>
      <c r="AF18" s="148"/>
      <c r="AG18" s="148"/>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c r="BI18" s="148"/>
      <c r="BJ18" s="148"/>
      <c r="BK18" s="148"/>
      <c r="BL18" s="148"/>
      <c r="BM18" s="148"/>
      <c r="BN18" s="148"/>
      <c r="BO18" s="148"/>
      <c r="BP18" s="148"/>
      <c r="BQ18" s="148"/>
      <c r="BR18" s="148"/>
    </row>
    <row r="19" spans="1:70" ht="120.75" customHeight="1" x14ac:dyDescent="0.3">
      <c r="A19" s="525"/>
      <c r="B19" s="433"/>
      <c r="C19" s="434"/>
      <c r="D19" s="466"/>
      <c r="E19" s="467"/>
      <c r="F19" s="463"/>
      <c r="G19" s="463"/>
      <c r="H19" s="463"/>
      <c r="I19" s="463"/>
      <c r="J19" s="463"/>
      <c r="K19" s="463"/>
      <c r="L19" s="463"/>
      <c r="M19" s="463"/>
      <c r="N19" s="148"/>
      <c r="O19" s="148"/>
      <c r="P19" s="148"/>
      <c r="Q19" s="148"/>
      <c r="R19" s="148"/>
      <c r="S19" s="148"/>
      <c r="T19" s="148"/>
      <c r="U19" s="148"/>
      <c r="V19" s="148"/>
      <c r="W19" s="148"/>
      <c r="X19" s="148"/>
      <c r="Y19" s="148"/>
      <c r="Z19" s="148"/>
      <c r="AA19" s="148"/>
      <c r="AB19" s="148"/>
      <c r="AC19" s="148"/>
      <c r="AD19" s="148"/>
      <c r="AE19" s="148"/>
      <c r="AF19" s="148"/>
      <c r="AG19" s="148"/>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c r="BI19" s="148"/>
      <c r="BJ19" s="148"/>
      <c r="BK19" s="148"/>
      <c r="BL19" s="148"/>
      <c r="BM19" s="148"/>
      <c r="BN19" s="148"/>
      <c r="BO19" s="148"/>
      <c r="BP19" s="148"/>
      <c r="BQ19" s="148"/>
      <c r="BR19" s="148"/>
    </row>
    <row r="20" spans="1:70" ht="120.75" customHeight="1" x14ac:dyDescent="0.3">
      <c r="A20" s="525"/>
      <c r="B20" s="433"/>
      <c r="C20" s="434"/>
      <c r="D20" s="466"/>
      <c r="E20" s="467"/>
      <c r="F20" s="463"/>
      <c r="G20" s="463"/>
      <c r="H20" s="463"/>
      <c r="I20" s="463"/>
      <c r="J20" s="463"/>
      <c r="K20" s="463"/>
      <c r="L20" s="463"/>
      <c r="M20" s="463"/>
      <c r="N20" s="148"/>
      <c r="O20" s="148"/>
      <c r="P20" s="148"/>
      <c r="Q20" s="148"/>
      <c r="R20" s="148"/>
      <c r="S20" s="148"/>
      <c r="T20" s="148"/>
      <c r="U20" s="148"/>
      <c r="V20" s="148"/>
      <c r="W20" s="148"/>
      <c r="X20" s="148"/>
      <c r="Y20" s="148"/>
      <c r="Z20" s="148"/>
      <c r="AA20" s="148"/>
      <c r="AB20" s="148"/>
      <c r="AC20" s="148"/>
      <c r="AD20" s="148"/>
      <c r="AE20" s="148"/>
      <c r="AF20" s="148"/>
      <c r="AG20" s="148"/>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c r="BI20" s="148"/>
      <c r="BJ20" s="148"/>
      <c r="BK20" s="148"/>
      <c r="BL20" s="148"/>
      <c r="BM20" s="148"/>
      <c r="BN20" s="148"/>
      <c r="BO20" s="148"/>
      <c r="BP20" s="148"/>
      <c r="BQ20" s="148"/>
      <c r="BR20" s="148"/>
    </row>
    <row r="21" spans="1:70" ht="120.75" customHeight="1" x14ac:dyDescent="0.3">
      <c r="A21" s="525"/>
      <c r="B21" s="433" t="str">
        <f>'Mapa final'!$B$20</f>
        <v>OAP_02</v>
      </c>
      <c r="C21" s="434" t="str">
        <f>'Mapa final'!$H$20</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66"/>
      <c r="E21" s="467"/>
      <c r="F21" s="463" t="str">
        <f t="shared" ref="F21" si="3">IFERROR(IF($E21="","No",IF($E21="No","No"," "))," ")</f>
        <v>No</v>
      </c>
      <c r="G21" s="463" t="str">
        <f t="shared" si="1"/>
        <v>No</v>
      </c>
      <c r="H21" s="463" t="str">
        <f t="shared" si="1"/>
        <v>No</v>
      </c>
      <c r="I21" s="463" t="str">
        <f t="shared" si="1"/>
        <v>No</v>
      </c>
      <c r="J21" s="463" t="str">
        <f t="shared" si="1"/>
        <v>No</v>
      </c>
      <c r="K21" s="463" t="str">
        <f t="shared" si="1"/>
        <v>No</v>
      </c>
      <c r="L21" s="463" t="str">
        <f t="shared" si="1"/>
        <v>No</v>
      </c>
      <c r="M21" s="463" t="str">
        <f t="shared" si="1"/>
        <v>No</v>
      </c>
      <c r="N21" s="148"/>
      <c r="O21" s="148"/>
      <c r="P21" s="148"/>
      <c r="Q21" s="148"/>
      <c r="R21" s="148"/>
      <c r="S21" s="148"/>
      <c r="T21" s="148"/>
      <c r="U21" s="148"/>
      <c r="V21" s="148"/>
      <c r="W21" s="148"/>
      <c r="X21" s="148"/>
      <c r="Y21" s="148"/>
      <c r="Z21" s="148"/>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c r="BI21" s="148"/>
      <c r="BJ21" s="148"/>
      <c r="BK21" s="148"/>
      <c r="BL21" s="148"/>
      <c r="BM21" s="148"/>
      <c r="BN21" s="148"/>
      <c r="BO21" s="148"/>
      <c r="BP21" s="148"/>
      <c r="BQ21" s="148"/>
      <c r="BR21" s="148"/>
    </row>
    <row r="22" spans="1:70" ht="120.75" customHeight="1" x14ac:dyDescent="0.3">
      <c r="A22" s="525"/>
      <c r="B22" s="433"/>
      <c r="C22" s="434"/>
      <c r="D22" s="466"/>
      <c r="E22" s="467"/>
      <c r="F22" s="463"/>
      <c r="G22" s="463"/>
      <c r="H22" s="463"/>
      <c r="I22" s="463"/>
      <c r="J22" s="463"/>
      <c r="K22" s="463"/>
      <c r="L22" s="463"/>
      <c r="M22" s="463"/>
      <c r="N22" s="148"/>
      <c r="O22" s="148"/>
      <c r="P22" s="148"/>
      <c r="Q22" s="148"/>
      <c r="R22" s="148"/>
      <c r="S22" s="148"/>
      <c r="T22" s="148"/>
      <c r="U22" s="148"/>
      <c r="V22" s="148"/>
      <c r="W22" s="148"/>
      <c r="X22" s="148"/>
      <c r="Y22" s="148"/>
      <c r="Z22" s="148"/>
      <c r="AA22" s="148"/>
      <c r="AB22" s="148"/>
      <c r="AC22" s="148"/>
      <c r="AD22" s="148"/>
      <c r="AE22" s="148"/>
      <c r="AF22" s="148"/>
      <c r="AG22" s="148"/>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c r="BI22" s="148"/>
      <c r="BJ22" s="148"/>
      <c r="BK22" s="148"/>
      <c r="BL22" s="148"/>
      <c r="BM22" s="148"/>
      <c r="BN22" s="148"/>
      <c r="BO22" s="148"/>
      <c r="BP22" s="148"/>
      <c r="BQ22" s="148"/>
      <c r="BR22" s="148"/>
    </row>
    <row r="23" spans="1:70" ht="120.75" customHeight="1" x14ac:dyDescent="0.3">
      <c r="A23" s="525"/>
      <c r="B23" s="433"/>
      <c r="C23" s="434"/>
      <c r="D23" s="466"/>
      <c r="E23" s="467"/>
      <c r="F23" s="463"/>
      <c r="G23" s="463"/>
      <c r="H23" s="463"/>
      <c r="I23" s="463"/>
      <c r="J23" s="463"/>
      <c r="K23" s="463"/>
      <c r="L23" s="463"/>
      <c r="M23" s="463"/>
      <c r="N23" s="148"/>
      <c r="O23" s="148"/>
      <c r="P23" s="148"/>
      <c r="Q23" s="148"/>
      <c r="R23" s="14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c r="BI23" s="148"/>
      <c r="BJ23" s="148"/>
      <c r="BK23" s="148"/>
      <c r="BL23" s="148"/>
      <c r="BM23" s="148"/>
      <c r="BN23" s="148"/>
      <c r="BO23" s="148"/>
      <c r="BP23" s="148"/>
      <c r="BQ23" s="148"/>
      <c r="BR23" s="148"/>
    </row>
    <row r="24" spans="1:70" ht="120.75" customHeight="1" x14ac:dyDescent="0.3">
      <c r="A24" s="525"/>
      <c r="B24" s="433" t="str">
        <f>'Mapa final'!$B$22</f>
        <v>OAP_03</v>
      </c>
      <c r="C24" s="434" t="str">
        <f>'Mapa final'!$H$22</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466"/>
      <c r="E24" s="467"/>
      <c r="F24" s="463" t="str">
        <f t="shared" ref="F24" si="4">IFERROR(IF($E24="","No",IF($E24="No","No"," "))," ")</f>
        <v>No</v>
      </c>
      <c r="G24" s="463" t="str">
        <f t="shared" si="1"/>
        <v>No</v>
      </c>
      <c r="H24" s="463" t="str">
        <f t="shared" si="1"/>
        <v>No</v>
      </c>
      <c r="I24" s="463" t="str">
        <f t="shared" si="1"/>
        <v>No</v>
      </c>
      <c r="J24" s="463" t="str">
        <f t="shared" si="1"/>
        <v>No</v>
      </c>
      <c r="K24" s="463" t="str">
        <f t="shared" si="1"/>
        <v>No</v>
      </c>
      <c r="L24" s="463" t="str">
        <f t="shared" si="1"/>
        <v>No</v>
      </c>
      <c r="M24" s="463" t="str">
        <f t="shared" si="1"/>
        <v>No</v>
      </c>
      <c r="N24" s="148"/>
      <c r="O24" s="148"/>
      <c r="P24" s="148"/>
      <c r="Q24" s="148"/>
      <c r="R24" s="148"/>
      <c r="S24" s="148"/>
      <c r="T24" s="148"/>
      <c r="U24" s="148"/>
      <c r="V24" s="148"/>
      <c r="W24" s="148"/>
      <c r="X24" s="148"/>
      <c r="Y24" s="148"/>
      <c r="Z24" s="148"/>
      <c r="AA24" s="148"/>
      <c r="AB24" s="148"/>
      <c r="AC24" s="148"/>
      <c r="AD24" s="148"/>
      <c r="AE24" s="148"/>
      <c r="AF24" s="148"/>
      <c r="AG24" s="148"/>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c r="BI24" s="148"/>
      <c r="BJ24" s="148"/>
      <c r="BK24" s="148"/>
      <c r="BL24" s="148"/>
      <c r="BM24" s="148"/>
      <c r="BN24" s="148"/>
      <c r="BO24" s="148"/>
      <c r="BP24" s="148"/>
      <c r="BQ24" s="148"/>
      <c r="BR24" s="148"/>
    </row>
    <row r="25" spans="1:70" ht="120.75" customHeight="1" x14ac:dyDescent="0.3">
      <c r="A25" s="525"/>
      <c r="B25" s="433"/>
      <c r="C25" s="434"/>
      <c r="D25" s="466"/>
      <c r="E25" s="467"/>
      <c r="F25" s="463"/>
      <c r="G25" s="463"/>
      <c r="H25" s="463"/>
      <c r="I25" s="463"/>
      <c r="J25" s="463"/>
      <c r="K25" s="463"/>
      <c r="L25" s="463"/>
      <c r="M25" s="463"/>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c r="BI25" s="148"/>
      <c r="BJ25" s="148"/>
      <c r="BK25" s="148"/>
      <c r="BL25" s="148"/>
      <c r="BM25" s="148"/>
      <c r="BN25" s="148"/>
      <c r="BO25" s="148"/>
      <c r="BP25" s="148"/>
      <c r="BQ25" s="148"/>
      <c r="BR25" s="148"/>
    </row>
    <row r="26" spans="1:70" ht="120.75" customHeight="1" x14ac:dyDescent="0.3">
      <c r="A26" s="525"/>
      <c r="B26" s="433"/>
      <c r="C26" s="434"/>
      <c r="D26" s="466"/>
      <c r="E26" s="467"/>
      <c r="F26" s="463"/>
      <c r="G26" s="463"/>
      <c r="H26" s="463"/>
      <c r="I26" s="463"/>
      <c r="J26" s="463"/>
      <c r="K26" s="463"/>
      <c r="L26" s="463"/>
      <c r="M26" s="463"/>
      <c r="N26" s="148"/>
      <c r="O26" s="148"/>
      <c r="P26" s="148"/>
      <c r="Q26" s="148"/>
      <c r="R26" s="148"/>
      <c r="S26" s="148"/>
      <c r="T26" s="148"/>
      <c r="U26" s="148"/>
      <c r="V26" s="148"/>
      <c r="W26" s="148"/>
      <c r="X26" s="148"/>
      <c r="Y26" s="148"/>
      <c r="Z26" s="148"/>
      <c r="AA26" s="148"/>
      <c r="AB26" s="148"/>
      <c r="AC26" s="148"/>
      <c r="AD26" s="148"/>
      <c r="AE26" s="148"/>
      <c r="AF26" s="148"/>
      <c r="AG26" s="148"/>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c r="BI26" s="148"/>
      <c r="BJ26" s="148"/>
      <c r="BK26" s="148"/>
      <c r="BL26" s="148"/>
      <c r="BM26" s="148"/>
      <c r="BN26" s="148"/>
      <c r="BO26" s="148"/>
      <c r="BP26" s="148"/>
      <c r="BQ26" s="148"/>
      <c r="BR26" s="148"/>
    </row>
    <row r="27" spans="1:70" ht="120.75" customHeight="1" x14ac:dyDescent="0.3">
      <c r="A27" s="525"/>
      <c r="B27" s="433" t="str">
        <f>'Mapa final'!$B$25</f>
        <v>OAP_04</v>
      </c>
      <c r="C27" s="434" t="str">
        <f>'Mapa final'!$H$25</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466"/>
      <c r="E27" s="467"/>
      <c r="F27" s="463" t="str">
        <f t="shared" ref="F27" si="5">IFERROR(IF($E27="","No",IF($E27="No","No"," "))," ")</f>
        <v>No</v>
      </c>
      <c r="G27" s="463" t="str">
        <f t="shared" si="1"/>
        <v>No</v>
      </c>
      <c r="H27" s="463" t="str">
        <f t="shared" si="1"/>
        <v>No</v>
      </c>
      <c r="I27" s="463" t="str">
        <f t="shared" si="1"/>
        <v>No</v>
      </c>
      <c r="J27" s="463" t="str">
        <f t="shared" si="1"/>
        <v>No</v>
      </c>
      <c r="K27" s="463" t="str">
        <f t="shared" si="1"/>
        <v>No</v>
      </c>
      <c r="L27" s="463" t="str">
        <f t="shared" si="1"/>
        <v>No</v>
      </c>
      <c r="M27" s="463" t="str">
        <f t="shared" si="1"/>
        <v>No</v>
      </c>
      <c r="N27" s="148"/>
      <c r="O27" s="148"/>
      <c r="P27" s="148"/>
      <c r="Q27" s="148"/>
      <c r="R27" s="148"/>
      <c r="S27" s="148"/>
      <c r="T27" s="148"/>
      <c r="U27" s="148"/>
      <c r="V27" s="148"/>
      <c r="W27" s="148"/>
      <c r="X27" s="148"/>
      <c r="Y27" s="148"/>
      <c r="Z27" s="148"/>
      <c r="AA27" s="148"/>
      <c r="AB27" s="148"/>
      <c r="AC27" s="148"/>
      <c r="AD27" s="148"/>
      <c r="AE27" s="148"/>
      <c r="AF27" s="148"/>
      <c r="AG27" s="148"/>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c r="BI27" s="148"/>
      <c r="BJ27" s="148"/>
      <c r="BK27" s="148"/>
      <c r="BL27" s="148"/>
      <c r="BM27" s="148"/>
      <c r="BN27" s="148"/>
      <c r="BO27" s="148"/>
      <c r="BP27" s="148"/>
      <c r="BQ27" s="148"/>
      <c r="BR27" s="148"/>
    </row>
    <row r="28" spans="1:70" ht="120.75" customHeight="1" x14ac:dyDescent="0.3">
      <c r="A28" s="525"/>
      <c r="B28" s="433"/>
      <c r="C28" s="434"/>
      <c r="D28" s="466"/>
      <c r="E28" s="467"/>
      <c r="F28" s="463"/>
      <c r="G28" s="463"/>
      <c r="H28" s="463"/>
      <c r="I28" s="463"/>
      <c r="J28" s="463"/>
      <c r="K28" s="463"/>
      <c r="L28" s="463"/>
      <c r="M28" s="463"/>
      <c r="N28" s="148"/>
      <c r="O28" s="148"/>
      <c r="P28" s="148"/>
      <c r="Q28" s="148"/>
      <c r="R28" s="148"/>
      <c r="S28" s="148"/>
      <c r="T28" s="148"/>
      <c r="U28" s="148"/>
      <c r="V28" s="148"/>
      <c r="W28" s="148"/>
      <c r="X28" s="148"/>
      <c r="Y28" s="148"/>
      <c r="Z28" s="148"/>
      <c r="AA28" s="148"/>
      <c r="AB28" s="148"/>
      <c r="AC28" s="148"/>
      <c r="AD28" s="148"/>
      <c r="AE28" s="148"/>
      <c r="AF28" s="148"/>
      <c r="AG28" s="148"/>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c r="BI28" s="148"/>
      <c r="BJ28" s="148"/>
      <c r="BK28" s="148"/>
      <c r="BL28" s="148"/>
      <c r="BM28" s="148"/>
      <c r="BN28" s="148"/>
      <c r="BO28" s="148"/>
      <c r="BP28" s="148"/>
      <c r="BQ28" s="148"/>
      <c r="BR28" s="148"/>
    </row>
    <row r="29" spans="1:70" ht="120.75" customHeight="1" x14ac:dyDescent="0.3">
      <c r="A29" s="525"/>
      <c r="B29" s="433"/>
      <c r="C29" s="434"/>
      <c r="D29" s="466"/>
      <c r="E29" s="467"/>
      <c r="F29" s="463"/>
      <c r="G29" s="463"/>
      <c r="H29" s="463"/>
      <c r="I29" s="463"/>
      <c r="J29" s="463"/>
      <c r="K29" s="463"/>
      <c r="L29" s="463"/>
      <c r="M29" s="463"/>
      <c r="N29" s="148"/>
      <c r="O29" s="148"/>
      <c r="P29" s="148"/>
      <c r="Q29" s="148"/>
      <c r="R29" s="148"/>
      <c r="S29" s="148"/>
      <c r="T29" s="148"/>
      <c r="U29" s="148"/>
      <c r="V29" s="148"/>
      <c r="W29" s="148"/>
      <c r="X29" s="148"/>
      <c r="Y29" s="148"/>
      <c r="Z29" s="148"/>
      <c r="AA29" s="148"/>
      <c r="AB29" s="148"/>
      <c r="AC29" s="148"/>
      <c r="AD29" s="148"/>
      <c r="AE29" s="148"/>
      <c r="AF29" s="148"/>
      <c r="AG29" s="148"/>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c r="BI29" s="148"/>
      <c r="BJ29" s="148"/>
      <c r="BK29" s="148"/>
      <c r="BL29" s="148"/>
      <c r="BM29" s="148"/>
      <c r="BN29" s="148"/>
      <c r="BO29" s="148"/>
      <c r="BP29" s="148"/>
      <c r="BQ29" s="148"/>
      <c r="BR29" s="148"/>
    </row>
    <row r="30" spans="1:70" ht="120.75" customHeight="1" x14ac:dyDescent="0.3">
      <c r="A30" s="525"/>
      <c r="B30" s="433" t="str">
        <f>'Mapa final'!$B$27</f>
        <v>OAP_05</v>
      </c>
      <c r="C30" s="434" t="str">
        <f>'Mapa final'!$H$27</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66"/>
      <c r="E30" s="467"/>
      <c r="F30" s="463" t="str">
        <f t="shared" ref="F30" si="6">IFERROR(IF($E30="","No",IF($E30="No","No"," "))," ")</f>
        <v>No</v>
      </c>
      <c r="G30" s="463" t="str">
        <f t="shared" si="1"/>
        <v>No</v>
      </c>
      <c r="H30" s="463" t="str">
        <f t="shared" si="1"/>
        <v>No</v>
      </c>
      <c r="I30" s="463" t="str">
        <f t="shared" si="1"/>
        <v>No</v>
      </c>
      <c r="J30" s="463" t="str">
        <f t="shared" si="1"/>
        <v>No</v>
      </c>
      <c r="K30" s="463" t="str">
        <f t="shared" si="1"/>
        <v>No</v>
      </c>
      <c r="L30" s="463" t="str">
        <f t="shared" si="1"/>
        <v>No</v>
      </c>
      <c r="M30" s="463" t="str">
        <f t="shared" si="1"/>
        <v>No</v>
      </c>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c r="BI30" s="148"/>
      <c r="BJ30" s="148"/>
      <c r="BK30" s="148"/>
      <c r="BL30" s="148"/>
      <c r="BM30" s="148"/>
      <c r="BN30" s="148"/>
      <c r="BO30" s="148"/>
      <c r="BP30" s="148"/>
      <c r="BQ30" s="148"/>
      <c r="BR30" s="148"/>
    </row>
    <row r="31" spans="1:70" ht="120.75" customHeight="1" x14ac:dyDescent="0.3">
      <c r="A31" s="525"/>
      <c r="B31" s="433"/>
      <c r="C31" s="434"/>
      <c r="D31" s="466"/>
      <c r="E31" s="467"/>
      <c r="F31" s="463"/>
      <c r="G31" s="463"/>
      <c r="H31" s="463"/>
      <c r="I31" s="463"/>
      <c r="J31" s="463"/>
      <c r="K31" s="463"/>
      <c r="L31" s="463"/>
      <c r="M31" s="463"/>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c r="BI31" s="148"/>
      <c r="BJ31" s="148"/>
      <c r="BK31" s="148"/>
      <c r="BL31" s="148"/>
      <c r="BM31" s="148"/>
      <c r="BN31" s="148"/>
      <c r="BO31" s="148"/>
      <c r="BP31" s="148"/>
      <c r="BQ31" s="148"/>
      <c r="BR31" s="148"/>
    </row>
    <row r="32" spans="1:70" ht="120.75" customHeight="1" x14ac:dyDescent="0.3">
      <c r="A32" s="525"/>
      <c r="B32" s="433"/>
      <c r="C32" s="434"/>
      <c r="D32" s="466"/>
      <c r="E32" s="467"/>
      <c r="F32" s="463"/>
      <c r="G32" s="463"/>
      <c r="H32" s="463"/>
      <c r="I32" s="463"/>
      <c r="J32" s="463"/>
      <c r="K32" s="463"/>
      <c r="L32" s="463"/>
      <c r="M32" s="463"/>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c r="BI32" s="148"/>
      <c r="BJ32" s="148"/>
      <c r="BK32" s="148"/>
      <c r="BL32" s="148"/>
      <c r="BM32" s="148"/>
      <c r="BN32" s="148"/>
      <c r="BO32" s="148"/>
      <c r="BP32" s="148"/>
      <c r="BQ32" s="148"/>
      <c r="BR32" s="148"/>
    </row>
    <row r="33" spans="1:70" ht="120.75" customHeight="1" x14ac:dyDescent="0.3">
      <c r="A33" s="525"/>
      <c r="B33" s="433" t="str">
        <f>'Mapa final'!$B$29</f>
        <v>TIN_01</v>
      </c>
      <c r="C33" s="434" t="str">
        <f>'Mapa final'!$H$29</f>
        <v>Posibilidad de afectación económica y reputacional por registro inoportuno en la Historia Clínica  del estado de salud y la atención brindada, debido a la interrupción en la prestación de los servicios tecnológicos de la entidad.</v>
      </c>
      <c r="D33" s="466"/>
      <c r="E33" s="467"/>
      <c r="F33" s="463" t="str">
        <f t="shared" ref="F33" si="7">IFERROR(IF($E33="","No",IF($E33="No","No"," "))," ")</f>
        <v>No</v>
      </c>
      <c r="G33" s="463" t="str">
        <f t="shared" si="1"/>
        <v>No</v>
      </c>
      <c r="H33" s="463" t="str">
        <f t="shared" si="1"/>
        <v>No</v>
      </c>
      <c r="I33" s="463" t="str">
        <f t="shared" si="1"/>
        <v>No</v>
      </c>
      <c r="J33" s="463" t="str">
        <f t="shared" si="1"/>
        <v>No</v>
      </c>
      <c r="K33" s="463" t="str">
        <f t="shared" si="1"/>
        <v>No</v>
      </c>
      <c r="L33" s="463" t="str">
        <f t="shared" si="1"/>
        <v>No</v>
      </c>
      <c r="M33" s="463" t="str">
        <f t="shared" si="1"/>
        <v>No</v>
      </c>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c r="BI33" s="148"/>
      <c r="BJ33" s="148"/>
      <c r="BK33" s="148"/>
      <c r="BL33" s="148"/>
      <c r="BM33" s="148"/>
      <c r="BN33" s="148"/>
      <c r="BO33" s="148"/>
      <c r="BP33" s="148"/>
      <c r="BQ33" s="148"/>
      <c r="BR33" s="148"/>
    </row>
    <row r="34" spans="1:70" ht="120.75" customHeight="1" x14ac:dyDescent="0.3">
      <c r="A34" s="525"/>
      <c r="B34" s="433"/>
      <c r="C34" s="434"/>
      <c r="D34" s="466"/>
      <c r="E34" s="467"/>
      <c r="F34" s="463"/>
      <c r="G34" s="463"/>
      <c r="H34" s="463"/>
      <c r="I34" s="463"/>
      <c r="J34" s="463"/>
      <c r="K34" s="463"/>
      <c r="L34" s="463"/>
      <c r="M34" s="463"/>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c r="BI34" s="148"/>
      <c r="BJ34" s="148"/>
      <c r="BK34" s="148"/>
      <c r="BL34" s="148"/>
      <c r="BM34" s="148"/>
      <c r="BN34" s="148"/>
      <c r="BO34" s="148"/>
      <c r="BP34" s="148"/>
      <c r="BQ34" s="148"/>
      <c r="BR34" s="148"/>
    </row>
    <row r="35" spans="1:70" ht="120.75" customHeight="1" x14ac:dyDescent="0.3">
      <c r="A35" s="525"/>
      <c r="B35" s="433"/>
      <c r="C35" s="434"/>
      <c r="D35" s="466"/>
      <c r="E35" s="467"/>
      <c r="F35" s="463"/>
      <c r="G35" s="463"/>
      <c r="H35" s="463"/>
      <c r="I35" s="463"/>
      <c r="J35" s="463"/>
      <c r="K35" s="463"/>
      <c r="L35" s="463"/>
      <c r="M35" s="463"/>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c r="BI35" s="148"/>
      <c r="BJ35" s="148"/>
      <c r="BK35" s="148"/>
      <c r="BL35" s="148"/>
      <c r="BM35" s="148"/>
      <c r="BN35" s="148"/>
      <c r="BO35" s="148"/>
      <c r="BP35" s="148"/>
      <c r="BQ35" s="148"/>
      <c r="BR35" s="148"/>
    </row>
    <row r="36" spans="1:70" ht="120.75" customHeight="1" x14ac:dyDescent="0.3">
      <c r="A36" s="525"/>
      <c r="B36" s="433" t="str">
        <f>'Mapa final'!$B$33</f>
        <v>TIN_02</v>
      </c>
      <c r="C36" s="434" t="str">
        <f>'Mapa final'!$H$33</f>
        <v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466"/>
      <c r="E36" s="467"/>
      <c r="F36" s="463" t="str">
        <f t="shared" ref="F36" si="8">IFERROR(IF($E36="","No",IF($E36="No","No"," "))," ")</f>
        <v>No</v>
      </c>
      <c r="G36" s="463" t="str">
        <f t="shared" si="1"/>
        <v>No</v>
      </c>
      <c r="H36" s="463" t="str">
        <f t="shared" si="1"/>
        <v>No</v>
      </c>
      <c r="I36" s="463" t="str">
        <f t="shared" si="1"/>
        <v>No</v>
      </c>
      <c r="J36" s="463" t="str">
        <f t="shared" si="1"/>
        <v>No</v>
      </c>
      <c r="K36" s="463" t="str">
        <f t="shared" si="1"/>
        <v>No</v>
      </c>
      <c r="L36" s="463" t="str">
        <f t="shared" si="1"/>
        <v>No</v>
      </c>
      <c r="M36" s="463" t="str">
        <f t="shared" si="1"/>
        <v>No</v>
      </c>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c r="BI36" s="148"/>
      <c r="BJ36" s="148"/>
      <c r="BK36" s="148"/>
      <c r="BL36" s="148"/>
      <c r="BM36" s="148"/>
      <c r="BN36" s="148"/>
      <c r="BO36" s="148"/>
      <c r="BP36" s="148"/>
      <c r="BQ36" s="148"/>
      <c r="BR36" s="148"/>
    </row>
    <row r="37" spans="1:70" ht="120.75" customHeight="1" x14ac:dyDescent="0.3">
      <c r="A37" s="525"/>
      <c r="B37" s="433"/>
      <c r="C37" s="434"/>
      <c r="D37" s="466"/>
      <c r="E37" s="467"/>
      <c r="F37" s="463"/>
      <c r="G37" s="463"/>
      <c r="H37" s="463"/>
      <c r="I37" s="463"/>
      <c r="J37" s="463"/>
      <c r="K37" s="463"/>
      <c r="L37" s="463"/>
      <c r="M37" s="463"/>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c r="BI37" s="148"/>
      <c r="BJ37" s="148"/>
      <c r="BK37" s="148"/>
      <c r="BL37" s="148"/>
      <c r="BM37" s="148"/>
      <c r="BN37" s="148"/>
      <c r="BO37" s="148"/>
      <c r="BP37" s="148"/>
      <c r="BQ37" s="148"/>
      <c r="BR37" s="148"/>
    </row>
    <row r="38" spans="1:70" ht="120.75" customHeight="1" x14ac:dyDescent="0.3">
      <c r="A38" s="525"/>
      <c r="B38" s="433"/>
      <c r="C38" s="434"/>
      <c r="D38" s="466"/>
      <c r="E38" s="467"/>
      <c r="F38" s="463"/>
      <c r="G38" s="463"/>
      <c r="H38" s="463"/>
      <c r="I38" s="463"/>
      <c r="J38" s="463"/>
      <c r="K38" s="463"/>
      <c r="L38" s="463"/>
      <c r="M38" s="463"/>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c r="BI38" s="148"/>
      <c r="BJ38" s="148"/>
      <c r="BK38" s="148"/>
      <c r="BL38" s="148"/>
      <c r="BM38" s="148"/>
      <c r="BN38" s="148"/>
      <c r="BO38" s="148"/>
      <c r="BP38" s="148"/>
      <c r="BQ38" s="148"/>
      <c r="BR38" s="148"/>
    </row>
    <row r="39" spans="1:70" ht="120.75" customHeight="1" x14ac:dyDescent="0.3">
      <c r="A39" s="525"/>
      <c r="B39" s="433" t="str">
        <f>'Mapa final'!$B$38</f>
        <v>TIN_03</v>
      </c>
      <c r="C39" s="434" t="str">
        <f>'Mapa final'!$H$38</f>
        <v>Posibilidad de afectación económica por no disponibilidad de la información clínica  de los usuarios del  HOMIL, debido a falta de respaldo (copias de seguridad) de la información.</v>
      </c>
      <c r="D39" s="466"/>
      <c r="E39" s="467"/>
      <c r="F39" s="463" t="str">
        <f t="shared" ref="F39" si="9">IFERROR(IF($E39="","No",IF($E39="No","No"," "))," ")</f>
        <v>No</v>
      </c>
      <c r="G39" s="463" t="str">
        <f t="shared" si="1"/>
        <v>No</v>
      </c>
      <c r="H39" s="463" t="str">
        <f t="shared" si="1"/>
        <v>No</v>
      </c>
      <c r="I39" s="463" t="str">
        <f t="shared" si="1"/>
        <v>No</v>
      </c>
      <c r="J39" s="463" t="str">
        <f t="shared" si="1"/>
        <v>No</v>
      </c>
      <c r="K39" s="463" t="str">
        <f t="shared" si="1"/>
        <v>No</v>
      </c>
      <c r="L39" s="463" t="str">
        <f t="shared" si="1"/>
        <v>No</v>
      </c>
      <c r="M39" s="463" t="str">
        <f t="shared" si="1"/>
        <v>No</v>
      </c>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c r="BI39" s="148"/>
      <c r="BJ39" s="148"/>
      <c r="BK39" s="148"/>
      <c r="BL39" s="148"/>
      <c r="BM39" s="148"/>
      <c r="BN39" s="148"/>
      <c r="BO39" s="148"/>
      <c r="BP39" s="148"/>
      <c r="BQ39" s="148"/>
      <c r="BR39" s="148"/>
    </row>
    <row r="40" spans="1:70" ht="120.75" customHeight="1" x14ac:dyDescent="0.3">
      <c r="A40" s="525"/>
      <c r="B40" s="433"/>
      <c r="C40" s="434"/>
      <c r="D40" s="466"/>
      <c r="E40" s="467"/>
      <c r="F40" s="463"/>
      <c r="G40" s="463"/>
      <c r="H40" s="463"/>
      <c r="I40" s="463"/>
      <c r="J40" s="463"/>
      <c r="K40" s="463"/>
      <c r="L40" s="463"/>
      <c r="M40" s="463"/>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c r="BI40" s="148"/>
      <c r="BJ40" s="148"/>
      <c r="BK40" s="148"/>
      <c r="BL40" s="148"/>
      <c r="BM40" s="148"/>
      <c r="BN40" s="148"/>
      <c r="BO40" s="148"/>
      <c r="BP40" s="148"/>
      <c r="BQ40" s="148"/>
      <c r="BR40" s="148"/>
    </row>
    <row r="41" spans="1:70" ht="120.75" customHeight="1" x14ac:dyDescent="0.3">
      <c r="A41" s="525"/>
      <c r="B41" s="433"/>
      <c r="C41" s="434"/>
      <c r="D41" s="466"/>
      <c r="E41" s="467"/>
      <c r="F41" s="463"/>
      <c r="G41" s="463"/>
      <c r="H41" s="463"/>
      <c r="I41" s="463"/>
      <c r="J41" s="463"/>
      <c r="K41" s="463"/>
      <c r="L41" s="463"/>
      <c r="M41" s="463"/>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c r="BI41" s="148"/>
      <c r="BJ41" s="148"/>
      <c r="BK41" s="148"/>
      <c r="BL41" s="148"/>
      <c r="BM41" s="148"/>
      <c r="BN41" s="148"/>
      <c r="BO41" s="148"/>
      <c r="BP41" s="148"/>
      <c r="BQ41" s="148"/>
      <c r="BR41" s="148"/>
    </row>
    <row r="42" spans="1:70" ht="43.5" customHeight="1" x14ac:dyDescent="0.3">
      <c r="A42" s="525"/>
      <c r="B42" s="496"/>
      <c r="C42" s="497"/>
      <c r="D42" s="466"/>
      <c r="E42" s="467"/>
      <c r="F42" s="463" t="str">
        <f t="shared" ref="F42:M69" si="10">IFERROR(IF($E42="","No",IF($E42="No","No"," "))," ")</f>
        <v>No</v>
      </c>
      <c r="G42" s="463" t="str">
        <f t="shared" si="10"/>
        <v>No</v>
      </c>
      <c r="H42" s="463" t="str">
        <f t="shared" si="10"/>
        <v>No</v>
      </c>
      <c r="I42" s="463" t="str">
        <f t="shared" si="10"/>
        <v>No</v>
      </c>
      <c r="J42" s="463" t="str">
        <f t="shared" si="10"/>
        <v>No</v>
      </c>
      <c r="K42" s="463" t="str">
        <f t="shared" si="10"/>
        <v>No</v>
      </c>
      <c r="L42" s="463" t="str">
        <f t="shared" si="10"/>
        <v>No</v>
      </c>
      <c r="M42" s="463" t="str">
        <f t="shared" si="10"/>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3.5" customHeight="1" x14ac:dyDescent="0.3">
      <c r="A43" s="525"/>
      <c r="B43" s="496"/>
      <c r="C43" s="497"/>
      <c r="D43" s="466"/>
      <c r="E43" s="467"/>
      <c r="F43" s="463"/>
      <c r="G43" s="463"/>
      <c r="H43" s="463"/>
      <c r="I43" s="463"/>
      <c r="J43" s="463"/>
      <c r="K43" s="463"/>
      <c r="L43" s="463"/>
      <c r="M43" s="463"/>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3.5" customHeight="1" x14ac:dyDescent="0.3">
      <c r="A44" s="525"/>
      <c r="B44" s="496"/>
      <c r="C44" s="497"/>
      <c r="D44" s="466"/>
      <c r="E44" s="467"/>
      <c r="F44" s="463"/>
      <c r="G44" s="463"/>
      <c r="H44" s="463"/>
      <c r="I44" s="463"/>
      <c r="J44" s="463"/>
      <c r="K44" s="463"/>
      <c r="L44" s="463"/>
      <c r="M44" s="463"/>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3.5" customHeight="1" x14ac:dyDescent="0.3">
      <c r="A45" s="525"/>
      <c r="B45" s="496"/>
      <c r="C45" s="497"/>
      <c r="D45" s="466"/>
      <c r="E45" s="467"/>
      <c r="F45" s="463" t="str">
        <f t="shared" si="10"/>
        <v>No</v>
      </c>
      <c r="G45" s="463" t="str">
        <f t="shared" si="10"/>
        <v>No</v>
      </c>
      <c r="H45" s="463" t="str">
        <f t="shared" si="10"/>
        <v>No</v>
      </c>
      <c r="I45" s="463" t="str">
        <f t="shared" si="10"/>
        <v>No</v>
      </c>
      <c r="J45" s="463" t="str">
        <f t="shared" si="10"/>
        <v>No</v>
      </c>
      <c r="K45" s="463" t="str">
        <f t="shared" si="10"/>
        <v>No</v>
      </c>
      <c r="L45" s="463" t="str">
        <f t="shared" si="10"/>
        <v>No</v>
      </c>
      <c r="M45" s="463" t="str">
        <f t="shared" si="10"/>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3.5" customHeight="1" x14ac:dyDescent="0.3">
      <c r="A46" s="525"/>
      <c r="B46" s="496"/>
      <c r="C46" s="497"/>
      <c r="D46" s="466"/>
      <c r="E46" s="467"/>
      <c r="F46" s="463"/>
      <c r="G46" s="463"/>
      <c r="H46" s="463"/>
      <c r="I46" s="463"/>
      <c r="J46" s="463"/>
      <c r="K46" s="463"/>
      <c r="L46" s="463"/>
      <c r="M46" s="463"/>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3.5" customHeight="1" x14ac:dyDescent="0.3">
      <c r="A47" s="525"/>
      <c r="B47" s="496"/>
      <c r="C47" s="497"/>
      <c r="D47" s="466"/>
      <c r="E47" s="467"/>
      <c r="F47" s="463"/>
      <c r="G47" s="463"/>
      <c r="H47" s="463"/>
      <c r="I47" s="463"/>
      <c r="J47" s="463"/>
      <c r="K47" s="463"/>
      <c r="L47" s="463"/>
      <c r="M47" s="463"/>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row r="48" spans="1:70" ht="43.5" customHeight="1" x14ac:dyDescent="0.3">
      <c r="A48" s="525"/>
      <c r="B48" s="496"/>
      <c r="C48" s="497"/>
      <c r="D48" s="466"/>
      <c r="E48" s="467"/>
      <c r="F48" s="463" t="str">
        <f t="shared" si="10"/>
        <v>No</v>
      </c>
      <c r="G48" s="463" t="str">
        <f t="shared" si="10"/>
        <v>No</v>
      </c>
      <c r="H48" s="463" t="str">
        <f t="shared" si="10"/>
        <v>No</v>
      </c>
      <c r="I48" s="463" t="str">
        <f t="shared" si="10"/>
        <v>No</v>
      </c>
      <c r="J48" s="463" t="str">
        <f t="shared" si="10"/>
        <v>No</v>
      </c>
      <c r="K48" s="463" t="str">
        <f t="shared" si="10"/>
        <v>No</v>
      </c>
      <c r="L48" s="463" t="str">
        <f t="shared" si="10"/>
        <v>No</v>
      </c>
      <c r="M48" s="463" t="str">
        <f t="shared" si="10"/>
        <v>No</v>
      </c>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c r="BI48" s="148"/>
      <c r="BJ48" s="148"/>
      <c r="BK48" s="148"/>
      <c r="BL48" s="148"/>
      <c r="BM48" s="148"/>
      <c r="BN48" s="148"/>
      <c r="BO48" s="148"/>
      <c r="BP48" s="148"/>
      <c r="BQ48" s="148"/>
      <c r="BR48" s="148"/>
    </row>
    <row r="49" spans="1:70" ht="43.5" customHeight="1" x14ac:dyDescent="0.3">
      <c r="A49" s="525"/>
      <c r="B49" s="496"/>
      <c r="C49" s="497"/>
      <c r="D49" s="466"/>
      <c r="E49" s="467"/>
      <c r="F49" s="463"/>
      <c r="G49" s="463"/>
      <c r="H49" s="463"/>
      <c r="I49" s="463"/>
      <c r="J49" s="463"/>
      <c r="K49" s="463"/>
      <c r="L49" s="463"/>
      <c r="M49" s="463"/>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c r="BI49" s="148"/>
      <c r="BJ49" s="148"/>
      <c r="BK49" s="148"/>
      <c r="BL49" s="148"/>
      <c r="BM49" s="148"/>
      <c r="BN49" s="148"/>
      <c r="BO49" s="148"/>
      <c r="BP49" s="148"/>
      <c r="BQ49" s="148"/>
      <c r="BR49" s="148"/>
    </row>
    <row r="50" spans="1:70" ht="43.5" customHeight="1" x14ac:dyDescent="0.3">
      <c r="A50" s="525"/>
      <c r="B50" s="496"/>
      <c r="C50" s="497"/>
      <c r="D50" s="466"/>
      <c r="E50" s="467"/>
      <c r="F50" s="463"/>
      <c r="G50" s="463"/>
      <c r="H50" s="463"/>
      <c r="I50" s="463"/>
      <c r="J50" s="463"/>
      <c r="K50" s="463"/>
      <c r="L50" s="463"/>
      <c r="M50" s="463"/>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c r="BI50" s="148"/>
      <c r="BJ50" s="148"/>
      <c r="BK50" s="148"/>
      <c r="BL50" s="148"/>
      <c r="BM50" s="148"/>
      <c r="BN50" s="148"/>
      <c r="BO50" s="148"/>
      <c r="BP50" s="148"/>
      <c r="BQ50" s="148"/>
      <c r="BR50" s="148"/>
    </row>
    <row r="51" spans="1:70" ht="43.5" customHeight="1" x14ac:dyDescent="0.3">
      <c r="A51" s="525"/>
      <c r="B51" s="496"/>
      <c r="C51" s="497"/>
      <c r="D51" s="466"/>
      <c r="E51" s="467"/>
      <c r="F51" s="463" t="str">
        <f t="shared" si="10"/>
        <v>No</v>
      </c>
      <c r="G51" s="463" t="str">
        <f t="shared" si="10"/>
        <v>No</v>
      </c>
      <c r="H51" s="463" t="str">
        <f t="shared" si="10"/>
        <v>No</v>
      </c>
      <c r="I51" s="463" t="str">
        <f t="shared" si="10"/>
        <v>No</v>
      </c>
      <c r="J51" s="463" t="str">
        <f t="shared" si="10"/>
        <v>No</v>
      </c>
      <c r="K51" s="463" t="str">
        <f t="shared" si="10"/>
        <v>No</v>
      </c>
      <c r="L51" s="463" t="str">
        <f t="shared" si="10"/>
        <v>No</v>
      </c>
      <c r="M51" s="463" t="str">
        <f t="shared" si="10"/>
        <v>No</v>
      </c>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c r="BI51" s="148"/>
      <c r="BJ51" s="148"/>
      <c r="BK51" s="148"/>
      <c r="BL51" s="148"/>
      <c r="BM51" s="148"/>
      <c r="BN51" s="148"/>
      <c r="BO51" s="148"/>
      <c r="BP51" s="148"/>
      <c r="BQ51" s="148"/>
      <c r="BR51" s="148"/>
    </row>
    <row r="52" spans="1:70" ht="43.5" customHeight="1" x14ac:dyDescent="0.3">
      <c r="A52" s="525"/>
      <c r="B52" s="496"/>
      <c r="C52" s="497"/>
      <c r="D52" s="466"/>
      <c r="E52" s="467"/>
      <c r="F52" s="463"/>
      <c r="G52" s="463"/>
      <c r="H52" s="463"/>
      <c r="I52" s="463"/>
      <c r="J52" s="463"/>
      <c r="K52" s="463"/>
      <c r="L52" s="463"/>
      <c r="M52" s="463"/>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c r="BI52" s="148"/>
      <c r="BJ52" s="148"/>
      <c r="BK52" s="148"/>
      <c r="BL52" s="148"/>
      <c r="BM52" s="148"/>
      <c r="BN52" s="148"/>
      <c r="BO52" s="148"/>
      <c r="BP52" s="148"/>
      <c r="BQ52" s="148"/>
      <c r="BR52" s="148"/>
    </row>
    <row r="53" spans="1:70" ht="43.5" customHeight="1" x14ac:dyDescent="0.3">
      <c r="A53" s="525"/>
      <c r="B53" s="496"/>
      <c r="C53" s="497"/>
      <c r="D53" s="466"/>
      <c r="E53" s="467"/>
      <c r="F53" s="463"/>
      <c r="G53" s="463"/>
      <c r="H53" s="463"/>
      <c r="I53" s="463"/>
      <c r="J53" s="463"/>
      <c r="K53" s="463"/>
      <c r="L53" s="463"/>
      <c r="M53" s="463"/>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c r="BI53" s="148"/>
      <c r="BJ53" s="148"/>
      <c r="BK53" s="148"/>
      <c r="BL53" s="148"/>
      <c r="BM53" s="148"/>
      <c r="BN53" s="148"/>
      <c r="BO53" s="148"/>
      <c r="BP53" s="148"/>
      <c r="BQ53" s="148"/>
      <c r="BR53" s="148"/>
    </row>
    <row r="54" spans="1:70" ht="43.5" customHeight="1" x14ac:dyDescent="0.3">
      <c r="A54" s="525"/>
      <c r="B54" s="496"/>
      <c r="C54" s="497"/>
      <c r="D54" s="466"/>
      <c r="E54" s="467"/>
      <c r="F54" s="463" t="str">
        <f t="shared" si="10"/>
        <v>No</v>
      </c>
      <c r="G54" s="463" t="str">
        <f t="shared" si="10"/>
        <v>No</v>
      </c>
      <c r="H54" s="463" t="str">
        <f t="shared" si="10"/>
        <v>No</v>
      </c>
      <c r="I54" s="463" t="str">
        <f t="shared" si="10"/>
        <v>No</v>
      </c>
      <c r="J54" s="463" t="str">
        <f t="shared" si="10"/>
        <v>No</v>
      </c>
      <c r="K54" s="463" t="str">
        <f t="shared" si="10"/>
        <v>No</v>
      </c>
      <c r="L54" s="463" t="str">
        <f t="shared" si="10"/>
        <v>No</v>
      </c>
      <c r="M54" s="463" t="str">
        <f t="shared" si="10"/>
        <v>No</v>
      </c>
      <c r="N54" s="148"/>
      <c r="O54" s="148"/>
      <c r="P54" s="148"/>
      <c r="Q54" s="148"/>
      <c r="R54" s="148"/>
      <c r="S54" s="148"/>
      <c r="T54" s="148"/>
      <c r="U54" s="148"/>
      <c r="V54" s="148"/>
      <c r="W54" s="148"/>
      <c r="X54" s="148"/>
      <c r="Y54" s="148"/>
      <c r="Z54" s="148"/>
      <c r="AA54" s="148"/>
      <c r="AB54" s="148"/>
      <c r="AC54" s="148"/>
      <c r="AD54" s="148"/>
      <c r="AE54" s="148"/>
      <c r="AF54" s="148"/>
      <c r="AG54" s="148"/>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c r="BI54" s="148"/>
      <c r="BJ54" s="148"/>
      <c r="BK54" s="148"/>
      <c r="BL54" s="148"/>
      <c r="BM54" s="148"/>
      <c r="BN54" s="148"/>
      <c r="BO54" s="148"/>
      <c r="BP54" s="148"/>
      <c r="BQ54" s="148"/>
      <c r="BR54" s="148"/>
    </row>
    <row r="55" spans="1:70" ht="43.5" customHeight="1" x14ac:dyDescent="0.3">
      <c r="A55" s="525"/>
      <c r="B55" s="496"/>
      <c r="C55" s="497"/>
      <c r="D55" s="466"/>
      <c r="E55" s="467"/>
      <c r="F55" s="463"/>
      <c r="G55" s="463"/>
      <c r="H55" s="463"/>
      <c r="I55" s="463"/>
      <c r="J55" s="463"/>
      <c r="K55" s="463"/>
      <c r="L55" s="463"/>
      <c r="M55" s="463"/>
      <c r="N55" s="148"/>
      <c r="O55" s="148"/>
      <c r="P55" s="148"/>
      <c r="Q55" s="148"/>
      <c r="R55" s="148"/>
      <c r="S55" s="148"/>
      <c r="T55" s="148"/>
      <c r="U55" s="148"/>
      <c r="V55" s="148"/>
      <c r="W55" s="148"/>
      <c r="X55" s="148"/>
      <c r="Y55" s="148"/>
      <c r="Z55" s="148"/>
      <c r="AA55" s="148"/>
      <c r="AB55" s="148"/>
      <c r="AC55" s="148"/>
      <c r="AD55" s="148"/>
      <c r="AE55" s="148"/>
      <c r="AF55" s="148"/>
      <c r="AG55" s="148"/>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c r="BI55" s="148"/>
      <c r="BJ55" s="148"/>
      <c r="BK55" s="148"/>
      <c r="BL55" s="148"/>
      <c r="BM55" s="148"/>
      <c r="BN55" s="148"/>
      <c r="BO55" s="148"/>
      <c r="BP55" s="148"/>
      <c r="BQ55" s="148"/>
      <c r="BR55" s="148"/>
    </row>
    <row r="56" spans="1:70" ht="43.5" customHeight="1" x14ac:dyDescent="0.3">
      <c r="A56" s="525"/>
      <c r="B56" s="496"/>
      <c r="C56" s="497"/>
      <c r="D56" s="466"/>
      <c r="E56" s="467"/>
      <c r="F56" s="463"/>
      <c r="G56" s="463"/>
      <c r="H56" s="463"/>
      <c r="I56" s="463"/>
      <c r="J56" s="463"/>
      <c r="K56" s="463"/>
      <c r="L56" s="463"/>
      <c r="M56" s="463"/>
      <c r="N56" s="148"/>
      <c r="O56" s="148"/>
      <c r="P56" s="148"/>
      <c r="Q56" s="148"/>
      <c r="R56" s="148"/>
      <c r="S56" s="148"/>
      <c r="T56" s="148"/>
      <c r="U56" s="148"/>
      <c r="V56" s="148"/>
      <c r="W56" s="148"/>
      <c r="X56" s="148"/>
      <c r="Y56" s="148"/>
      <c r="Z56" s="148"/>
      <c r="AA56" s="148"/>
      <c r="AB56" s="148"/>
      <c r="AC56" s="148"/>
      <c r="AD56" s="148"/>
      <c r="AE56" s="148"/>
      <c r="AF56" s="148"/>
      <c r="AG56" s="148"/>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c r="BI56" s="148"/>
      <c r="BJ56" s="148"/>
      <c r="BK56" s="148"/>
      <c r="BL56" s="148"/>
      <c r="BM56" s="148"/>
      <c r="BN56" s="148"/>
      <c r="BO56" s="148"/>
      <c r="BP56" s="148"/>
      <c r="BQ56" s="148"/>
      <c r="BR56" s="148"/>
    </row>
    <row r="57" spans="1:70" ht="43.5" customHeight="1" x14ac:dyDescent="0.3">
      <c r="A57" s="525"/>
      <c r="B57" s="496"/>
      <c r="C57" s="497"/>
      <c r="D57" s="466"/>
      <c r="E57" s="467"/>
      <c r="F57" s="463" t="str">
        <f t="shared" si="10"/>
        <v>No</v>
      </c>
      <c r="G57" s="463" t="str">
        <f t="shared" si="10"/>
        <v>No</v>
      </c>
      <c r="H57" s="463" t="str">
        <f t="shared" si="10"/>
        <v>No</v>
      </c>
      <c r="I57" s="463" t="str">
        <f t="shared" si="10"/>
        <v>No</v>
      </c>
      <c r="J57" s="463" t="str">
        <f t="shared" si="10"/>
        <v>No</v>
      </c>
      <c r="K57" s="463" t="str">
        <f t="shared" si="10"/>
        <v>No</v>
      </c>
      <c r="L57" s="463" t="str">
        <f t="shared" si="10"/>
        <v>No</v>
      </c>
      <c r="M57" s="463" t="str">
        <f t="shared" si="10"/>
        <v>No</v>
      </c>
      <c r="N57" s="148"/>
      <c r="O57" s="148"/>
      <c r="P57" s="148"/>
      <c r="Q57" s="148"/>
      <c r="R57" s="148"/>
      <c r="S57" s="148"/>
      <c r="T57" s="148"/>
      <c r="U57" s="148"/>
      <c r="V57" s="148"/>
      <c r="W57" s="148"/>
      <c r="X57" s="148"/>
      <c r="Y57" s="148"/>
      <c r="Z57" s="148"/>
      <c r="AA57" s="148"/>
      <c r="AB57" s="148"/>
      <c r="AC57" s="148"/>
      <c r="AD57" s="148"/>
      <c r="AE57" s="148"/>
      <c r="AF57" s="148"/>
      <c r="AG57" s="148"/>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c r="BI57" s="148"/>
      <c r="BJ57" s="148"/>
      <c r="BK57" s="148"/>
      <c r="BL57" s="148"/>
      <c r="BM57" s="148"/>
      <c r="BN57" s="148"/>
      <c r="BO57" s="148"/>
      <c r="BP57" s="148"/>
      <c r="BQ57" s="148"/>
      <c r="BR57" s="148"/>
    </row>
    <row r="58" spans="1:70" ht="43.5" customHeight="1" x14ac:dyDescent="0.3">
      <c r="A58" s="525"/>
      <c r="B58" s="496"/>
      <c r="C58" s="497"/>
      <c r="D58" s="466"/>
      <c r="E58" s="467"/>
      <c r="F58" s="463"/>
      <c r="G58" s="463"/>
      <c r="H58" s="463"/>
      <c r="I58" s="463"/>
      <c r="J58" s="463"/>
      <c r="K58" s="463"/>
      <c r="L58" s="463"/>
      <c r="M58" s="463"/>
      <c r="N58" s="148"/>
      <c r="O58" s="148"/>
      <c r="P58" s="148"/>
      <c r="Q58" s="148"/>
      <c r="R58" s="148"/>
      <c r="S58" s="148"/>
      <c r="T58" s="148"/>
      <c r="U58" s="148"/>
      <c r="V58" s="148"/>
      <c r="W58" s="148"/>
      <c r="X58" s="148"/>
      <c r="Y58" s="148"/>
      <c r="Z58" s="148"/>
      <c r="AA58" s="148"/>
      <c r="AB58" s="148"/>
      <c r="AC58" s="148"/>
      <c r="AD58" s="148"/>
      <c r="AE58" s="148"/>
      <c r="AF58" s="148"/>
      <c r="AG58" s="148"/>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c r="BI58" s="148"/>
      <c r="BJ58" s="148"/>
      <c r="BK58" s="148"/>
      <c r="BL58" s="148"/>
      <c r="BM58" s="148"/>
      <c r="BN58" s="148"/>
      <c r="BO58" s="148"/>
      <c r="BP58" s="148"/>
      <c r="BQ58" s="148"/>
      <c r="BR58" s="148"/>
    </row>
    <row r="59" spans="1:70" ht="43.5" customHeight="1" x14ac:dyDescent="0.3">
      <c r="A59" s="525"/>
      <c r="B59" s="496"/>
      <c r="C59" s="497"/>
      <c r="D59" s="466"/>
      <c r="E59" s="467"/>
      <c r="F59" s="463"/>
      <c r="G59" s="463"/>
      <c r="H59" s="463"/>
      <c r="I59" s="463"/>
      <c r="J59" s="463"/>
      <c r="K59" s="463"/>
      <c r="L59" s="463"/>
      <c r="M59" s="463"/>
      <c r="N59" s="148"/>
      <c r="O59" s="148"/>
      <c r="P59" s="148"/>
      <c r="Q59" s="148"/>
      <c r="R59" s="148"/>
      <c r="S59" s="148"/>
      <c r="T59" s="148"/>
      <c r="U59" s="148"/>
      <c r="V59" s="148"/>
      <c r="W59" s="148"/>
      <c r="X59" s="148"/>
      <c r="Y59" s="148"/>
      <c r="Z59" s="148"/>
      <c r="AA59" s="148"/>
      <c r="AB59" s="148"/>
      <c r="AC59" s="148"/>
      <c r="AD59" s="148"/>
      <c r="AE59" s="148"/>
      <c r="AF59" s="148"/>
      <c r="AG59" s="148"/>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c r="BI59" s="148"/>
      <c r="BJ59" s="148"/>
      <c r="BK59" s="148"/>
      <c r="BL59" s="148"/>
      <c r="BM59" s="148"/>
      <c r="BN59" s="148"/>
      <c r="BO59" s="148"/>
      <c r="BP59" s="148"/>
      <c r="BQ59" s="148"/>
      <c r="BR59" s="148"/>
    </row>
    <row r="60" spans="1:70" ht="43.5" customHeight="1" x14ac:dyDescent="0.3">
      <c r="A60" s="525"/>
      <c r="B60" s="496"/>
      <c r="C60" s="497"/>
      <c r="D60" s="466"/>
      <c r="E60" s="467"/>
      <c r="F60" s="463" t="str">
        <f t="shared" si="10"/>
        <v>No</v>
      </c>
      <c r="G60" s="463" t="str">
        <f t="shared" si="10"/>
        <v>No</v>
      </c>
      <c r="H60" s="463" t="str">
        <f t="shared" si="10"/>
        <v>No</v>
      </c>
      <c r="I60" s="463" t="str">
        <f t="shared" si="10"/>
        <v>No</v>
      </c>
      <c r="J60" s="463" t="str">
        <f t="shared" si="10"/>
        <v>No</v>
      </c>
      <c r="K60" s="463" t="str">
        <f t="shared" si="10"/>
        <v>No</v>
      </c>
      <c r="L60" s="463" t="str">
        <f t="shared" si="10"/>
        <v>No</v>
      </c>
      <c r="M60" s="463" t="str">
        <f t="shared" si="10"/>
        <v>No</v>
      </c>
      <c r="N60" s="148"/>
      <c r="O60" s="148"/>
      <c r="P60" s="148"/>
      <c r="Q60" s="148"/>
      <c r="R60" s="148"/>
      <c r="S60" s="148"/>
      <c r="T60" s="148"/>
      <c r="U60" s="148"/>
      <c r="V60" s="148"/>
      <c r="W60" s="148"/>
      <c r="X60" s="148"/>
      <c r="Y60" s="148"/>
      <c r="Z60" s="148"/>
      <c r="AA60" s="148"/>
      <c r="AB60" s="148"/>
      <c r="AC60" s="148"/>
      <c r="AD60" s="148"/>
      <c r="AE60" s="148"/>
      <c r="AF60" s="148"/>
      <c r="AG60" s="148"/>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c r="BI60" s="148"/>
      <c r="BJ60" s="148"/>
      <c r="BK60" s="148"/>
      <c r="BL60" s="148"/>
      <c r="BM60" s="148"/>
      <c r="BN60" s="148"/>
      <c r="BO60" s="148"/>
      <c r="BP60" s="148"/>
      <c r="BQ60" s="148"/>
      <c r="BR60" s="148"/>
    </row>
    <row r="61" spans="1:70" ht="43.5" customHeight="1" x14ac:dyDescent="0.3">
      <c r="A61" s="525"/>
      <c r="B61" s="496"/>
      <c r="C61" s="497"/>
      <c r="D61" s="466"/>
      <c r="E61" s="467"/>
      <c r="F61" s="463"/>
      <c r="G61" s="463"/>
      <c r="H61" s="463"/>
      <c r="I61" s="463"/>
      <c r="J61" s="463"/>
      <c r="K61" s="463"/>
      <c r="L61" s="463"/>
      <c r="M61" s="463"/>
      <c r="N61" s="148"/>
      <c r="O61" s="148"/>
      <c r="P61" s="148"/>
      <c r="Q61" s="148"/>
      <c r="R61" s="148"/>
      <c r="S61" s="148"/>
      <c r="T61" s="148"/>
      <c r="U61" s="148"/>
      <c r="V61" s="148"/>
      <c r="W61" s="148"/>
      <c r="X61" s="148"/>
      <c r="Y61" s="148"/>
      <c r="Z61" s="148"/>
      <c r="AA61" s="148"/>
      <c r="AB61" s="148"/>
      <c r="AC61" s="148"/>
      <c r="AD61" s="148"/>
      <c r="AE61" s="148"/>
      <c r="AF61" s="148"/>
      <c r="AG61" s="148"/>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c r="BI61" s="148"/>
      <c r="BJ61" s="148"/>
      <c r="BK61" s="148"/>
      <c r="BL61" s="148"/>
      <c r="BM61" s="148"/>
      <c r="BN61" s="148"/>
      <c r="BO61" s="148"/>
      <c r="BP61" s="148"/>
      <c r="BQ61" s="148"/>
      <c r="BR61" s="148"/>
    </row>
    <row r="62" spans="1:70" ht="43.5" customHeight="1" x14ac:dyDescent="0.3">
      <c r="A62" s="525"/>
      <c r="B62" s="496"/>
      <c r="C62" s="497"/>
      <c r="D62" s="466"/>
      <c r="E62" s="467"/>
      <c r="F62" s="463"/>
      <c r="G62" s="463"/>
      <c r="H62" s="463"/>
      <c r="I62" s="463"/>
      <c r="J62" s="463"/>
      <c r="K62" s="463"/>
      <c r="L62" s="463"/>
      <c r="M62" s="463"/>
      <c r="N62" s="148"/>
      <c r="O62" s="148"/>
      <c r="P62" s="148"/>
      <c r="Q62" s="148"/>
      <c r="R62" s="148"/>
      <c r="S62" s="148"/>
      <c r="T62" s="148"/>
      <c r="U62" s="148"/>
      <c r="V62" s="148"/>
      <c r="W62" s="148"/>
      <c r="X62" s="148"/>
      <c r="Y62" s="148"/>
      <c r="Z62" s="148"/>
      <c r="AA62" s="148"/>
      <c r="AB62" s="148"/>
      <c r="AC62" s="148"/>
      <c r="AD62" s="148"/>
      <c r="AE62" s="148"/>
      <c r="AF62" s="148"/>
      <c r="AG62" s="148"/>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c r="BI62" s="148"/>
      <c r="BJ62" s="148"/>
      <c r="BK62" s="148"/>
      <c r="BL62" s="148"/>
      <c r="BM62" s="148"/>
      <c r="BN62" s="148"/>
      <c r="BO62" s="148"/>
      <c r="BP62" s="148"/>
      <c r="BQ62" s="148"/>
      <c r="BR62" s="148"/>
    </row>
    <row r="63" spans="1:70" ht="43.5" customHeight="1" x14ac:dyDescent="0.3">
      <c r="A63" s="525"/>
      <c r="B63" s="496"/>
      <c r="C63" s="497"/>
      <c r="D63" s="466"/>
      <c r="E63" s="467"/>
      <c r="F63" s="463" t="str">
        <f t="shared" si="10"/>
        <v>No</v>
      </c>
      <c r="G63" s="463" t="str">
        <f t="shared" si="10"/>
        <v>No</v>
      </c>
      <c r="H63" s="463" t="str">
        <f t="shared" si="10"/>
        <v>No</v>
      </c>
      <c r="I63" s="463" t="str">
        <f t="shared" si="10"/>
        <v>No</v>
      </c>
      <c r="J63" s="463" t="str">
        <f t="shared" si="10"/>
        <v>No</v>
      </c>
      <c r="K63" s="463" t="str">
        <f t="shared" si="10"/>
        <v>No</v>
      </c>
      <c r="L63" s="463" t="str">
        <f t="shared" si="10"/>
        <v>No</v>
      </c>
      <c r="M63" s="463" t="str">
        <f t="shared" si="10"/>
        <v>No</v>
      </c>
      <c r="N63" s="148"/>
      <c r="O63" s="148"/>
      <c r="P63" s="148"/>
      <c r="Q63" s="148"/>
      <c r="R63" s="148"/>
      <c r="S63" s="148"/>
      <c r="T63" s="148"/>
      <c r="U63" s="148"/>
      <c r="V63" s="148"/>
      <c r="W63" s="148"/>
      <c r="X63" s="148"/>
      <c r="Y63" s="148"/>
      <c r="Z63" s="148"/>
      <c r="AA63" s="148"/>
      <c r="AB63" s="148"/>
      <c r="AC63" s="148"/>
      <c r="AD63" s="148"/>
      <c r="AE63" s="148"/>
      <c r="AF63" s="148"/>
      <c r="AG63" s="148"/>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c r="BI63" s="148"/>
      <c r="BJ63" s="148"/>
      <c r="BK63" s="148"/>
      <c r="BL63" s="148"/>
      <c r="BM63" s="148"/>
      <c r="BN63" s="148"/>
      <c r="BO63" s="148"/>
      <c r="BP63" s="148"/>
      <c r="BQ63" s="148"/>
      <c r="BR63" s="148"/>
    </row>
    <row r="64" spans="1:70" ht="43.5" customHeight="1" x14ac:dyDescent="0.3">
      <c r="A64" s="525"/>
      <c r="B64" s="496"/>
      <c r="C64" s="497"/>
      <c r="D64" s="466"/>
      <c r="E64" s="467"/>
      <c r="F64" s="463"/>
      <c r="G64" s="463"/>
      <c r="H64" s="463"/>
      <c r="I64" s="463"/>
      <c r="J64" s="463"/>
      <c r="K64" s="463"/>
      <c r="L64" s="463"/>
      <c r="M64" s="463"/>
      <c r="N64" s="148"/>
      <c r="O64" s="148"/>
      <c r="P64" s="148"/>
      <c r="Q64" s="148"/>
      <c r="R64" s="148"/>
      <c r="S64" s="148"/>
      <c r="T64" s="148"/>
      <c r="U64" s="148"/>
      <c r="V64" s="148"/>
      <c r="W64" s="148"/>
      <c r="X64" s="148"/>
      <c r="Y64" s="148"/>
      <c r="Z64" s="148"/>
      <c r="AA64" s="148"/>
      <c r="AB64" s="148"/>
      <c r="AC64" s="148"/>
      <c r="AD64" s="148"/>
      <c r="AE64" s="148"/>
      <c r="AF64" s="148"/>
      <c r="AG64" s="148"/>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c r="BI64" s="148"/>
      <c r="BJ64" s="148"/>
      <c r="BK64" s="148"/>
      <c r="BL64" s="148"/>
      <c r="BM64" s="148"/>
      <c r="BN64" s="148"/>
      <c r="BO64" s="148"/>
      <c r="BP64" s="148"/>
      <c r="BQ64" s="148"/>
      <c r="BR64" s="148"/>
    </row>
    <row r="65" spans="1:70" ht="43.5" customHeight="1" x14ac:dyDescent="0.3">
      <c r="A65" s="525"/>
      <c r="B65" s="496"/>
      <c r="C65" s="497"/>
      <c r="D65" s="466"/>
      <c r="E65" s="467"/>
      <c r="F65" s="463"/>
      <c r="G65" s="463"/>
      <c r="H65" s="463"/>
      <c r="I65" s="463"/>
      <c r="J65" s="463"/>
      <c r="K65" s="463"/>
      <c r="L65" s="463"/>
      <c r="M65" s="463"/>
      <c r="N65" s="148"/>
      <c r="O65" s="148"/>
      <c r="P65" s="148"/>
      <c r="Q65" s="148"/>
      <c r="R65" s="148"/>
      <c r="S65" s="148"/>
      <c r="T65" s="148"/>
      <c r="U65" s="148"/>
      <c r="V65" s="148"/>
      <c r="W65" s="148"/>
      <c r="X65" s="148"/>
      <c r="Y65" s="148"/>
      <c r="Z65" s="148"/>
      <c r="AA65" s="148"/>
      <c r="AB65" s="148"/>
      <c r="AC65" s="148"/>
      <c r="AD65" s="148"/>
      <c r="AE65" s="148"/>
      <c r="AF65" s="148"/>
      <c r="AG65" s="148"/>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c r="BI65" s="148"/>
      <c r="BJ65" s="148"/>
      <c r="BK65" s="148"/>
      <c r="BL65" s="148"/>
      <c r="BM65" s="148"/>
      <c r="BN65" s="148"/>
      <c r="BO65" s="148"/>
      <c r="BP65" s="148"/>
      <c r="BQ65" s="148"/>
      <c r="BR65" s="148"/>
    </row>
    <row r="66" spans="1:70" ht="43.5" customHeight="1" x14ac:dyDescent="0.3">
      <c r="A66" s="525"/>
      <c r="B66" s="496"/>
      <c r="C66" s="497"/>
      <c r="D66" s="466"/>
      <c r="E66" s="467"/>
      <c r="F66" s="463" t="str">
        <f t="shared" si="10"/>
        <v>No</v>
      </c>
      <c r="G66" s="463" t="str">
        <f t="shared" si="10"/>
        <v>No</v>
      </c>
      <c r="H66" s="463" t="str">
        <f t="shared" si="10"/>
        <v>No</v>
      </c>
      <c r="I66" s="463" t="str">
        <f t="shared" si="10"/>
        <v>No</v>
      </c>
      <c r="J66" s="463" t="str">
        <f t="shared" si="10"/>
        <v>No</v>
      </c>
      <c r="K66" s="463" t="str">
        <f t="shared" si="10"/>
        <v>No</v>
      </c>
      <c r="L66" s="463" t="str">
        <f t="shared" si="10"/>
        <v>No</v>
      </c>
      <c r="M66" s="463" t="str">
        <f t="shared" si="10"/>
        <v>No</v>
      </c>
      <c r="N66" s="148"/>
      <c r="O66" s="148"/>
      <c r="P66" s="148"/>
      <c r="Q66" s="148"/>
      <c r="R66" s="148"/>
      <c r="S66" s="148"/>
      <c r="T66" s="148"/>
      <c r="U66" s="148"/>
      <c r="V66" s="148"/>
      <c r="W66" s="148"/>
      <c r="X66" s="148"/>
      <c r="Y66" s="148"/>
      <c r="Z66" s="148"/>
      <c r="AA66" s="148"/>
      <c r="AB66" s="148"/>
      <c r="AC66" s="148"/>
      <c r="AD66" s="148"/>
      <c r="AE66" s="148"/>
      <c r="AF66" s="148"/>
      <c r="AG66" s="148"/>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c r="BI66" s="148"/>
      <c r="BJ66" s="148"/>
      <c r="BK66" s="148"/>
      <c r="BL66" s="148"/>
      <c r="BM66" s="148"/>
      <c r="BN66" s="148"/>
      <c r="BO66" s="148"/>
      <c r="BP66" s="148"/>
      <c r="BQ66" s="148"/>
      <c r="BR66" s="148"/>
    </row>
    <row r="67" spans="1:70" ht="43.5" customHeight="1" x14ac:dyDescent="0.3">
      <c r="A67" s="525"/>
      <c r="B67" s="496"/>
      <c r="C67" s="497"/>
      <c r="D67" s="466"/>
      <c r="E67" s="467"/>
      <c r="F67" s="463"/>
      <c r="G67" s="463"/>
      <c r="H67" s="463"/>
      <c r="I67" s="463"/>
      <c r="J67" s="463"/>
      <c r="K67" s="463"/>
      <c r="L67" s="463"/>
      <c r="M67" s="463"/>
      <c r="N67" s="148"/>
      <c r="O67" s="148"/>
      <c r="P67" s="148"/>
      <c r="Q67" s="148"/>
      <c r="R67" s="148"/>
      <c r="S67" s="148"/>
      <c r="T67" s="148"/>
      <c r="U67" s="148"/>
      <c r="V67" s="148"/>
      <c r="W67" s="148"/>
      <c r="X67" s="148"/>
      <c r="Y67" s="148"/>
      <c r="Z67" s="148"/>
      <c r="AA67" s="148"/>
      <c r="AB67" s="148"/>
      <c r="AC67" s="148"/>
      <c r="AD67" s="148"/>
      <c r="AE67" s="148"/>
      <c r="AF67" s="148"/>
      <c r="AG67" s="148"/>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c r="BI67" s="148"/>
      <c r="BJ67" s="148"/>
      <c r="BK67" s="148"/>
      <c r="BL67" s="148"/>
      <c r="BM67" s="148"/>
      <c r="BN67" s="148"/>
      <c r="BO67" s="148"/>
      <c r="BP67" s="148"/>
      <c r="BQ67" s="148"/>
      <c r="BR67" s="148"/>
    </row>
    <row r="68" spans="1:70" ht="43.5" customHeight="1" x14ac:dyDescent="0.3">
      <c r="A68" s="525"/>
      <c r="B68" s="496"/>
      <c r="C68" s="497"/>
      <c r="D68" s="466"/>
      <c r="E68" s="467"/>
      <c r="F68" s="463"/>
      <c r="G68" s="463"/>
      <c r="H68" s="463"/>
      <c r="I68" s="463"/>
      <c r="J68" s="463"/>
      <c r="K68" s="463"/>
      <c r="L68" s="463"/>
      <c r="M68" s="463"/>
      <c r="N68" s="148"/>
      <c r="O68" s="148"/>
      <c r="P68" s="148"/>
      <c r="Q68" s="148"/>
      <c r="R68" s="148"/>
      <c r="S68" s="148"/>
      <c r="T68" s="148"/>
      <c r="U68" s="148"/>
      <c r="V68" s="148"/>
      <c r="W68" s="148"/>
      <c r="X68" s="148"/>
      <c r="Y68" s="148"/>
      <c r="Z68" s="148"/>
      <c r="AA68" s="148"/>
      <c r="AB68" s="148"/>
      <c r="AC68" s="148"/>
      <c r="AD68" s="148"/>
      <c r="AE68" s="148"/>
      <c r="AF68" s="148"/>
      <c r="AG68" s="148"/>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c r="BI68" s="148"/>
      <c r="BJ68" s="148"/>
      <c r="BK68" s="148"/>
      <c r="BL68" s="148"/>
      <c r="BM68" s="148"/>
      <c r="BN68" s="148"/>
      <c r="BO68" s="148"/>
      <c r="BP68" s="148"/>
      <c r="BQ68" s="148"/>
      <c r="BR68" s="148"/>
    </row>
    <row r="69" spans="1:70" ht="43.5" customHeight="1" x14ac:dyDescent="0.3">
      <c r="A69" s="525"/>
      <c r="B69" s="496"/>
      <c r="C69" s="497"/>
      <c r="D69" s="466"/>
      <c r="E69" s="467"/>
      <c r="F69" s="463" t="str">
        <f t="shared" si="10"/>
        <v>No</v>
      </c>
      <c r="G69" s="463" t="str">
        <f t="shared" si="10"/>
        <v>No</v>
      </c>
      <c r="H69" s="463" t="str">
        <f t="shared" si="10"/>
        <v>No</v>
      </c>
      <c r="I69" s="463" t="str">
        <f t="shared" si="10"/>
        <v>No</v>
      </c>
      <c r="J69" s="463" t="str">
        <f t="shared" si="10"/>
        <v>No</v>
      </c>
      <c r="K69" s="463" t="str">
        <f t="shared" si="10"/>
        <v>No</v>
      </c>
      <c r="L69" s="463" t="str">
        <f t="shared" si="10"/>
        <v>No</v>
      </c>
      <c r="M69" s="463" t="str">
        <f t="shared" si="10"/>
        <v>No</v>
      </c>
      <c r="N69" s="148"/>
      <c r="O69" s="148"/>
      <c r="P69" s="148"/>
      <c r="Q69" s="148"/>
      <c r="R69" s="148"/>
      <c r="S69" s="148"/>
      <c r="T69" s="148"/>
      <c r="U69" s="148"/>
      <c r="V69" s="148"/>
      <c r="W69" s="148"/>
      <c r="X69" s="148"/>
      <c r="Y69" s="148"/>
      <c r="Z69" s="148"/>
      <c r="AA69" s="148"/>
      <c r="AB69" s="148"/>
      <c r="AC69" s="148"/>
      <c r="AD69" s="148"/>
      <c r="AE69" s="148"/>
      <c r="AF69" s="148"/>
      <c r="AG69" s="148"/>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c r="BI69" s="148"/>
      <c r="BJ69" s="148"/>
      <c r="BK69" s="148"/>
      <c r="BL69" s="148"/>
      <c r="BM69" s="148"/>
      <c r="BN69" s="148"/>
      <c r="BO69" s="148"/>
      <c r="BP69" s="148"/>
      <c r="BQ69" s="148"/>
      <c r="BR69" s="148"/>
    </row>
    <row r="70" spans="1:70" ht="43.5" customHeight="1" x14ac:dyDescent="0.3">
      <c r="A70" s="525"/>
      <c r="B70" s="496"/>
      <c r="C70" s="497"/>
      <c r="D70" s="466"/>
      <c r="E70" s="467"/>
      <c r="F70" s="463"/>
      <c r="G70" s="463"/>
      <c r="H70" s="463"/>
      <c r="I70" s="463"/>
      <c r="J70" s="463"/>
      <c r="K70" s="463"/>
      <c r="L70" s="463"/>
      <c r="M70" s="463"/>
      <c r="N70" s="148"/>
      <c r="O70" s="148"/>
      <c r="P70" s="148"/>
      <c r="Q70" s="148"/>
      <c r="R70" s="148"/>
      <c r="S70" s="148"/>
      <c r="T70" s="148"/>
      <c r="U70" s="148"/>
      <c r="V70" s="148"/>
      <c r="W70" s="148"/>
      <c r="X70" s="148"/>
      <c r="Y70" s="148"/>
      <c r="Z70" s="148"/>
      <c r="AA70" s="148"/>
      <c r="AB70" s="148"/>
      <c r="AC70" s="148"/>
      <c r="AD70" s="148"/>
      <c r="AE70" s="148"/>
      <c r="AF70" s="148"/>
      <c r="AG70" s="148"/>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c r="BI70" s="148"/>
      <c r="BJ70" s="148"/>
      <c r="BK70" s="148"/>
      <c r="BL70" s="148"/>
      <c r="BM70" s="148"/>
      <c r="BN70" s="148"/>
      <c r="BO70" s="148"/>
      <c r="BP70" s="148"/>
      <c r="BQ70" s="148"/>
      <c r="BR70" s="148"/>
    </row>
    <row r="71" spans="1:70" ht="43.5" customHeight="1" x14ac:dyDescent="0.3">
      <c r="A71" s="525"/>
      <c r="B71" s="496"/>
      <c r="C71" s="497"/>
      <c r="D71" s="466"/>
      <c r="E71" s="467"/>
      <c r="F71" s="463"/>
      <c r="G71" s="463"/>
      <c r="H71" s="463"/>
      <c r="I71" s="463"/>
      <c r="J71" s="463"/>
      <c r="K71" s="463"/>
      <c r="L71" s="463"/>
      <c r="M71" s="463"/>
      <c r="N71" s="148"/>
      <c r="O71" s="148"/>
      <c r="P71" s="148"/>
      <c r="Q71" s="148"/>
      <c r="R71" s="148"/>
      <c r="S71" s="148"/>
      <c r="T71" s="148"/>
      <c r="U71" s="148"/>
      <c r="V71" s="148"/>
      <c r="W71" s="148"/>
      <c r="X71" s="148"/>
      <c r="Y71" s="148"/>
      <c r="Z71" s="148"/>
      <c r="AA71" s="148"/>
      <c r="AB71" s="148"/>
      <c r="AC71" s="148"/>
      <c r="AD71" s="148"/>
      <c r="AE71" s="148"/>
      <c r="AF71" s="148"/>
      <c r="AG71" s="148"/>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c r="BI71" s="148"/>
      <c r="BJ71" s="148"/>
      <c r="BK71" s="148"/>
      <c r="BL71" s="148"/>
      <c r="BM71" s="148"/>
      <c r="BN71" s="148"/>
      <c r="BO71" s="148"/>
      <c r="BP71" s="148"/>
      <c r="BQ71" s="148"/>
      <c r="BR71" s="148"/>
    </row>
    <row r="72" spans="1:70" ht="33.75" x14ac:dyDescent="0.5">
      <c r="A72" s="148"/>
      <c r="B72" s="157"/>
      <c r="C72" s="157"/>
      <c r="D72" s="157"/>
      <c r="E72" s="157"/>
      <c r="F72" s="157"/>
      <c r="G72" s="157"/>
      <c r="H72" s="157"/>
      <c r="I72" s="157"/>
      <c r="J72" s="157"/>
      <c r="K72" s="157"/>
      <c r="L72" s="157"/>
      <c r="M72" s="157"/>
      <c r="N72" s="148"/>
      <c r="O72" s="148"/>
      <c r="P72" s="148"/>
      <c r="Q72" s="148"/>
      <c r="R72" s="148"/>
      <c r="S72" s="148"/>
      <c r="T72" s="148"/>
      <c r="U72" s="148"/>
      <c r="V72" s="148"/>
      <c r="W72" s="148"/>
      <c r="X72" s="148"/>
      <c r="Y72" s="148"/>
      <c r="Z72" s="148"/>
      <c r="AA72" s="148"/>
      <c r="AB72" s="148"/>
      <c r="AC72" s="148"/>
      <c r="AD72" s="148"/>
      <c r="AE72" s="148"/>
      <c r="AF72" s="148"/>
      <c r="AG72" s="148"/>
      <c r="AH72" s="148"/>
      <c r="AI72" s="148"/>
      <c r="AJ72" s="148"/>
      <c r="AK72" s="148"/>
      <c r="AL72" s="148"/>
      <c r="AM72" s="148"/>
      <c r="AN72" s="148"/>
      <c r="AO72" s="148"/>
      <c r="AP72" s="148"/>
      <c r="AQ72" s="148"/>
      <c r="AR72" s="148"/>
      <c r="AS72" s="148"/>
      <c r="AT72" s="148"/>
      <c r="AU72" s="148"/>
      <c r="AV72" s="148"/>
      <c r="AW72" s="148"/>
      <c r="AX72" s="148"/>
      <c r="AY72" s="148"/>
      <c r="AZ72" s="148"/>
      <c r="BA72" s="148"/>
      <c r="BB72" s="148"/>
      <c r="BC72" s="148"/>
      <c r="BD72" s="148"/>
      <c r="BE72" s="148"/>
      <c r="BF72" s="148"/>
      <c r="BG72" s="148"/>
      <c r="BH72" s="148"/>
      <c r="BI72" s="148"/>
      <c r="BJ72" s="148"/>
      <c r="BK72" s="148"/>
      <c r="BL72" s="148"/>
      <c r="BM72" s="148"/>
      <c r="BN72" s="148"/>
      <c r="BO72" s="148"/>
      <c r="BP72" s="148"/>
      <c r="BQ72" s="148"/>
      <c r="BR72" s="148"/>
    </row>
    <row r="73" spans="1:70" x14ac:dyDescent="0.3">
      <c r="A73" s="148"/>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c r="AB73" s="148"/>
      <c r="AC73" s="148"/>
      <c r="AD73" s="148"/>
      <c r="AE73" s="148"/>
      <c r="AF73" s="148"/>
      <c r="AG73" s="148"/>
      <c r="AH73" s="148"/>
      <c r="AI73" s="148"/>
      <c r="AJ73" s="148"/>
      <c r="AK73" s="148"/>
      <c r="AL73" s="148"/>
      <c r="AM73" s="148"/>
      <c r="AN73" s="148"/>
      <c r="AO73" s="148"/>
      <c r="AP73" s="148"/>
      <c r="AQ73" s="148"/>
      <c r="AR73" s="148"/>
      <c r="AS73" s="148"/>
      <c r="AT73" s="148"/>
      <c r="AU73" s="148"/>
      <c r="AV73" s="148"/>
      <c r="AW73" s="148"/>
      <c r="AX73" s="148"/>
      <c r="AY73" s="148"/>
      <c r="AZ73" s="148"/>
      <c r="BA73" s="148"/>
      <c r="BB73" s="148"/>
      <c r="BC73" s="148"/>
      <c r="BD73" s="148"/>
      <c r="BE73" s="148"/>
      <c r="BF73" s="148"/>
      <c r="BG73" s="148"/>
      <c r="BH73" s="148"/>
      <c r="BI73" s="148"/>
      <c r="BJ73" s="148"/>
      <c r="BK73" s="148"/>
      <c r="BL73" s="148"/>
      <c r="BM73" s="148"/>
      <c r="BN73" s="148"/>
      <c r="BO73" s="148"/>
      <c r="BP73" s="148"/>
      <c r="BQ73" s="148"/>
      <c r="BR73" s="148"/>
    </row>
    <row r="74" spans="1:70" x14ac:dyDescent="0.3">
      <c r="A74" s="148"/>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c r="AB74" s="148"/>
      <c r="AC74" s="148"/>
      <c r="AD74" s="148"/>
      <c r="AE74" s="148"/>
      <c r="AF74" s="148"/>
      <c r="AG74" s="148"/>
      <c r="AH74" s="148"/>
      <c r="AI74" s="148"/>
      <c r="AJ74" s="148"/>
      <c r="AK74" s="148"/>
      <c r="AL74" s="148"/>
      <c r="AM74" s="148"/>
      <c r="AN74" s="148"/>
      <c r="AO74" s="148"/>
      <c r="AP74" s="148"/>
      <c r="AQ74" s="148"/>
      <c r="AR74" s="148"/>
      <c r="AS74" s="148"/>
      <c r="AT74" s="148"/>
      <c r="AU74" s="148"/>
      <c r="AV74" s="148"/>
      <c r="AW74" s="148"/>
      <c r="AX74" s="148"/>
      <c r="AY74" s="148"/>
      <c r="AZ74" s="148"/>
      <c r="BA74" s="148"/>
      <c r="BB74" s="148"/>
      <c r="BC74" s="148"/>
      <c r="BD74" s="148"/>
      <c r="BE74" s="148"/>
      <c r="BF74" s="148"/>
      <c r="BG74" s="148"/>
      <c r="BH74" s="148"/>
      <c r="BI74" s="148"/>
      <c r="BJ74" s="148"/>
      <c r="BK74" s="148"/>
      <c r="BL74" s="148"/>
      <c r="BM74" s="148"/>
      <c r="BN74" s="148"/>
      <c r="BO74" s="148"/>
      <c r="BP74" s="148"/>
      <c r="BQ74" s="148"/>
      <c r="BR74" s="148"/>
    </row>
    <row r="75" spans="1:70" x14ac:dyDescent="0.3">
      <c r="A75" s="148"/>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c r="AB75" s="148"/>
      <c r="AC75" s="148"/>
      <c r="AD75" s="148"/>
      <c r="AE75" s="148"/>
      <c r="AF75" s="148"/>
      <c r="AG75" s="148"/>
      <c r="AH75" s="148"/>
      <c r="AI75" s="148"/>
      <c r="AJ75" s="148"/>
      <c r="AK75" s="148"/>
      <c r="AL75" s="148"/>
      <c r="AM75" s="148"/>
      <c r="AN75" s="148"/>
      <c r="AO75" s="148"/>
      <c r="AP75" s="148"/>
      <c r="AQ75" s="148"/>
      <c r="AR75" s="148"/>
      <c r="AS75" s="148"/>
      <c r="AT75" s="148"/>
      <c r="AU75" s="148"/>
      <c r="AV75" s="148"/>
      <c r="AW75" s="148"/>
      <c r="AX75" s="148"/>
      <c r="AY75" s="148"/>
      <c r="AZ75" s="148"/>
      <c r="BA75" s="148"/>
      <c r="BB75" s="148"/>
      <c r="BC75" s="148"/>
      <c r="BD75" s="148"/>
      <c r="BE75" s="148"/>
      <c r="BF75" s="148"/>
      <c r="BG75" s="148"/>
      <c r="BH75" s="148"/>
      <c r="BI75" s="148"/>
      <c r="BJ75" s="148"/>
      <c r="BK75" s="148"/>
      <c r="BL75" s="148"/>
      <c r="BM75" s="148"/>
      <c r="BN75" s="148"/>
      <c r="BO75" s="148"/>
      <c r="BP75" s="148"/>
      <c r="BQ75" s="148"/>
      <c r="BR75" s="148"/>
    </row>
    <row r="76" spans="1:70" x14ac:dyDescent="0.3">
      <c r="A76" s="148"/>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c r="AB76" s="148"/>
      <c r="AC76" s="148"/>
      <c r="AD76" s="148"/>
      <c r="AE76" s="148"/>
      <c r="AF76" s="148"/>
      <c r="AG76" s="148"/>
      <c r="AH76" s="148"/>
      <c r="AI76" s="148"/>
      <c r="AJ76" s="148"/>
      <c r="AK76" s="148"/>
      <c r="AL76" s="148"/>
      <c r="AM76" s="148"/>
      <c r="AN76" s="148"/>
      <c r="AO76" s="148"/>
      <c r="AP76" s="148"/>
      <c r="AQ76" s="148"/>
      <c r="AR76" s="148"/>
      <c r="AS76" s="148"/>
      <c r="AT76" s="148"/>
      <c r="AU76" s="148"/>
      <c r="AV76" s="148"/>
      <c r="AW76" s="148"/>
      <c r="AX76" s="148"/>
      <c r="AY76" s="148"/>
      <c r="AZ76" s="148"/>
      <c r="BA76" s="148"/>
      <c r="BB76" s="148"/>
      <c r="BC76" s="148"/>
      <c r="BD76" s="148"/>
      <c r="BE76" s="148"/>
      <c r="BF76" s="148"/>
      <c r="BG76" s="148"/>
      <c r="BH76" s="148"/>
      <c r="BI76" s="148"/>
      <c r="BJ76" s="148"/>
      <c r="BK76" s="148"/>
      <c r="BL76" s="148"/>
      <c r="BM76" s="148"/>
      <c r="BN76" s="148"/>
      <c r="BO76" s="148"/>
      <c r="BP76" s="148"/>
      <c r="BQ76" s="148"/>
      <c r="BR76" s="148"/>
    </row>
    <row r="77" spans="1:70" x14ac:dyDescent="0.3">
      <c r="A77" s="148"/>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c r="AB77" s="148"/>
      <c r="AC77" s="148"/>
      <c r="AD77" s="148"/>
      <c r="AE77" s="148"/>
      <c r="AF77" s="148"/>
      <c r="AG77" s="148"/>
      <c r="AH77" s="148"/>
      <c r="AI77" s="148"/>
      <c r="AJ77" s="148"/>
      <c r="AK77" s="148"/>
      <c r="AL77" s="148"/>
      <c r="AM77" s="148"/>
      <c r="AN77" s="148"/>
      <c r="AO77" s="148"/>
      <c r="AP77" s="148"/>
      <c r="AQ77" s="148"/>
      <c r="AR77" s="148"/>
      <c r="AS77" s="148"/>
      <c r="AT77" s="148"/>
      <c r="AU77" s="148"/>
      <c r="AV77" s="148"/>
      <c r="AW77" s="148"/>
      <c r="AX77" s="148"/>
      <c r="AY77" s="148"/>
      <c r="AZ77" s="148"/>
      <c r="BA77" s="148"/>
      <c r="BB77" s="148"/>
      <c r="BC77" s="148"/>
      <c r="BD77" s="148"/>
      <c r="BE77" s="148"/>
      <c r="BF77" s="148"/>
      <c r="BG77" s="148"/>
      <c r="BH77" s="148"/>
      <c r="BI77" s="148"/>
      <c r="BJ77" s="148"/>
      <c r="BK77" s="148"/>
      <c r="BL77" s="148"/>
      <c r="BM77" s="148"/>
      <c r="BN77" s="148"/>
      <c r="BO77" s="148"/>
      <c r="BP77" s="148"/>
      <c r="BQ77" s="148"/>
      <c r="BR77" s="148"/>
    </row>
    <row r="78" spans="1:70" x14ac:dyDescent="0.3">
      <c r="A78" s="148"/>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c r="AB78" s="148"/>
      <c r="AC78" s="148"/>
      <c r="AD78" s="148"/>
      <c r="AE78" s="148"/>
      <c r="AF78" s="148"/>
      <c r="AG78" s="148"/>
      <c r="AH78" s="148"/>
      <c r="AI78" s="148"/>
      <c r="AJ78" s="148"/>
      <c r="AK78" s="148"/>
      <c r="AL78" s="148"/>
      <c r="AM78" s="148"/>
      <c r="AN78" s="148"/>
      <c r="AO78" s="148"/>
      <c r="AP78" s="148"/>
      <c r="AQ78" s="148"/>
      <c r="AR78" s="148"/>
      <c r="AS78" s="148"/>
      <c r="AT78" s="148"/>
      <c r="AU78" s="148"/>
      <c r="AV78" s="148"/>
      <c r="AW78" s="148"/>
      <c r="AX78" s="148"/>
      <c r="AY78" s="148"/>
      <c r="AZ78" s="148"/>
      <c r="BA78" s="148"/>
      <c r="BB78" s="148"/>
      <c r="BC78" s="148"/>
      <c r="BD78" s="148"/>
      <c r="BE78" s="148"/>
      <c r="BF78" s="148"/>
      <c r="BG78" s="148"/>
      <c r="BH78" s="148"/>
      <c r="BI78" s="148"/>
      <c r="BJ78" s="148"/>
      <c r="BK78" s="148"/>
      <c r="BL78" s="148"/>
      <c r="BM78" s="148"/>
      <c r="BN78" s="148"/>
      <c r="BO78" s="148"/>
      <c r="BP78" s="148"/>
      <c r="BQ78" s="148"/>
      <c r="BR78" s="148"/>
    </row>
    <row r="79" spans="1:70" x14ac:dyDescent="0.3">
      <c r="A79" s="148"/>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c r="AB79" s="148"/>
      <c r="AC79" s="148"/>
      <c r="AD79" s="148"/>
      <c r="AE79" s="148"/>
      <c r="AF79" s="148"/>
      <c r="AG79" s="148"/>
      <c r="AH79" s="148"/>
      <c r="AI79" s="148"/>
      <c r="AJ79" s="148"/>
      <c r="AK79" s="148"/>
      <c r="AL79" s="148"/>
      <c r="AM79" s="148"/>
      <c r="AN79" s="148"/>
      <c r="AO79" s="148"/>
      <c r="AP79" s="148"/>
      <c r="AQ79" s="148"/>
      <c r="AR79" s="148"/>
      <c r="AS79" s="148"/>
      <c r="AT79" s="148"/>
      <c r="AU79" s="148"/>
      <c r="AV79" s="148"/>
      <c r="AW79" s="148"/>
      <c r="AX79" s="148"/>
      <c r="AY79" s="148"/>
      <c r="AZ79" s="148"/>
      <c r="BA79" s="148"/>
      <c r="BB79" s="148"/>
      <c r="BC79" s="148"/>
      <c r="BD79" s="148"/>
      <c r="BE79" s="148"/>
      <c r="BF79" s="148"/>
      <c r="BG79" s="148"/>
      <c r="BH79" s="148"/>
      <c r="BI79" s="148"/>
      <c r="BJ79" s="148"/>
      <c r="BK79" s="148"/>
      <c r="BL79" s="148"/>
      <c r="BM79" s="148"/>
      <c r="BN79" s="148"/>
      <c r="BO79" s="148"/>
      <c r="BP79" s="148"/>
      <c r="BQ79" s="148"/>
      <c r="BR79" s="148"/>
    </row>
    <row r="80" spans="1:70" x14ac:dyDescent="0.3">
      <c r="A80" s="148"/>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c r="AB80" s="148"/>
      <c r="AC80" s="148"/>
    </row>
    <row r="81" spans="1:29" x14ac:dyDescent="0.3">
      <c r="A81" s="148"/>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c r="AB81" s="148"/>
      <c r="AC81" s="148"/>
    </row>
    <row r="82" spans="1:29" x14ac:dyDescent="0.3">
      <c r="A82" s="148"/>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c r="AB82" s="148"/>
      <c r="AC82" s="148"/>
    </row>
    <row r="83" spans="1:29" x14ac:dyDescent="0.3">
      <c r="A83" s="148"/>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c r="AB83" s="148"/>
      <c r="AC83" s="148"/>
    </row>
    <row r="84" spans="1:29" x14ac:dyDescent="0.3">
      <c r="A84" s="148"/>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c r="AB84" s="148"/>
      <c r="AC84" s="148"/>
    </row>
    <row r="85" spans="1:29" x14ac:dyDescent="0.3">
      <c r="A85" s="148"/>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c r="AB85" s="148"/>
      <c r="AC85" s="148"/>
    </row>
    <row r="86" spans="1:29" x14ac:dyDescent="0.3">
      <c r="A86" s="148"/>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c r="AB86" s="148"/>
      <c r="AC86" s="148"/>
    </row>
    <row r="87" spans="1:29" x14ac:dyDescent="0.3">
      <c r="A87" s="148"/>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c r="AB87" s="148"/>
      <c r="AC87" s="148"/>
    </row>
    <row r="88" spans="1:29" x14ac:dyDescent="0.3">
      <c r="A88" s="150"/>
      <c r="B88" s="150"/>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c r="AB88" s="148"/>
      <c r="AC88" s="148"/>
    </row>
    <row r="89" spans="1:29" x14ac:dyDescent="0.3">
      <c r="A89" s="150"/>
      <c r="B89" s="150"/>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c r="AB89" s="148"/>
      <c r="AC89" s="148"/>
    </row>
    <row r="90" spans="1:29" x14ac:dyDescent="0.3">
      <c r="A90" s="150"/>
      <c r="B90" s="150"/>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c r="AB90" s="148"/>
      <c r="AC90" s="148"/>
    </row>
    <row r="91" spans="1:29" x14ac:dyDescent="0.3">
      <c r="A91" s="148"/>
      <c r="B91" s="148"/>
      <c r="C91" s="148"/>
      <c r="D91" s="148"/>
      <c r="E91" s="148"/>
      <c r="F91" s="148"/>
      <c r="G91" s="148"/>
      <c r="H91" s="148"/>
      <c r="I91" s="148"/>
      <c r="J91" s="148"/>
      <c r="K91" s="148"/>
      <c r="L91" s="148"/>
      <c r="M91" s="148"/>
    </row>
  </sheetData>
  <sheetProtection algorithmName="SHA-512" hashValue="EgiMjHiaP0BQiOVWl69icRb0arvWuvMt6Ht12N3zSZkpORIs9Q3ZDG/xLMKLz7wEdfC/dFJA5aWxfFggr/NeJQ==" saltValue="pwoQO/+XEV+ThwJkYs0FwQ==" spinCount="100000" sheet="1" objects="1" scenarios="1"/>
  <mergeCells count="255">
    <mergeCell ref="M36:M38"/>
    <mergeCell ref="K27:K29"/>
    <mergeCell ref="L27:L29"/>
    <mergeCell ref="M27:M29"/>
    <mergeCell ref="K12:K14"/>
    <mergeCell ref="L12:L14"/>
    <mergeCell ref="K15:K17"/>
    <mergeCell ref="L15:L17"/>
    <mergeCell ref="M15:M17"/>
    <mergeCell ref="K18:K20"/>
    <mergeCell ref="L18:L20"/>
    <mergeCell ref="M18:M20"/>
    <mergeCell ref="M30:M32"/>
    <mergeCell ref="B39:B41"/>
    <mergeCell ref="C39:C41"/>
    <mergeCell ref="E39:E41"/>
    <mergeCell ref="F39:F41"/>
    <mergeCell ref="K33:K35"/>
    <mergeCell ref="L33:L35"/>
    <mergeCell ref="M33:M35"/>
    <mergeCell ref="B36:B38"/>
    <mergeCell ref="C36:C38"/>
    <mergeCell ref="E36:E38"/>
    <mergeCell ref="F36:F38"/>
    <mergeCell ref="G36:G38"/>
    <mergeCell ref="H36:H38"/>
    <mergeCell ref="M39:M41"/>
    <mergeCell ref="G39:G41"/>
    <mergeCell ref="H39:H41"/>
    <mergeCell ref="I39:I41"/>
    <mergeCell ref="J39:J41"/>
    <mergeCell ref="K39:K41"/>
    <mergeCell ref="L39:L41"/>
    <mergeCell ref="I36:I38"/>
    <mergeCell ref="J36:J38"/>
    <mergeCell ref="K36:K38"/>
    <mergeCell ref="L36:L38"/>
    <mergeCell ref="B33:B35"/>
    <mergeCell ref="C33:C35"/>
    <mergeCell ref="E33:E35"/>
    <mergeCell ref="F33:F35"/>
    <mergeCell ref="G33:G35"/>
    <mergeCell ref="H33:H35"/>
    <mergeCell ref="I33:I35"/>
    <mergeCell ref="J33:J35"/>
    <mergeCell ref="D33:D35"/>
    <mergeCell ref="B27:B29"/>
    <mergeCell ref="C27:C29"/>
    <mergeCell ref="E27:E29"/>
    <mergeCell ref="F27:F29"/>
    <mergeCell ref="G27:G29"/>
    <mergeCell ref="H27:H29"/>
    <mergeCell ref="I27:I29"/>
    <mergeCell ref="J27:J29"/>
    <mergeCell ref="B30:B32"/>
    <mergeCell ref="C30:C32"/>
    <mergeCell ref="E30:E32"/>
    <mergeCell ref="F30:F32"/>
    <mergeCell ref="D27:D29"/>
    <mergeCell ref="D30:D32"/>
    <mergeCell ref="G30:G32"/>
    <mergeCell ref="H30:H32"/>
    <mergeCell ref="I30:I32"/>
    <mergeCell ref="J30:J32"/>
    <mergeCell ref="B21:B23"/>
    <mergeCell ref="C21:C23"/>
    <mergeCell ref="E21:E23"/>
    <mergeCell ref="F21:F23"/>
    <mergeCell ref="M21:M23"/>
    <mergeCell ref="B24:B26"/>
    <mergeCell ref="C24:C26"/>
    <mergeCell ref="E24:E26"/>
    <mergeCell ref="F24:F26"/>
    <mergeCell ref="G24:G26"/>
    <mergeCell ref="H24:H26"/>
    <mergeCell ref="I24:I26"/>
    <mergeCell ref="J24:J26"/>
    <mergeCell ref="G21:G23"/>
    <mergeCell ref="H21:H23"/>
    <mergeCell ref="I21:I23"/>
    <mergeCell ref="J21:J23"/>
    <mergeCell ref="K21:K23"/>
    <mergeCell ref="L21:L23"/>
    <mergeCell ref="K24:K26"/>
    <mergeCell ref="L24:L26"/>
    <mergeCell ref="M24:M26"/>
    <mergeCell ref="D24:D26"/>
    <mergeCell ref="B15:B17"/>
    <mergeCell ref="C15:C17"/>
    <mergeCell ref="E15:E17"/>
    <mergeCell ref="F15:F17"/>
    <mergeCell ref="G15:G17"/>
    <mergeCell ref="H15:H17"/>
    <mergeCell ref="I15:I17"/>
    <mergeCell ref="B18:B20"/>
    <mergeCell ref="C18:C20"/>
    <mergeCell ref="E18:E20"/>
    <mergeCell ref="F18:F20"/>
    <mergeCell ref="G18:G20"/>
    <mergeCell ref="H18:H20"/>
    <mergeCell ref="I18:I20"/>
    <mergeCell ref="A2:C2"/>
    <mergeCell ref="M2:M3"/>
    <mergeCell ref="A3:C6"/>
    <mergeCell ref="B12:B14"/>
    <mergeCell ref="C12:C14"/>
    <mergeCell ref="E12:E14"/>
    <mergeCell ref="F12:F14"/>
    <mergeCell ref="A7:M7"/>
    <mergeCell ref="A9:M9"/>
    <mergeCell ref="A10:A11"/>
    <mergeCell ref="B10:C10"/>
    <mergeCell ref="E10:E11"/>
    <mergeCell ref="F10:M10"/>
    <mergeCell ref="M12:M14"/>
    <mergeCell ref="A12:A71"/>
    <mergeCell ref="F66:F68"/>
    <mergeCell ref="G66:G68"/>
    <mergeCell ref="H66:H68"/>
    <mergeCell ref="I66:I68"/>
    <mergeCell ref="J66:J68"/>
    <mergeCell ref="K66:K68"/>
    <mergeCell ref="L66:L68"/>
    <mergeCell ref="M66:M68"/>
    <mergeCell ref="F69:F71"/>
    <mergeCell ref="D36:D38"/>
    <mergeCell ref="D39:D41"/>
    <mergeCell ref="D10:D11"/>
    <mergeCell ref="D2:L2"/>
    <mergeCell ref="D3:L4"/>
    <mergeCell ref="D5:L5"/>
    <mergeCell ref="D6:L6"/>
    <mergeCell ref="D12:D14"/>
    <mergeCell ref="D15:D17"/>
    <mergeCell ref="D18:D20"/>
    <mergeCell ref="D21:D23"/>
    <mergeCell ref="J15:J17"/>
    <mergeCell ref="G12:G14"/>
    <mergeCell ref="H12:H14"/>
    <mergeCell ref="I12:I14"/>
    <mergeCell ref="J12:J14"/>
    <mergeCell ref="J18:J20"/>
    <mergeCell ref="K30:K32"/>
    <mergeCell ref="L30:L32"/>
    <mergeCell ref="B42:B44"/>
    <mergeCell ref="C42:C44"/>
    <mergeCell ref="D42:D44"/>
    <mergeCell ref="E42:E44"/>
    <mergeCell ref="B45:B47"/>
    <mergeCell ref="C45:C47"/>
    <mergeCell ref="D45:D47"/>
    <mergeCell ref="E45:E47"/>
    <mergeCell ref="B48:B50"/>
    <mergeCell ref="C48:C50"/>
    <mergeCell ref="D48:D50"/>
    <mergeCell ref="E48:E50"/>
    <mergeCell ref="B51:B53"/>
    <mergeCell ref="C51:C53"/>
    <mergeCell ref="D51:D53"/>
    <mergeCell ref="E51:E53"/>
    <mergeCell ref="B54:B56"/>
    <mergeCell ref="C54:C56"/>
    <mergeCell ref="D54:D56"/>
    <mergeCell ref="E54:E56"/>
    <mergeCell ref="B57:B59"/>
    <mergeCell ref="C57:C59"/>
    <mergeCell ref="D57:D59"/>
    <mergeCell ref="E57:E59"/>
    <mergeCell ref="B60:B62"/>
    <mergeCell ref="C60:C62"/>
    <mergeCell ref="D60:D62"/>
    <mergeCell ref="E60:E62"/>
    <mergeCell ref="B63:B65"/>
    <mergeCell ref="C63:C65"/>
    <mergeCell ref="D63:D65"/>
    <mergeCell ref="E63:E65"/>
    <mergeCell ref="B66:B68"/>
    <mergeCell ref="C66:C68"/>
    <mergeCell ref="D66:D68"/>
    <mergeCell ref="E66:E68"/>
    <mergeCell ref="B69:B71"/>
    <mergeCell ref="C69:C71"/>
    <mergeCell ref="D69:D71"/>
    <mergeCell ref="E69:E71"/>
    <mergeCell ref="F42:F44"/>
    <mergeCell ref="G42:G44"/>
    <mergeCell ref="H42:H44"/>
    <mergeCell ref="I42:I44"/>
    <mergeCell ref="J42:J44"/>
    <mergeCell ref="F48:F50"/>
    <mergeCell ref="G48:G50"/>
    <mergeCell ref="H48:H50"/>
    <mergeCell ref="I48:I50"/>
    <mergeCell ref="J48:J50"/>
    <mergeCell ref="F54:F56"/>
    <mergeCell ref="G54:G56"/>
    <mergeCell ref="H54:H56"/>
    <mergeCell ref="I54:I56"/>
    <mergeCell ref="J54:J56"/>
    <mergeCell ref="F60:F62"/>
    <mergeCell ref="G60:G62"/>
    <mergeCell ref="H60:H62"/>
    <mergeCell ref="I60:I62"/>
    <mergeCell ref="J60:J62"/>
    <mergeCell ref="K42:K44"/>
    <mergeCell ref="L42:L44"/>
    <mergeCell ref="M42:M44"/>
    <mergeCell ref="F45:F47"/>
    <mergeCell ref="G45:G47"/>
    <mergeCell ref="H45:H47"/>
    <mergeCell ref="I45:I47"/>
    <mergeCell ref="J45:J47"/>
    <mergeCell ref="K45:K47"/>
    <mergeCell ref="L45:L47"/>
    <mergeCell ref="M45:M47"/>
    <mergeCell ref="F63:F65"/>
    <mergeCell ref="K48:K50"/>
    <mergeCell ref="L48:L50"/>
    <mergeCell ref="M48:M50"/>
    <mergeCell ref="F51:F53"/>
    <mergeCell ref="G51:G53"/>
    <mergeCell ref="H51:H53"/>
    <mergeCell ref="I51:I53"/>
    <mergeCell ref="J51:J53"/>
    <mergeCell ref="K51:K53"/>
    <mergeCell ref="L51:L53"/>
    <mergeCell ref="M51:M53"/>
    <mergeCell ref="K54:K56"/>
    <mergeCell ref="L54:L56"/>
    <mergeCell ref="M54:M56"/>
    <mergeCell ref="F57:F59"/>
    <mergeCell ref="G57:G59"/>
    <mergeCell ref="H57:H59"/>
    <mergeCell ref="I57:I59"/>
    <mergeCell ref="J57:J59"/>
    <mergeCell ref="K57:K59"/>
    <mergeCell ref="L57:L59"/>
    <mergeCell ref="M57:M59"/>
    <mergeCell ref="G69:G71"/>
    <mergeCell ref="H69:H71"/>
    <mergeCell ref="I69:I71"/>
    <mergeCell ref="J69:J71"/>
    <mergeCell ref="K69:K71"/>
    <mergeCell ref="L69:L71"/>
    <mergeCell ref="M69:M71"/>
    <mergeCell ref="K60:K62"/>
    <mergeCell ref="L60:L62"/>
    <mergeCell ref="M60:M62"/>
    <mergeCell ref="G63:G65"/>
    <mergeCell ref="H63:H65"/>
    <mergeCell ref="I63:I65"/>
    <mergeCell ref="J63:J65"/>
    <mergeCell ref="K63:K65"/>
    <mergeCell ref="L63:L65"/>
    <mergeCell ref="M63:M65"/>
  </mergeCells>
  <conditionalFormatting sqref="F12:M71">
    <cfRule type="containsText" dxfId="6" priority="1" operator="containsText" text="No">
      <formula>NOT(ISERROR(SEARCH("No",F12)))</formula>
    </cfRule>
  </conditionalFormatting>
  <pageMargins left="0.7" right="0.7" top="0.75" bottom="0.75" header="0.3" footer="0.3"/>
  <pageSetup paperSize="142"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Tratamiento'!$D$27:$D$29</xm:f>
          </x14:formula1>
          <xm:sqref>E12:E71</xm:sqref>
        </x14:dataValidation>
        <x14:dataValidation type="list" allowBlank="1" showInputMessage="1" showErrorMessage="1">
          <x14:formula1>
            <xm:f>'Opciones Tratamiento'!$D$32:$D$33</xm:f>
          </x14:formula1>
          <xm:sqref>H12:H71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CU140"/>
  <sheetViews>
    <sheetView zoomScale="50" zoomScaleNormal="50" workbookViewId="0">
      <selection activeCell="B6" sqref="B6:D45"/>
    </sheetView>
  </sheetViews>
  <sheetFormatPr baseColWidth="10" defaultColWidth="11.42578125" defaultRowHeight="15" x14ac:dyDescent="0.25"/>
  <cols>
    <col min="2" max="39" width="5.7109375" customWidth="1"/>
    <col min="41" max="46" width="5.7109375" customWidth="1"/>
  </cols>
  <sheetData>
    <row r="1" spans="1:99"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c r="CN1" s="69"/>
      <c r="CO1" s="69"/>
      <c r="CP1" s="69"/>
      <c r="CQ1" s="69"/>
      <c r="CR1" s="69"/>
      <c r="CS1" s="69"/>
      <c r="CT1" s="69"/>
      <c r="CU1" s="69"/>
    </row>
    <row r="2" spans="1:99" ht="18" customHeight="1" x14ac:dyDescent="0.25">
      <c r="A2" s="69"/>
      <c r="B2" s="611" t="s">
        <v>127</v>
      </c>
      <c r="C2" s="611"/>
      <c r="D2" s="611"/>
      <c r="E2" s="611"/>
      <c r="F2" s="611"/>
      <c r="G2" s="611"/>
      <c r="H2" s="611"/>
      <c r="I2" s="611"/>
      <c r="J2" s="585" t="s">
        <v>15</v>
      </c>
      <c r="K2" s="585"/>
      <c r="L2" s="585"/>
      <c r="M2" s="585"/>
      <c r="N2" s="585"/>
      <c r="O2" s="585"/>
      <c r="P2" s="585"/>
      <c r="Q2" s="585"/>
      <c r="R2" s="585"/>
      <c r="S2" s="585"/>
      <c r="T2" s="585"/>
      <c r="U2" s="585"/>
      <c r="V2" s="585"/>
      <c r="W2" s="585"/>
      <c r="X2" s="585"/>
      <c r="Y2" s="585"/>
      <c r="Z2" s="585"/>
      <c r="AA2" s="585"/>
      <c r="AB2" s="585"/>
      <c r="AC2" s="585"/>
      <c r="AD2" s="585"/>
      <c r="AE2" s="585"/>
      <c r="AF2" s="585"/>
      <c r="AG2" s="585"/>
      <c r="AH2" s="585"/>
      <c r="AI2" s="585"/>
      <c r="AJ2" s="585"/>
      <c r="AK2" s="585"/>
      <c r="AL2" s="585"/>
      <c r="AM2" s="585"/>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c r="CN2" s="69"/>
      <c r="CO2" s="69"/>
      <c r="CP2" s="69"/>
      <c r="CQ2" s="69"/>
      <c r="CR2" s="69"/>
      <c r="CS2" s="69"/>
      <c r="CT2" s="69"/>
      <c r="CU2" s="69"/>
    </row>
    <row r="3" spans="1:99" ht="18.75" customHeight="1" x14ac:dyDescent="0.25">
      <c r="A3" s="69"/>
      <c r="B3" s="611"/>
      <c r="C3" s="611"/>
      <c r="D3" s="611"/>
      <c r="E3" s="611"/>
      <c r="F3" s="611"/>
      <c r="G3" s="611"/>
      <c r="H3" s="611"/>
      <c r="I3" s="611"/>
      <c r="J3" s="585"/>
      <c r="K3" s="585"/>
      <c r="L3" s="585"/>
      <c r="M3" s="585"/>
      <c r="N3" s="585"/>
      <c r="O3" s="585"/>
      <c r="P3" s="585"/>
      <c r="Q3" s="585"/>
      <c r="R3" s="585"/>
      <c r="S3" s="585"/>
      <c r="T3" s="585"/>
      <c r="U3" s="585"/>
      <c r="V3" s="585"/>
      <c r="W3" s="585"/>
      <c r="X3" s="585"/>
      <c r="Y3" s="585"/>
      <c r="Z3" s="585"/>
      <c r="AA3" s="585"/>
      <c r="AB3" s="585"/>
      <c r="AC3" s="585"/>
      <c r="AD3" s="585"/>
      <c r="AE3" s="585"/>
      <c r="AF3" s="585"/>
      <c r="AG3" s="585"/>
      <c r="AH3" s="585"/>
      <c r="AI3" s="585"/>
      <c r="AJ3" s="585"/>
      <c r="AK3" s="585"/>
      <c r="AL3" s="585"/>
      <c r="AM3" s="585"/>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c r="CN3" s="69"/>
      <c r="CO3" s="69"/>
      <c r="CP3" s="69"/>
      <c r="CQ3" s="69"/>
      <c r="CR3" s="69"/>
      <c r="CS3" s="69"/>
      <c r="CT3" s="69"/>
      <c r="CU3" s="69"/>
    </row>
    <row r="4" spans="1:99" ht="15" customHeight="1" x14ac:dyDescent="0.25">
      <c r="A4" s="69"/>
      <c r="B4" s="611"/>
      <c r="C4" s="611"/>
      <c r="D4" s="611"/>
      <c r="E4" s="611"/>
      <c r="F4" s="611"/>
      <c r="G4" s="611"/>
      <c r="H4" s="611"/>
      <c r="I4" s="611"/>
      <c r="J4" s="585"/>
      <c r="K4" s="585"/>
      <c r="L4" s="585"/>
      <c r="M4" s="585"/>
      <c r="N4" s="585"/>
      <c r="O4" s="585"/>
      <c r="P4" s="585"/>
      <c r="Q4" s="585"/>
      <c r="R4" s="585"/>
      <c r="S4" s="585"/>
      <c r="T4" s="585"/>
      <c r="U4" s="585"/>
      <c r="V4" s="585"/>
      <c r="W4" s="585"/>
      <c r="X4" s="585"/>
      <c r="Y4" s="585"/>
      <c r="Z4" s="585"/>
      <c r="AA4" s="585"/>
      <c r="AB4" s="585"/>
      <c r="AC4" s="585"/>
      <c r="AD4" s="585"/>
      <c r="AE4" s="585"/>
      <c r="AF4" s="585"/>
      <c r="AG4" s="585"/>
      <c r="AH4" s="585"/>
      <c r="AI4" s="585"/>
      <c r="AJ4" s="585"/>
      <c r="AK4" s="585"/>
      <c r="AL4" s="585"/>
      <c r="AM4" s="585"/>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c r="CN4" s="69"/>
      <c r="CO4" s="69"/>
      <c r="CP4" s="69"/>
      <c r="CQ4" s="69"/>
      <c r="CR4" s="69"/>
      <c r="CS4" s="69"/>
      <c r="CT4" s="69"/>
      <c r="CU4" s="69"/>
    </row>
    <row r="5" spans="1:99"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c r="BV5" s="69"/>
      <c r="BW5" s="69"/>
      <c r="BX5" s="69"/>
      <c r="BY5" s="69"/>
      <c r="BZ5" s="69"/>
      <c r="CA5" s="69"/>
      <c r="CB5" s="69"/>
      <c r="CC5" s="69"/>
      <c r="CD5" s="69"/>
      <c r="CE5" s="69"/>
      <c r="CF5" s="69"/>
      <c r="CG5" s="69"/>
      <c r="CH5" s="69"/>
      <c r="CI5" s="69"/>
      <c r="CJ5" s="69"/>
      <c r="CK5" s="69"/>
      <c r="CL5" s="69"/>
      <c r="CM5" s="69"/>
      <c r="CN5" s="69"/>
      <c r="CO5" s="69"/>
      <c r="CP5" s="69"/>
      <c r="CQ5" s="69"/>
      <c r="CR5" s="69"/>
      <c r="CS5" s="69"/>
      <c r="CT5" s="69"/>
      <c r="CU5" s="69"/>
    </row>
    <row r="6" spans="1:99" ht="15" customHeight="1" x14ac:dyDescent="0.25">
      <c r="A6" s="69"/>
      <c r="B6" s="537" t="s">
        <v>128</v>
      </c>
      <c r="C6" s="537"/>
      <c r="D6" s="538"/>
      <c r="E6" s="526" t="s">
        <v>129</v>
      </c>
      <c r="F6" s="527"/>
      <c r="G6" s="527"/>
      <c r="H6" s="527"/>
      <c r="I6" s="528"/>
      <c r="J6" s="581" t="str">
        <f ca="1">IF(AND('Mapa final'!$P$13="Muy Alta",'Mapa final'!$T$13="Leve"),CONCATENATE("R",'Mapa final'!$A$13),"")</f>
        <v/>
      </c>
      <c r="K6" s="582"/>
      <c r="L6" s="582" t="str">
        <f ca="1">IF(AND('Mapa final'!$P$15="Muy Alta",'Mapa final'!$T$15="Leve"),CONCATENATE("R",'Mapa final'!$A$15),"")</f>
        <v/>
      </c>
      <c r="M6" s="582"/>
      <c r="N6" s="582" t="str">
        <f ca="1">IF(AND('Mapa final'!$P$17="Muy Alta",'Mapa final'!$T$17="Leve"),CONCATENATE("R",'Mapa final'!$A$17),"")</f>
        <v/>
      </c>
      <c r="O6" s="584"/>
      <c r="P6" s="581" t="str">
        <f ca="1">IF(AND('Mapa final'!$P$13="Muy Alta",'Mapa final'!$T$13="Menor"),CONCATENATE("R",'Mapa final'!$A$13),"")</f>
        <v/>
      </c>
      <c r="Q6" s="582"/>
      <c r="R6" s="582" t="str">
        <f ca="1">IF(AND('Mapa final'!$P$15="Muy Alta",'Mapa final'!$T$15="Menor"),CONCATENATE("R",'Mapa final'!$A$15),"")</f>
        <v/>
      </c>
      <c r="S6" s="582"/>
      <c r="T6" s="582" t="str">
        <f ca="1">IF(AND('Mapa final'!$P$17="Muy Alta",'Mapa final'!$T$17="Menor"),CONCATENATE("R",'Mapa final'!$A$17),"")</f>
        <v/>
      </c>
      <c r="U6" s="584"/>
      <c r="V6" s="581" t="str">
        <f ca="1">IF(AND('Mapa final'!$P$13="Muy Alta",'Mapa final'!$T$13="Moderado"),CONCATENATE("R",'Mapa final'!$A$13),"")</f>
        <v/>
      </c>
      <c r="W6" s="582"/>
      <c r="X6" s="582" t="str">
        <f ca="1">IF(AND('Mapa final'!$P$15="Muy Alta",'Mapa final'!$T$15="Moderado"),CONCATENATE("R",'Mapa final'!$A$15),"")</f>
        <v/>
      </c>
      <c r="Y6" s="582"/>
      <c r="Z6" s="582" t="str">
        <f ca="1">IF(AND('Mapa final'!$P$17="Muy Alta",'Mapa final'!$T$17="Moderado"),CONCATENATE("R",'Mapa final'!$A$17),"")</f>
        <v/>
      </c>
      <c r="AA6" s="584"/>
      <c r="AB6" s="581" t="str">
        <f ca="1">IF(AND('Mapa final'!$P$13="Muy Alta",'Mapa final'!$T$13="Mayor"),CONCATENATE("R",'Mapa final'!$A$13),"")</f>
        <v/>
      </c>
      <c r="AC6" s="582"/>
      <c r="AD6" s="582" t="str">
        <f ca="1">IF(AND('Mapa final'!$P$15="Muy Alta",'Mapa final'!$T$15="Mayor"),CONCATENATE("R",'Mapa final'!$A$15),"")</f>
        <v/>
      </c>
      <c r="AE6" s="582"/>
      <c r="AF6" s="582" t="str">
        <f ca="1">IF(AND('Mapa final'!$P$17="Muy Alta",'Mapa final'!$T$17="Mayor"),CONCATENATE("R",'Mapa final'!$A$17),"")</f>
        <v/>
      </c>
      <c r="AG6" s="584"/>
      <c r="AH6" s="596" t="str">
        <f ca="1">IF(AND('Mapa final'!$P$13="Muy Alta",'Mapa final'!$T$13="Catastrófico"),CONCATENATE("R",'Mapa final'!$A$13),"")</f>
        <v/>
      </c>
      <c r="AI6" s="597"/>
      <c r="AJ6" s="597" t="str">
        <f ca="1">IF(AND('Mapa final'!$P$15="Muy Alta",'Mapa final'!$T$15="Catastrófico"),CONCATENATE("R",'Mapa final'!$A$15),"")</f>
        <v/>
      </c>
      <c r="AK6" s="597"/>
      <c r="AL6" s="597" t="str">
        <f ca="1">IF(AND('Mapa final'!$P$17="Muy Alta",'Mapa final'!$T$17="Catastrófico"),CONCATENATE("R",'Mapa final'!$A$17),"")</f>
        <v/>
      </c>
      <c r="AM6" s="598"/>
      <c r="AO6" s="545" t="s">
        <v>130</v>
      </c>
      <c r="AP6" s="546"/>
      <c r="AQ6" s="546"/>
      <c r="AR6" s="546"/>
      <c r="AS6" s="546"/>
      <c r="AT6" s="547"/>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c r="BY6" s="69"/>
      <c r="BZ6" s="69"/>
      <c r="CA6" s="69"/>
      <c r="CB6" s="69"/>
    </row>
    <row r="7" spans="1:99" ht="15" customHeight="1" x14ac:dyDescent="0.25">
      <c r="A7" s="69"/>
      <c r="B7" s="537"/>
      <c r="C7" s="537"/>
      <c r="D7" s="538"/>
      <c r="E7" s="529"/>
      <c r="F7" s="530"/>
      <c r="G7" s="530"/>
      <c r="H7" s="530"/>
      <c r="I7" s="531"/>
      <c r="J7" s="583"/>
      <c r="K7" s="535"/>
      <c r="L7" s="535"/>
      <c r="M7" s="535"/>
      <c r="N7" s="535"/>
      <c r="O7" s="536"/>
      <c r="P7" s="583"/>
      <c r="Q7" s="535"/>
      <c r="R7" s="535"/>
      <c r="S7" s="535"/>
      <c r="T7" s="535"/>
      <c r="U7" s="536"/>
      <c r="V7" s="583"/>
      <c r="W7" s="535"/>
      <c r="X7" s="535"/>
      <c r="Y7" s="535"/>
      <c r="Z7" s="535"/>
      <c r="AA7" s="536"/>
      <c r="AB7" s="583"/>
      <c r="AC7" s="535"/>
      <c r="AD7" s="535"/>
      <c r="AE7" s="535"/>
      <c r="AF7" s="535"/>
      <c r="AG7" s="536"/>
      <c r="AH7" s="590"/>
      <c r="AI7" s="591"/>
      <c r="AJ7" s="591"/>
      <c r="AK7" s="591"/>
      <c r="AL7" s="591"/>
      <c r="AM7" s="592"/>
      <c r="AN7" s="69"/>
      <c r="AO7" s="548"/>
      <c r="AP7" s="549"/>
      <c r="AQ7" s="549"/>
      <c r="AR7" s="549"/>
      <c r="AS7" s="549"/>
      <c r="AT7" s="550"/>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c r="BY7" s="69"/>
      <c r="BZ7" s="69"/>
      <c r="CA7" s="69"/>
      <c r="CB7" s="69"/>
    </row>
    <row r="8" spans="1:99" ht="15" customHeight="1" x14ac:dyDescent="0.25">
      <c r="A8" s="69"/>
      <c r="B8" s="537"/>
      <c r="C8" s="537"/>
      <c r="D8" s="538"/>
      <c r="E8" s="529"/>
      <c r="F8" s="530"/>
      <c r="G8" s="530"/>
      <c r="H8" s="530"/>
      <c r="I8" s="531"/>
      <c r="J8" s="583" t="str">
        <f ca="1">IF(AND('Mapa final'!$P$20="Muy Alta",'Mapa final'!$T$20="Leve"),CONCATENATE("R",'Mapa final'!$A$20),"")</f>
        <v/>
      </c>
      <c r="K8" s="535"/>
      <c r="L8" s="535" t="str">
        <f ca="1">IF(AND('Mapa final'!$P$22="Muy Alta",'Mapa final'!$T$22="Leve"),CONCATENATE("R",'Mapa final'!$A$22),"")</f>
        <v/>
      </c>
      <c r="M8" s="535"/>
      <c r="N8" s="535" t="str">
        <f ca="1">IF(AND('Mapa final'!$P$25="Muy Alta",'Mapa final'!$T$25="Leve"),CONCATENATE("R",'Mapa final'!$A$25),"")</f>
        <v/>
      </c>
      <c r="O8" s="536"/>
      <c r="P8" s="583" t="str">
        <f ca="1">IF(AND('Mapa final'!$P$20="Muy Alta",'Mapa final'!$T$20="Menor"),CONCATENATE("R",'Mapa final'!$A$20),"")</f>
        <v/>
      </c>
      <c r="Q8" s="535"/>
      <c r="R8" s="535" t="str">
        <f ca="1">IF(AND('Mapa final'!$P$22="Muy Alta",'Mapa final'!$T$22="Menor"),CONCATENATE("R",'Mapa final'!$A$22),"")</f>
        <v/>
      </c>
      <c r="S8" s="535"/>
      <c r="T8" s="535" t="str">
        <f ca="1">IF(AND('Mapa final'!$P$25="Muy Alta",'Mapa final'!$T$25="Menor"),CONCATENATE("R",'Mapa final'!$A$25),"")</f>
        <v/>
      </c>
      <c r="U8" s="536"/>
      <c r="V8" s="583" t="str">
        <f ca="1">IF(AND('Mapa final'!$P$20="Muy Alta",'Mapa final'!$T$20="Moderado"),CONCATENATE("R",'Mapa final'!$A$20),"")</f>
        <v/>
      </c>
      <c r="W8" s="535"/>
      <c r="X8" s="535" t="str">
        <f ca="1">IF(AND('Mapa final'!$P$22="Muy Alta",'Mapa final'!$T$22="Moderado"),CONCATENATE("R",'Mapa final'!$A$22),"")</f>
        <v/>
      </c>
      <c r="Y8" s="535"/>
      <c r="Z8" s="535" t="str">
        <f ca="1">IF(AND('Mapa final'!$P$25="Muy Alta",'Mapa final'!$T$25="Moderado"),CONCATENATE("R",'Mapa final'!$A$25),"")</f>
        <v/>
      </c>
      <c r="AA8" s="536"/>
      <c r="AB8" s="583" t="str">
        <f ca="1">IF(AND('Mapa final'!$P$20="Muy Alta",'Mapa final'!$T$20="Mayor"),CONCATENATE("R",'Mapa final'!$A$20),"")</f>
        <v/>
      </c>
      <c r="AC8" s="535"/>
      <c r="AD8" s="535" t="str">
        <f ca="1">IF(AND('Mapa final'!$P$22="Muy Alta",'Mapa final'!$T$22="Mayor"),CONCATENATE("R",'Mapa final'!$A$22),"")</f>
        <v/>
      </c>
      <c r="AE8" s="535"/>
      <c r="AF8" s="535" t="str">
        <f ca="1">IF(AND('Mapa final'!$P$25="Muy Alta",'Mapa final'!$T$25="Mayor"),CONCATENATE("R",'Mapa final'!$A$25),"")</f>
        <v/>
      </c>
      <c r="AG8" s="536"/>
      <c r="AH8" s="590" t="str">
        <f ca="1">IF(AND('Mapa final'!$P$20="Muy Alta",'Mapa final'!$T$20="Catastrófico"),CONCATENATE("R",'Mapa final'!$A$20),"")</f>
        <v/>
      </c>
      <c r="AI8" s="591"/>
      <c r="AJ8" s="591" t="str">
        <f ca="1">IF(AND('Mapa final'!$P$22="Muy Alta",'Mapa final'!$T$22="Catastrófico"),CONCATENATE("R",'Mapa final'!$A$22),"")</f>
        <v/>
      </c>
      <c r="AK8" s="591"/>
      <c r="AL8" s="591" t="str">
        <f ca="1">IF(AND('Mapa final'!$P$25="Muy Alta",'Mapa final'!$T$25="Catastrófico"),CONCATENATE("R",'Mapa final'!$A$25),"")</f>
        <v/>
      </c>
      <c r="AM8" s="592"/>
      <c r="AN8" s="69"/>
      <c r="AO8" s="548"/>
      <c r="AP8" s="549"/>
      <c r="AQ8" s="549"/>
      <c r="AR8" s="549"/>
      <c r="AS8" s="549"/>
      <c r="AT8" s="550"/>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c r="BY8" s="69"/>
      <c r="BZ8" s="69"/>
      <c r="CA8" s="69"/>
      <c r="CB8" s="69"/>
    </row>
    <row r="9" spans="1:99" ht="15" customHeight="1" x14ac:dyDescent="0.25">
      <c r="A9" s="69"/>
      <c r="B9" s="537"/>
      <c r="C9" s="537"/>
      <c r="D9" s="538"/>
      <c r="E9" s="529"/>
      <c r="F9" s="530"/>
      <c r="G9" s="530"/>
      <c r="H9" s="530"/>
      <c r="I9" s="531"/>
      <c r="J9" s="583"/>
      <c r="K9" s="535"/>
      <c r="L9" s="535"/>
      <c r="M9" s="535"/>
      <c r="N9" s="535"/>
      <c r="O9" s="536"/>
      <c r="P9" s="583"/>
      <c r="Q9" s="535"/>
      <c r="R9" s="535"/>
      <c r="S9" s="535"/>
      <c r="T9" s="535"/>
      <c r="U9" s="536"/>
      <c r="V9" s="583"/>
      <c r="W9" s="535"/>
      <c r="X9" s="535"/>
      <c r="Y9" s="535"/>
      <c r="Z9" s="535"/>
      <c r="AA9" s="536"/>
      <c r="AB9" s="583"/>
      <c r="AC9" s="535"/>
      <c r="AD9" s="535"/>
      <c r="AE9" s="535"/>
      <c r="AF9" s="535"/>
      <c r="AG9" s="536"/>
      <c r="AH9" s="590"/>
      <c r="AI9" s="591"/>
      <c r="AJ9" s="591"/>
      <c r="AK9" s="591"/>
      <c r="AL9" s="591"/>
      <c r="AM9" s="592"/>
      <c r="AN9" s="69"/>
      <c r="AO9" s="548"/>
      <c r="AP9" s="549"/>
      <c r="AQ9" s="549"/>
      <c r="AR9" s="549"/>
      <c r="AS9" s="549"/>
      <c r="AT9" s="550"/>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c r="BY9" s="69"/>
      <c r="BZ9" s="69"/>
      <c r="CA9" s="69"/>
      <c r="CB9" s="69"/>
    </row>
    <row r="10" spans="1:99" ht="15" customHeight="1" x14ac:dyDescent="0.25">
      <c r="A10" s="69"/>
      <c r="B10" s="537"/>
      <c r="C10" s="537"/>
      <c r="D10" s="538"/>
      <c r="E10" s="529"/>
      <c r="F10" s="530"/>
      <c r="G10" s="530"/>
      <c r="H10" s="530"/>
      <c r="I10" s="531"/>
      <c r="J10" s="583" t="str">
        <f ca="1">IF(AND('Mapa final'!$P$27="Muy Alta",'Mapa final'!$T$27="Leve"),CONCATENATE("R",'Mapa final'!$B$27),"")</f>
        <v/>
      </c>
      <c r="K10" s="535"/>
      <c r="L10" s="535" t="str">
        <f ca="1">IF(AND('Mapa final'!$P$29="Muy Alta",'Mapa final'!$T$29="Leve"),CONCATENATE("R",'Mapa final'!$A$29),"")</f>
        <v/>
      </c>
      <c r="M10" s="535"/>
      <c r="N10" s="535" t="str">
        <f ca="1">IF(AND('Mapa final'!$P$33="Muy Alta",'Mapa final'!$T$33="Leve"),CONCATENATE("R",'Mapa final'!$A$33),"")</f>
        <v/>
      </c>
      <c r="O10" s="536"/>
      <c r="P10" s="583" t="str">
        <f ca="1">IF(AND('Mapa final'!$P$27="Muy Alta",'Mapa final'!$T$27="Menor"),CONCATENATE("R",'Mapa final'!$B$27),"")</f>
        <v/>
      </c>
      <c r="Q10" s="535"/>
      <c r="R10" s="535" t="str">
        <f ca="1">IF(AND('Mapa final'!$P$29="Muy Alta",'Mapa final'!$T$29="Menor"),CONCATENATE("R",'Mapa final'!$A$29),"")</f>
        <v/>
      </c>
      <c r="S10" s="535"/>
      <c r="T10" s="535" t="str">
        <f ca="1">IF(AND('Mapa final'!$P$33="Muy Alta",'Mapa final'!$T$33="Menor"),CONCATENATE("R",'Mapa final'!$A$33),"")</f>
        <v/>
      </c>
      <c r="U10" s="536"/>
      <c r="V10" s="583" t="str">
        <f ca="1">IF(AND('Mapa final'!$P$27="Muy Alta",'Mapa final'!$T$27="Moderado"),CONCATENATE("R",'Mapa final'!$B$27),"")</f>
        <v/>
      </c>
      <c r="W10" s="535"/>
      <c r="X10" s="535" t="str">
        <f ca="1">IF(AND('Mapa final'!$P$29="Muy Alta",'Mapa final'!$T$29="Moderado"),CONCATENATE("R",'Mapa final'!$A$29),"")</f>
        <v>R8</v>
      </c>
      <c r="Y10" s="535"/>
      <c r="Z10" s="535" t="str">
        <f ca="1">IF(AND('Mapa final'!$P$33="Muy Alta",'Mapa final'!$T$33="Moderado"),CONCATENATE("R",'Mapa final'!$A$33),"")</f>
        <v/>
      </c>
      <c r="AA10" s="536"/>
      <c r="AB10" s="583" t="str">
        <f ca="1">IF(AND('Mapa final'!$P$27="Muy Alta",'Mapa final'!$T$27="Mayor"),CONCATENATE("R",'Mapa final'!$B$27),"")</f>
        <v/>
      </c>
      <c r="AC10" s="535"/>
      <c r="AD10" s="535" t="str">
        <f ca="1">IF(AND('Mapa final'!$P$29="Muy Alta",'Mapa final'!$T$29="Mayor"),CONCATENATE("R",'Mapa final'!$A$29),"")</f>
        <v/>
      </c>
      <c r="AE10" s="535"/>
      <c r="AF10" s="535" t="str">
        <f ca="1">IF(AND('Mapa final'!$P$33="Muy Alta",'Mapa final'!$T$33="Mayor"),CONCATENATE("R",'Mapa final'!$A$33),"")</f>
        <v/>
      </c>
      <c r="AG10" s="536"/>
      <c r="AH10" s="590" t="str">
        <f ca="1">IF(AND('Mapa final'!$P$27="Muy Alta",'Mapa final'!$T$27="Catastrófico"),CONCATENATE("R",'Mapa final'!$B$27),"")</f>
        <v/>
      </c>
      <c r="AI10" s="591"/>
      <c r="AJ10" s="591" t="str">
        <f ca="1">IF(AND('Mapa final'!$P$29="Muy Alta",'Mapa final'!$T$29="Catastrófico"),CONCATENATE("R",'Mapa final'!$A$29),"")</f>
        <v/>
      </c>
      <c r="AK10" s="591"/>
      <c r="AL10" s="591" t="str">
        <f ca="1">IF(AND('Mapa final'!$P$33="Muy Alta",'Mapa final'!$T$33="Catastrófico"),CONCATENATE("R",'Mapa final'!$A$33),"")</f>
        <v/>
      </c>
      <c r="AM10" s="592"/>
      <c r="AN10" s="69"/>
      <c r="AO10" s="548"/>
      <c r="AP10" s="549"/>
      <c r="AQ10" s="549"/>
      <c r="AR10" s="549"/>
      <c r="AS10" s="549"/>
      <c r="AT10" s="550"/>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c r="BY10" s="69"/>
      <c r="BZ10" s="69"/>
      <c r="CA10" s="69"/>
      <c r="CB10" s="69"/>
    </row>
    <row r="11" spans="1:99" ht="15" customHeight="1" x14ac:dyDescent="0.25">
      <c r="A11" s="69"/>
      <c r="B11" s="537"/>
      <c r="C11" s="537"/>
      <c r="D11" s="538"/>
      <c r="E11" s="529"/>
      <c r="F11" s="530"/>
      <c r="G11" s="530"/>
      <c r="H11" s="530"/>
      <c r="I11" s="531"/>
      <c r="J11" s="583"/>
      <c r="K11" s="535"/>
      <c r="L11" s="535"/>
      <c r="M11" s="535"/>
      <c r="N11" s="535"/>
      <c r="O11" s="536"/>
      <c r="P11" s="583"/>
      <c r="Q11" s="535"/>
      <c r="R11" s="535"/>
      <c r="S11" s="535"/>
      <c r="T11" s="535"/>
      <c r="U11" s="536"/>
      <c r="V11" s="583"/>
      <c r="W11" s="535"/>
      <c r="X11" s="535"/>
      <c r="Y11" s="535"/>
      <c r="Z11" s="535"/>
      <c r="AA11" s="536"/>
      <c r="AB11" s="583"/>
      <c r="AC11" s="535"/>
      <c r="AD11" s="535"/>
      <c r="AE11" s="535"/>
      <c r="AF11" s="535"/>
      <c r="AG11" s="536"/>
      <c r="AH11" s="590"/>
      <c r="AI11" s="591"/>
      <c r="AJ11" s="591"/>
      <c r="AK11" s="591"/>
      <c r="AL11" s="591"/>
      <c r="AM11" s="592"/>
      <c r="AN11" s="69"/>
      <c r="AO11" s="548"/>
      <c r="AP11" s="549"/>
      <c r="AQ11" s="549"/>
      <c r="AR11" s="549"/>
      <c r="AS11" s="549"/>
      <c r="AT11" s="550"/>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c r="BY11" s="69"/>
      <c r="BZ11" s="69"/>
      <c r="CA11" s="69"/>
      <c r="CB11" s="69"/>
    </row>
    <row r="12" spans="1:99" ht="15" customHeight="1" x14ac:dyDescent="0.25">
      <c r="A12" s="69"/>
      <c r="B12" s="537"/>
      <c r="C12" s="537"/>
      <c r="D12" s="538"/>
      <c r="E12" s="529"/>
      <c r="F12" s="530"/>
      <c r="G12" s="530"/>
      <c r="H12" s="530"/>
      <c r="I12" s="531"/>
      <c r="J12" s="583" t="str">
        <f ca="1">IF(AND('Mapa final'!$P$38="Muy Alta",'Mapa final'!$T$38="Leve"),CONCATENATE("R",'Mapa final'!$A$38),"")</f>
        <v/>
      </c>
      <c r="K12" s="535"/>
      <c r="L12" s="535" t="str">
        <f>IF(AND('Mapa final'!$P$255="Muy Alta",'Mapa final'!$T$255="Leve"),CONCATENATE("R",'Mapa final'!$A$255),"")</f>
        <v/>
      </c>
      <c r="M12" s="535"/>
      <c r="N12" s="535" t="str">
        <f>IF(AND('Mapa final'!$P$261="Muy Alta",'Mapa final'!$T$261="Leve"),CONCATENATE("R",'Mapa final'!$A$261),"")</f>
        <v/>
      </c>
      <c r="O12" s="536"/>
      <c r="P12" s="583" t="str">
        <f ca="1">IF(AND('Mapa final'!$P$38="Muy Alta",'Mapa final'!$T$38="Menor"),CONCATENATE("R",'Mapa final'!$A$38),"")</f>
        <v/>
      </c>
      <c r="Q12" s="535"/>
      <c r="R12" s="535" t="str">
        <f>IF(AND('Mapa final'!$P$255="Muy Alta",'Mapa final'!$T$255="Menor"),CONCATENATE("R",'Mapa final'!$A$255),"")</f>
        <v/>
      </c>
      <c r="S12" s="535"/>
      <c r="T12" s="535" t="str">
        <f>IF(AND('Mapa final'!$P$261="Muy Alta",'Mapa final'!$T$261="Menor"),CONCATENATE("R",'Mapa final'!$A$261),"")</f>
        <v/>
      </c>
      <c r="U12" s="536"/>
      <c r="V12" s="583" t="str">
        <f ca="1">IF(AND('Mapa final'!$P$38="Muy Alta",'Mapa final'!$T$38="Moderado"),CONCATENATE("R",'Mapa final'!$A$38),"")</f>
        <v/>
      </c>
      <c r="W12" s="535"/>
      <c r="X12" s="535" t="str">
        <f>IF(AND('Mapa final'!$P$255="Muy Alta",'Mapa final'!$T$255="Moderado"),CONCATENATE("R",'Mapa final'!$A$255),"")</f>
        <v/>
      </c>
      <c r="Y12" s="535"/>
      <c r="Z12" s="535" t="str">
        <f>IF(AND('Mapa final'!$P$261="Muy Alta",'Mapa final'!$T$261="Moderado"),CONCATENATE("R",'Mapa final'!$A$261),"")</f>
        <v/>
      </c>
      <c r="AA12" s="536"/>
      <c r="AB12" s="583" t="str">
        <f ca="1">IF(AND('Mapa final'!$P$38="Muy Alta",'Mapa final'!$T$38="Mayor"),CONCATENATE("R",'Mapa final'!$A$38),"")</f>
        <v>R10</v>
      </c>
      <c r="AC12" s="535"/>
      <c r="AD12" s="535" t="str">
        <f>IF(AND('Mapa final'!$P$255="Muy Alta",'Mapa final'!$T$255="Mayor"),CONCATENATE("R",'Mapa final'!$A$255),"")</f>
        <v/>
      </c>
      <c r="AE12" s="535"/>
      <c r="AF12" s="535" t="str">
        <f>IF(AND('Mapa final'!$P$261="Muy Alta",'Mapa final'!$T$261="Mayor"),CONCATENATE("R",'Mapa final'!$A$261),"")</f>
        <v/>
      </c>
      <c r="AG12" s="536"/>
      <c r="AH12" s="590" t="str">
        <f ca="1">IF(AND('Mapa final'!$P$38="Muy Alta",'Mapa final'!$T$38="Catastrófico"),CONCATENATE("R",'Mapa final'!$A$38),"")</f>
        <v/>
      </c>
      <c r="AI12" s="591"/>
      <c r="AJ12" s="591" t="str">
        <f>IF(AND('Mapa final'!$P$255="Muy Alta",'Mapa final'!$T$255="Catastrófico"),CONCATENATE("R",'Mapa final'!$A$255),"")</f>
        <v/>
      </c>
      <c r="AK12" s="591"/>
      <c r="AL12" s="591" t="str">
        <f>IF(AND('Mapa final'!$P$261="Muy Alta",'Mapa final'!$T$261="Catastrófico"),CONCATENATE("R",'Mapa final'!$A$261),"")</f>
        <v/>
      </c>
      <c r="AM12" s="592"/>
      <c r="AN12" s="69"/>
      <c r="AO12" s="548"/>
      <c r="AP12" s="549"/>
      <c r="AQ12" s="549"/>
      <c r="AR12" s="549"/>
      <c r="AS12" s="549"/>
      <c r="AT12" s="550"/>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c r="BY12" s="69"/>
      <c r="BZ12" s="69"/>
      <c r="CA12" s="69"/>
      <c r="CB12" s="69"/>
    </row>
    <row r="13" spans="1:99" ht="15.75" customHeight="1" thickBot="1" x14ac:dyDescent="0.3">
      <c r="A13" s="69"/>
      <c r="B13" s="537"/>
      <c r="C13" s="537"/>
      <c r="D13" s="538"/>
      <c r="E13" s="532"/>
      <c r="F13" s="533"/>
      <c r="G13" s="533"/>
      <c r="H13" s="533"/>
      <c r="I13" s="534"/>
      <c r="J13" s="583"/>
      <c r="K13" s="535"/>
      <c r="L13" s="535"/>
      <c r="M13" s="535"/>
      <c r="N13" s="535"/>
      <c r="O13" s="536"/>
      <c r="P13" s="583"/>
      <c r="Q13" s="535"/>
      <c r="R13" s="535"/>
      <c r="S13" s="535"/>
      <c r="T13" s="535"/>
      <c r="U13" s="536"/>
      <c r="V13" s="583"/>
      <c r="W13" s="535"/>
      <c r="X13" s="535"/>
      <c r="Y13" s="535"/>
      <c r="Z13" s="535"/>
      <c r="AA13" s="536"/>
      <c r="AB13" s="583"/>
      <c r="AC13" s="535"/>
      <c r="AD13" s="535"/>
      <c r="AE13" s="535"/>
      <c r="AF13" s="535"/>
      <c r="AG13" s="536"/>
      <c r="AH13" s="593"/>
      <c r="AI13" s="594"/>
      <c r="AJ13" s="594"/>
      <c r="AK13" s="594"/>
      <c r="AL13" s="594"/>
      <c r="AM13" s="595"/>
      <c r="AN13" s="69"/>
      <c r="AO13" s="551"/>
      <c r="AP13" s="552"/>
      <c r="AQ13" s="552"/>
      <c r="AR13" s="552"/>
      <c r="AS13" s="552"/>
      <c r="AT13" s="553"/>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c r="BY13" s="69"/>
      <c r="BZ13" s="69"/>
      <c r="CA13" s="69"/>
      <c r="CB13" s="69"/>
    </row>
    <row r="14" spans="1:99" ht="15" customHeight="1" x14ac:dyDescent="0.25">
      <c r="A14" s="69"/>
      <c r="B14" s="537"/>
      <c r="C14" s="537"/>
      <c r="D14" s="538"/>
      <c r="E14" s="526" t="s">
        <v>131</v>
      </c>
      <c r="F14" s="527"/>
      <c r="G14" s="527"/>
      <c r="H14" s="527"/>
      <c r="I14" s="527"/>
      <c r="J14" s="544" t="str">
        <f ca="1">IF(AND('Mapa final'!$P$13="Alta",'Mapa final'!$T$13="Leve"),CONCATENATE("R",'Mapa final'!$A$13),"")</f>
        <v/>
      </c>
      <c r="K14" s="539"/>
      <c r="L14" s="539" t="str">
        <f ca="1">IF(AND('Mapa final'!$P$15="Alta",'Mapa final'!$T$15="Leve"),CONCATENATE("R",'Mapa final'!$A$15),"")</f>
        <v/>
      </c>
      <c r="M14" s="539"/>
      <c r="N14" s="539" t="str">
        <f ca="1">IF(AND('Mapa final'!$P$17="Alta",'Mapa final'!$T$17="Leve"),CONCATENATE("R",'Mapa final'!$A$17),"")</f>
        <v/>
      </c>
      <c r="O14" s="541"/>
      <c r="P14" s="544" t="str">
        <f ca="1">IF(AND('Mapa final'!$P$13="Alta",'Mapa final'!$T$13="Menor"),CONCATENATE("R",'Mapa final'!$A$13),"")</f>
        <v>R1</v>
      </c>
      <c r="Q14" s="539"/>
      <c r="R14" s="539" t="str">
        <f ca="1">IF(AND('Mapa final'!$P$15="Alta",'Mapa final'!$T$15="Menor"),CONCATENATE("R",'Mapa final'!$A$15),"")</f>
        <v/>
      </c>
      <c r="S14" s="539"/>
      <c r="T14" s="539" t="str">
        <f ca="1">IF(AND('Mapa final'!$P$17="Alta",'Mapa final'!$T$17="Menor"),CONCATENATE("R",'Mapa final'!$A$17),"")</f>
        <v/>
      </c>
      <c r="U14" s="541"/>
      <c r="V14" s="581" t="str">
        <f ca="1">IF(AND('Mapa final'!$P$13="Alta",'Mapa final'!$T$13="Moderado"),CONCATENATE("R",'Mapa final'!$A$13),"")</f>
        <v/>
      </c>
      <c r="W14" s="582"/>
      <c r="X14" s="582" t="str">
        <f ca="1">IF(AND('Mapa final'!$P$15="Alta",'Mapa final'!$T$15="Moderado"),CONCATENATE("R",'Mapa final'!$A$15),"")</f>
        <v/>
      </c>
      <c r="Y14" s="582"/>
      <c r="Z14" s="582" t="str">
        <f ca="1">IF(AND('Mapa final'!$P$17="Alta",'Mapa final'!$T$17="Moderado"),CONCATENATE("R",'Mapa final'!$A$17),"")</f>
        <v/>
      </c>
      <c r="AA14" s="584"/>
      <c r="AB14" s="581" t="str">
        <f ca="1">IF(AND('Mapa final'!$P$13="Alta",'Mapa final'!$T$13="Mayor"),CONCATENATE("R",'Mapa final'!$A$13),"")</f>
        <v/>
      </c>
      <c r="AC14" s="582"/>
      <c r="AD14" s="582" t="str">
        <f ca="1">IF(AND('Mapa final'!$P$15="Alta",'Mapa final'!$T$15="Mayor"),CONCATENATE("R",'Mapa final'!$A$15),"")</f>
        <v/>
      </c>
      <c r="AE14" s="582"/>
      <c r="AF14" s="582" t="str">
        <f ca="1">IF(AND('Mapa final'!$P$17="Alta",'Mapa final'!$T$17="Mayor"),CONCATENATE("R",'Mapa final'!$A$17),"")</f>
        <v/>
      </c>
      <c r="AG14" s="584"/>
      <c r="AH14" s="596" t="str">
        <f ca="1">IF(AND('Mapa final'!$P$13="Alta",'Mapa final'!$T$13="Catastrófico"),CONCATENATE("R",'Mapa final'!$A$13),"")</f>
        <v/>
      </c>
      <c r="AI14" s="597"/>
      <c r="AJ14" s="597" t="str">
        <f ca="1">IF(AND('Mapa final'!$P$15="Alta",'Mapa final'!$T$15="Catastrófico"),CONCATENATE("R",'Mapa final'!$A$15),"")</f>
        <v/>
      </c>
      <c r="AK14" s="597"/>
      <c r="AL14" s="597" t="str">
        <f ca="1">IF(AND('Mapa final'!$P$17="Alta",'Mapa final'!$T$17="Catastrófico"),CONCATENATE("R",'Mapa final'!$A$17),"")</f>
        <v/>
      </c>
      <c r="AM14" s="598"/>
      <c r="AN14" s="69"/>
      <c r="AO14" s="554" t="s">
        <v>132</v>
      </c>
      <c r="AP14" s="555"/>
      <c r="AQ14" s="555"/>
      <c r="AR14" s="555"/>
      <c r="AS14" s="555"/>
      <c r="AT14" s="556"/>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c r="BY14" s="69"/>
      <c r="BZ14" s="69"/>
      <c r="CA14" s="69"/>
      <c r="CB14" s="69"/>
    </row>
    <row r="15" spans="1:99" ht="15" customHeight="1" x14ac:dyDescent="0.25">
      <c r="A15" s="69"/>
      <c r="B15" s="537"/>
      <c r="C15" s="537"/>
      <c r="D15" s="538"/>
      <c r="E15" s="529"/>
      <c r="F15" s="530"/>
      <c r="G15" s="530"/>
      <c r="H15" s="530"/>
      <c r="I15" s="530"/>
      <c r="J15" s="543"/>
      <c r="K15" s="540"/>
      <c r="L15" s="540"/>
      <c r="M15" s="540"/>
      <c r="N15" s="540"/>
      <c r="O15" s="542"/>
      <c r="P15" s="543"/>
      <c r="Q15" s="540"/>
      <c r="R15" s="540"/>
      <c r="S15" s="540"/>
      <c r="T15" s="540"/>
      <c r="U15" s="542"/>
      <c r="V15" s="583"/>
      <c r="W15" s="535"/>
      <c r="X15" s="535"/>
      <c r="Y15" s="535"/>
      <c r="Z15" s="535"/>
      <c r="AA15" s="536"/>
      <c r="AB15" s="583"/>
      <c r="AC15" s="535"/>
      <c r="AD15" s="535"/>
      <c r="AE15" s="535"/>
      <c r="AF15" s="535"/>
      <c r="AG15" s="536"/>
      <c r="AH15" s="590"/>
      <c r="AI15" s="591"/>
      <c r="AJ15" s="591"/>
      <c r="AK15" s="591"/>
      <c r="AL15" s="591"/>
      <c r="AM15" s="592"/>
      <c r="AN15" s="69"/>
      <c r="AO15" s="557"/>
      <c r="AP15" s="558"/>
      <c r="AQ15" s="558"/>
      <c r="AR15" s="558"/>
      <c r="AS15" s="558"/>
      <c r="AT15" s="559"/>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c r="BY15" s="69"/>
      <c r="BZ15" s="69"/>
      <c r="CA15" s="69"/>
      <c r="CB15" s="69"/>
    </row>
    <row r="16" spans="1:99" ht="15" customHeight="1" x14ac:dyDescent="0.25">
      <c r="A16" s="69"/>
      <c r="B16" s="537"/>
      <c r="C16" s="537"/>
      <c r="D16" s="538"/>
      <c r="E16" s="529"/>
      <c r="F16" s="530"/>
      <c r="G16" s="530"/>
      <c r="H16" s="530"/>
      <c r="I16" s="530"/>
      <c r="J16" s="543" t="str">
        <f ca="1">IF(AND('Mapa final'!$P$20="Alta",'Mapa final'!$T$20="Leve"),CONCATENATE("R",'Mapa final'!$A$20),"")</f>
        <v/>
      </c>
      <c r="K16" s="540"/>
      <c r="L16" s="540" t="str">
        <f ca="1">IF(AND('Mapa final'!$P$22="Alta",'Mapa final'!$T$22="Leve"),CONCATENATE("R",'Mapa final'!$A$22),"")</f>
        <v/>
      </c>
      <c r="M16" s="540"/>
      <c r="N16" s="540" t="str">
        <f ca="1">IF(AND('Mapa final'!$P$25="Alta",'Mapa final'!$T$25="Leve"),CONCATENATE("R",'Mapa final'!$A$25),"")</f>
        <v/>
      </c>
      <c r="O16" s="542"/>
      <c r="P16" s="543" t="str">
        <f ca="1">IF(AND('Mapa final'!$P$20="Alta",'Mapa final'!$T$20="Menor"),CONCATENATE("R",'Mapa final'!$A$20),"")</f>
        <v/>
      </c>
      <c r="Q16" s="540"/>
      <c r="R16" s="540" t="str">
        <f ca="1">IF(AND('Mapa final'!$P$22="Alta",'Mapa final'!$T$22="Menor"),CONCATENATE("R",'Mapa final'!$A$22),"")</f>
        <v/>
      </c>
      <c r="S16" s="540"/>
      <c r="T16" s="540" t="str">
        <f ca="1">IF(AND('Mapa final'!$P$25="Alta",'Mapa final'!$T$25="Menor"),CONCATENATE("R",'Mapa final'!$A$25),"")</f>
        <v/>
      </c>
      <c r="U16" s="542"/>
      <c r="V16" s="583" t="str">
        <f ca="1">IF(AND('Mapa final'!$P$20="Alta",'Mapa final'!$T$20="Moderado"),CONCATENATE("R",'Mapa final'!$A$20),"")</f>
        <v/>
      </c>
      <c r="W16" s="535"/>
      <c r="X16" s="535" t="str">
        <f ca="1">IF(AND('Mapa final'!$P$22="Alta",'Mapa final'!$T$22="Moderado"),CONCATENATE("R",'Mapa final'!$A$22),"")</f>
        <v/>
      </c>
      <c r="Y16" s="535"/>
      <c r="Z16" s="535" t="str">
        <f ca="1">IF(AND('Mapa final'!$P$25="Alta",'Mapa final'!$T$25="Moderado"),CONCATENATE("R",'Mapa final'!$A$25),"")</f>
        <v/>
      </c>
      <c r="AA16" s="536"/>
      <c r="AB16" s="583" t="str">
        <f ca="1">IF(AND('Mapa final'!$P$20="Alta",'Mapa final'!$T$20="Mayor"),CONCATENATE("R",'Mapa final'!$A$20),"")</f>
        <v/>
      </c>
      <c r="AC16" s="535"/>
      <c r="AD16" s="535" t="str">
        <f ca="1">IF(AND('Mapa final'!$P$22="Alta",'Mapa final'!$T$22="Mayor"),CONCATENATE("R",'Mapa final'!$A$22),"")</f>
        <v/>
      </c>
      <c r="AE16" s="535"/>
      <c r="AF16" s="535" t="str">
        <f ca="1">IF(AND('Mapa final'!$P$25="Alta",'Mapa final'!$T$25="Mayor"),CONCATENATE("R",'Mapa final'!$A$25),"")</f>
        <v/>
      </c>
      <c r="AG16" s="536"/>
      <c r="AH16" s="590" t="str">
        <f ca="1">IF(AND('Mapa final'!$P$20="Alta",'Mapa final'!$T$20="Catastrófico"),CONCATENATE("R",'Mapa final'!$A$20),"")</f>
        <v/>
      </c>
      <c r="AI16" s="591"/>
      <c r="AJ16" s="591" t="str">
        <f ca="1">IF(AND('Mapa final'!$P$22="Alta",'Mapa final'!$T$22="Catastrófico"),CONCATENATE("R",'Mapa final'!$A$22),"")</f>
        <v/>
      </c>
      <c r="AK16" s="591"/>
      <c r="AL16" s="591" t="str">
        <f ca="1">IF(AND('Mapa final'!$P$25="Alta",'Mapa final'!$T$25="Catastrófico"),CONCATENATE("R",'Mapa final'!$A$25),"")</f>
        <v/>
      </c>
      <c r="AM16" s="592"/>
      <c r="AN16" s="69"/>
      <c r="AO16" s="557"/>
      <c r="AP16" s="558"/>
      <c r="AQ16" s="558"/>
      <c r="AR16" s="558"/>
      <c r="AS16" s="558"/>
      <c r="AT16" s="559"/>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c r="BY16" s="69"/>
      <c r="BZ16" s="69"/>
      <c r="CA16" s="69"/>
      <c r="CB16" s="69"/>
    </row>
    <row r="17" spans="1:80" ht="15" customHeight="1" x14ac:dyDescent="0.25">
      <c r="A17" s="69"/>
      <c r="B17" s="537"/>
      <c r="C17" s="537"/>
      <c r="D17" s="538"/>
      <c r="E17" s="529"/>
      <c r="F17" s="530"/>
      <c r="G17" s="530"/>
      <c r="H17" s="530"/>
      <c r="I17" s="530"/>
      <c r="J17" s="543"/>
      <c r="K17" s="540"/>
      <c r="L17" s="540"/>
      <c r="M17" s="540"/>
      <c r="N17" s="540"/>
      <c r="O17" s="542"/>
      <c r="P17" s="543"/>
      <c r="Q17" s="540"/>
      <c r="R17" s="540"/>
      <c r="S17" s="540"/>
      <c r="T17" s="540"/>
      <c r="U17" s="542"/>
      <c r="V17" s="583"/>
      <c r="W17" s="535"/>
      <c r="X17" s="535"/>
      <c r="Y17" s="535"/>
      <c r="Z17" s="535"/>
      <c r="AA17" s="536"/>
      <c r="AB17" s="583"/>
      <c r="AC17" s="535"/>
      <c r="AD17" s="535"/>
      <c r="AE17" s="535"/>
      <c r="AF17" s="535"/>
      <c r="AG17" s="536"/>
      <c r="AH17" s="590"/>
      <c r="AI17" s="591"/>
      <c r="AJ17" s="591"/>
      <c r="AK17" s="591"/>
      <c r="AL17" s="591"/>
      <c r="AM17" s="592"/>
      <c r="AN17" s="69"/>
      <c r="AO17" s="557"/>
      <c r="AP17" s="558"/>
      <c r="AQ17" s="558"/>
      <c r="AR17" s="558"/>
      <c r="AS17" s="558"/>
      <c r="AT17" s="559"/>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c r="BY17" s="69"/>
      <c r="BZ17" s="69"/>
      <c r="CA17" s="69"/>
      <c r="CB17" s="69"/>
    </row>
    <row r="18" spans="1:80" ht="15" customHeight="1" x14ac:dyDescent="0.25">
      <c r="A18" s="69"/>
      <c r="B18" s="537"/>
      <c r="C18" s="537"/>
      <c r="D18" s="538"/>
      <c r="E18" s="529"/>
      <c r="F18" s="530"/>
      <c r="G18" s="530"/>
      <c r="H18" s="530"/>
      <c r="I18" s="530"/>
      <c r="J18" s="543" t="str">
        <f ca="1">IF(AND('Mapa final'!$P$27="Alta",'Mapa final'!$T$27="Leve"),CONCATENATE("R",'Mapa final'!$B$27),"")</f>
        <v/>
      </c>
      <c r="K18" s="540"/>
      <c r="L18" s="540" t="str">
        <f ca="1">IF(AND('Mapa final'!$P$29="Alta",'Mapa final'!$T$29="Leve"),CONCATENATE("R",'Mapa final'!$A$29),"")</f>
        <v/>
      </c>
      <c r="M18" s="540"/>
      <c r="N18" s="540" t="str">
        <f ca="1">IF(AND('Mapa final'!$P$33="Alta",'Mapa final'!$T$33="Leve"),CONCATENATE("R",'Mapa final'!$A$33),"")</f>
        <v/>
      </c>
      <c r="O18" s="542"/>
      <c r="P18" s="543" t="str">
        <f ca="1">IF(AND('Mapa final'!$P$27="Alta",'Mapa final'!$T$27="Menor"),CONCATENATE("R",'Mapa final'!$B$27),"")</f>
        <v/>
      </c>
      <c r="Q18" s="540"/>
      <c r="R18" s="540" t="str">
        <f ca="1">IF(AND('Mapa final'!$P$29="Alta",'Mapa final'!$T$29="Menor"),CONCATENATE("R",'Mapa final'!$A$29),"")</f>
        <v/>
      </c>
      <c r="S18" s="540"/>
      <c r="T18" s="540" t="str">
        <f ca="1">IF(AND('Mapa final'!$P$33="Alta",'Mapa final'!$T$33="Menor"),CONCATENATE("R",'Mapa final'!$A$33),"")</f>
        <v/>
      </c>
      <c r="U18" s="542"/>
      <c r="V18" s="583" t="str">
        <f ca="1">IF(AND('Mapa final'!$P$27="Alta",'Mapa final'!$T$27="Moderado"),CONCATENATE("R",'Mapa final'!$B$27),"")</f>
        <v/>
      </c>
      <c r="W18" s="535"/>
      <c r="X18" s="535" t="str">
        <f ca="1">IF(AND('Mapa final'!$P$29="Alta",'Mapa final'!$T$29="Moderado"),CONCATENATE("R",'Mapa final'!$A$29),"")</f>
        <v/>
      </c>
      <c r="Y18" s="535"/>
      <c r="Z18" s="535" t="str">
        <f ca="1">IF(AND('Mapa final'!$P$33="Alta",'Mapa final'!$T$33="Moderado"),CONCATENATE("R",'Mapa final'!$A$33),"")</f>
        <v/>
      </c>
      <c r="AA18" s="536"/>
      <c r="AB18" s="583" t="str">
        <f ca="1">IF(AND('Mapa final'!$P$27="Alta",'Mapa final'!$T$27="Mayor"),CONCATENATE("R",'Mapa final'!$B$27),"")</f>
        <v/>
      </c>
      <c r="AC18" s="535"/>
      <c r="AD18" s="535" t="str">
        <f ca="1">IF(AND('Mapa final'!$P$29="Alta",'Mapa final'!$T$29="Mayor"),CONCATENATE("R",'Mapa final'!$A$29),"")</f>
        <v/>
      </c>
      <c r="AE18" s="535"/>
      <c r="AF18" s="535" t="str">
        <f ca="1">IF(AND('Mapa final'!$P$33="Alta",'Mapa final'!$T$33="Mayor"),CONCATENATE("R",'Mapa final'!$A$33),"")</f>
        <v/>
      </c>
      <c r="AG18" s="536"/>
      <c r="AH18" s="590" t="str">
        <f ca="1">IF(AND('Mapa final'!$P$27="Alta",'Mapa final'!$T$27="Catastrófico"),CONCATENATE("R",'Mapa final'!$B$27),"")</f>
        <v/>
      </c>
      <c r="AI18" s="591"/>
      <c r="AJ18" s="591" t="str">
        <f ca="1">IF(AND('Mapa final'!$P$29="Alta",'Mapa final'!$T$29="Catastrófico"),CONCATENATE("R",'Mapa final'!$A$29),"")</f>
        <v/>
      </c>
      <c r="AK18" s="591"/>
      <c r="AL18" s="591" t="str">
        <f ca="1">IF(AND('Mapa final'!$P$33="Alta",'Mapa final'!$T$33="Catastrófico"),CONCATENATE("R",'Mapa final'!$A$33),"")</f>
        <v/>
      </c>
      <c r="AM18" s="592"/>
      <c r="AN18" s="69"/>
      <c r="AO18" s="557"/>
      <c r="AP18" s="558"/>
      <c r="AQ18" s="558"/>
      <c r="AR18" s="558"/>
      <c r="AS18" s="558"/>
      <c r="AT18" s="559"/>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c r="BY18" s="69"/>
      <c r="BZ18" s="69"/>
      <c r="CA18" s="69"/>
      <c r="CB18" s="69"/>
    </row>
    <row r="19" spans="1:80" ht="15" customHeight="1" x14ac:dyDescent="0.25">
      <c r="A19" s="69"/>
      <c r="B19" s="537"/>
      <c r="C19" s="537"/>
      <c r="D19" s="538"/>
      <c r="E19" s="529"/>
      <c r="F19" s="530"/>
      <c r="G19" s="530"/>
      <c r="H19" s="530"/>
      <c r="I19" s="530"/>
      <c r="J19" s="543"/>
      <c r="K19" s="540"/>
      <c r="L19" s="540"/>
      <c r="M19" s="540"/>
      <c r="N19" s="540"/>
      <c r="O19" s="542"/>
      <c r="P19" s="543"/>
      <c r="Q19" s="540"/>
      <c r="R19" s="540"/>
      <c r="S19" s="540"/>
      <c r="T19" s="540"/>
      <c r="U19" s="542"/>
      <c r="V19" s="583"/>
      <c r="W19" s="535"/>
      <c r="X19" s="535"/>
      <c r="Y19" s="535"/>
      <c r="Z19" s="535"/>
      <c r="AA19" s="536"/>
      <c r="AB19" s="583"/>
      <c r="AC19" s="535"/>
      <c r="AD19" s="535"/>
      <c r="AE19" s="535"/>
      <c r="AF19" s="535"/>
      <c r="AG19" s="536"/>
      <c r="AH19" s="590"/>
      <c r="AI19" s="591"/>
      <c r="AJ19" s="591"/>
      <c r="AK19" s="591"/>
      <c r="AL19" s="591"/>
      <c r="AM19" s="592"/>
      <c r="AN19" s="69"/>
      <c r="AO19" s="557"/>
      <c r="AP19" s="558"/>
      <c r="AQ19" s="558"/>
      <c r="AR19" s="558"/>
      <c r="AS19" s="558"/>
      <c r="AT19" s="559"/>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c r="BY19" s="69"/>
      <c r="BZ19" s="69"/>
      <c r="CA19" s="69"/>
      <c r="CB19" s="69"/>
    </row>
    <row r="20" spans="1:80" ht="15" customHeight="1" x14ac:dyDescent="0.25">
      <c r="A20" s="69"/>
      <c r="B20" s="537"/>
      <c r="C20" s="537"/>
      <c r="D20" s="538"/>
      <c r="E20" s="529"/>
      <c r="F20" s="530"/>
      <c r="G20" s="530"/>
      <c r="H20" s="530"/>
      <c r="I20" s="530"/>
      <c r="J20" s="543" t="str">
        <f ca="1">IF(AND('Mapa final'!$P$38="Alta",'Mapa final'!$T$38="Leve"),CONCATENATE("R",'Mapa final'!$A$38),"")</f>
        <v/>
      </c>
      <c r="K20" s="540"/>
      <c r="L20" s="540" t="str">
        <f>IF(AND('Mapa final'!$P$255="Alta",'Mapa final'!$T$255="Leve"),CONCATENATE("R",'Mapa final'!$A$255),"")</f>
        <v/>
      </c>
      <c r="M20" s="540"/>
      <c r="N20" s="540" t="str">
        <f>IF(AND('Mapa final'!$P$261="Alta",'Mapa final'!$T$261="Leve"),CONCATENATE("R",'Mapa final'!$A$261),"")</f>
        <v/>
      </c>
      <c r="O20" s="542"/>
      <c r="P20" s="543" t="str">
        <f ca="1">IF(AND('Mapa final'!$P$38="Alta",'Mapa final'!$T$38="Menor"),CONCATENATE("R",'Mapa final'!$A$38),"")</f>
        <v/>
      </c>
      <c r="Q20" s="540"/>
      <c r="R20" s="540" t="str">
        <f>IF(AND('Mapa final'!$P$255="Alta",'Mapa final'!$T$255="Menor"),CONCATENATE("R",'Mapa final'!$A$255),"")</f>
        <v/>
      </c>
      <c r="S20" s="540"/>
      <c r="T20" s="540" t="str">
        <f>IF(AND('Mapa final'!$P$261="Alta",'Mapa final'!$T$261="Menor"),CONCATENATE("R",'Mapa final'!$A$261),"")</f>
        <v/>
      </c>
      <c r="U20" s="542"/>
      <c r="V20" s="583" t="str">
        <f ca="1">IF(AND('Mapa final'!$P$38="Alta",'Mapa final'!$T$38="Moderado"),CONCATENATE("R",'Mapa final'!$A$38),"")</f>
        <v/>
      </c>
      <c r="W20" s="535"/>
      <c r="X20" s="535" t="str">
        <f>IF(AND('Mapa final'!$P$255="Alta",'Mapa final'!$T$255="Moderado"),CONCATENATE("R",'Mapa final'!$A$255),"")</f>
        <v/>
      </c>
      <c r="Y20" s="535"/>
      <c r="Z20" s="535" t="str">
        <f>IF(AND('Mapa final'!$P$261="Alta",'Mapa final'!$T$261="Moderado"),CONCATENATE("R",'Mapa final'!$A$261),"")</f>
        <v/>
      </c>
      <c r="AA20" s="536"/>
      <c r="AB20" s="583" t="str">
        <f ca="1">IF(AND('Mapa final'!$P$38="Alta",'Mapa final'!$T$38="Mayor"),CONCATENATE("R",'Mapa final'!$A$38),"")</f>
        <v/>
      </c>
      <c r="AC20" s="535"/>
      <c r="AD20" s="535" t="str">
        <f>IF(AND('Mapa final'!$P$255="Alta",'Mapa final'!$T$255="Mayor"),CONCATENATE("R",'Mapa final'!$A$255),"")</f>
        <v/>
      </c>
      <c r="AE20" s="535"/>
      <c r="AF20" s="535" t="str">
        <f>IF(AND('Mapa final'!$P$261="Alta",'Mapa final'!$T$261="Mayor"),CONCATENATE("R",'Mapa final'!$A$261),"")</f>
        <v/>
      </c>
      <c r="AG20" s="536"/>
      <c r="AH20" s="590" t="str">
        <f ca="1">IF(AND('Mapa final'!$P$38="Alta",'Mapa final'!$T$38="Catastrófico"),CONCATENATE("R",'Mapa final'!$A$38),"")</f>
        <v/>
      </c>
      <c r="AI20" s="591"/>
      <c r="AJ20" s="591" t="str">
        <f>IF(AND('Mapa final'!$P$255="Alta",'Mapa final'!$T$255="Catastrófico"),CONCATENATE("R",'Mapa final'!$A$255),"")</f>
        <v/>
      </c>
      <c r="AK20" s="591"/>
      <c r="AL20" s="591" t="str">
        <f>IF(AND('Mapa final'!$P$261="Alta",'Mapa final'!$T$261="Catastrófico"),CONCATENATE("R",'Mapa final'!$A$261),"")</f>
        <v/>
      </c>
      <c r="AM20" s="592"/>
      <c r="AN20" s="69"/>
      <c r="AO20" s="557"/>
      <c r="AP20" s="558"/>
      <c r="AQ20" s="558"/>
      <c r="AR20" s="558"/>
      <c r="AS20" s="558"/>
      <c r="AT20" s="559"/>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c r="BY20" s="69"/>
      <c r="BZ20" s="69"/>
      <c r="CA20" s="69"/>
      <c r="CB20" s="69"/>
    </row>
    <row r="21" spans="1:80" ht="15.75" customHeight="1" thickBot="1" x14ac:dyDescent="0.3">
      <c r="A21" s="69"/>
      <c r="B21" s="537"/>
      <c r="C21" s="537"/>
      <c r="D21" s="538"/>
      <c r="E21" s="532"/>
      <c r="F21" s="533"/>
      <c r="G21" s="533"/>
      <c r="H21" s="533"/>
      <c r="I21" s="533"/>
      <c r="J21" s="599"/>
      <c r="K21" s="600"/>
      <c r="L21" s="600"/>
      <c r="M21" s="600"/>
      <c r="N21" s="600"/>
      <c r="O21" s="601"/>
      <c r="P21" s="599"/>
      <c r="Q21" s="600"/>
      <c r="R21" s="600"/>
      <c r="S21" s="600"/>
      <c r="T21" s="600"/>
      <c r="U21" s="601"/>
      <c r="V21" s="587"/>
      <c r="W21" s="588"/>
      <c r="X21" s="588"/>
      <c r="Y21" s="588"/>
      <c r="Z21" s="588"/>
      <c r="AA21" s="589"/>
      <c r="AB21" s="587"/>
      <c r="AC21" s="588"/>
      <c r="AD21" s="588"/>
      <c r="AE21" s="588"/>
      <c r="AF21" s="588"/>
      <c r="AG21" s="589"/>
      <c r="AH21" s="593"/>
      <c r="AI21" s="594"/>
      <c r="AJ21" s="594"/>
      <c r="AK21" s="594"/>
      <c r="AL21" s="594"/>
      <c r="AM21" s="595"/>
      <c r="AN21" s="69"/>
      <c r="AO21" s="560"/>
      <c r="AP21" s="561"/>
      <c r="AQ21" s="561"/>
      <c r="AR21" s="561"/>
      <c r="AS21" s="561"/>
      <c r="AT21" s="562"/>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c r="BY21" s="69"/>
      <c r="BZ21" s="69"/>
      <c r="CA21" s="69"/>
      <c r="CB21" s="69"/>
    </row>
    <row r="22" spans="1:80" x14ac:dyDescent="0.25">
      <c r="A22" s="69"/>
      <c r="B22" s="537"/>
      <c r="C22" s="537"/>
      <c r="D22" s="538"/>
      <c r="E22" s="526" t="s">
        <v>133</v>
      </c>
      <c r="F22" s="527"/>
      <c r="G22" s="527"/>
      <c r="H22" s="527"/>
      <c r="I22" s="528"/>
      <c r="J22" s="544" t="str">
        <f ca="1">IF(AND('Mapa final'!$P$13="Media",'Mapa final'!$T$13="Leve"),CONCATENATE("R",'Mapa final'!$A$13),"")</f>
        <v/>
      </c>
      <c r="K22" s="539"/>
      <c r="L22" s="539" t="str">
        <f ca="1">IF(AND('Mapa final'!$P$15="Media",'Mapa final'!$T$15="Leve"),CONCATENATE("R",'Mapa final'!$A$15),"")</f>
        <v/>
      </c>
      <c r="M22" s="539"/>
      <c r="N22" s="539" t="str">
        <f ca="1">IF(AND('Mapa final'!$P$17="Media",'Mapa final'!$T$17="Leve"),CONCATENATE("R",'Mapa final'!$A$17),"")</f>
        <v/>
      </c>
      <c r="O22" s="541"/>
      <c r="P22" s="544" t="str">
        <f ca="1">IF(AND('Mapa final'!$P$13="Media",'Mapa final'!$T$13="Menor"),CONCATENATE("R",'Mapa final'!$A$13),"")</f>
        <v/>
      </c>
      <c r="Q22" s="539"/>
      <c r="R22" s="539" t="str">
        <f ca="1">IF(AND('Mapa final'!$P$15="Media",'Mapa final'!$T$15="Menor"),CONCATENATE("R",'Mapa final'!$A$15),"")</f>
        <v/>
      </c>
      <c r="S22" s="539"/>
      <c r="T22" s="539" t="str">
        <f ca="1">IF(AND('Mapa final'!$P$17="Media",'Mapa final'!$T$17="Menor"),CONCATENATE("R",'Mapa final'!$A$17),"")</f>
        <v/>
      </c>
      <c r="U22" s="541"/>
      <c r="V22" s="544" t="str">
        <f ca="1">IF(AND('Mapa final'!$P$13="Media",'Mapa final'!$T$13="Moderado"),CONCATENATE("R",'Mapa final'!$A$13),"")</f>
        <v/>
      </c>
      <c r="W22" s="539"/>
      <c r="X22" s="539" t="str">
        <f ca="1">IF(AND('Mapa final'!$P$15="Media",'Mapa final'!$T$15="Moderado"),CONCATENATE("R",'Mapa final'!$A$15),"")</f>
        <v>R2</v>
      </c>
      <c r="Y22" s="539"/>
      <c r="Z22" s="539" t="str">
        <f ca="1">IF(AND('Mapa final'!$P$17="Media",'Mapa final'!$T$17="Moderado"),CONCATENATE("R",'Mapa final'!$A$17),"")</f>
        <v/>
      </c>
      <c r="AA22" s="541"/>
      <c r="AB22" s="581" t="str">
        <f ca="1">IF(AND('Mapa final'!$P$13="Media",'Mapa final'!$T$13="Mayor"),CONCATENATE("R",'Mapa final'!$A$13),"")</f>
        <v/>
      </c>
      <c r="AC22" s="582"/>
      <c r="AD22" s="582" t="str">
        <f ca="1">IF(AND('Mapa final'!$P$15="Media",'Mapa final'!$T$15="Mayor"),CONCATENATE("R",'Mapa final'!$A$15),"")</f>
        <v/>
      </c>
      <c r="AE22" s="582"/>
      <c r="AF22" s="582" t="str">
        <f ca="1">IF(AND('Mapa final'!$P$17="Media",'Mapa final'!$T$17="Mayor"),CONCATENATE("R",'Mapa final'!$A$17),"")</f>
        <v/>
      </c>
      <c r="AG22" s="584"/>
      <c r="AH22" s="596" t="str">
        <f ca="1">IF(AND('Mapa final'!$P$13="Media",'Mapa final'!$T$13="Catastrófico"),CONCATENATE("R",'Mapa final'!$A$13),"")</f>
        <v/>
      </c>
      <c r="AI22" s="597"/>
      <c r="AJ22" s="597" t="str">
        <f ca="1">IF(AND('Mapa final'!$P$15="Media",'Mapa final'!$T$15="Catastrófico"),CONCATENATE("R",'Mapa final'!$A$15),"")</f>
        <v/>
      </c>
      <c r="AK22" s="597"/>
      <c r="AL22" s="597" t="str">
        <f ca="1">IF(AND('Mapa final'!$P$17="Media",'Mapa final'!$T$17="Catastrófico"),CONCATENATE("R",'Mapa final'!$A$17),"")</f>
        <v/>
      </c>
      <c r="AM22" s="598"/>
      <c r="AN22" s="69"/>
      <c r="AO22" s="563" t="s">
        <v>134</v>
      </c>
      <c r="AP22" s="564"/>
      <c r="AQ22" s="564"/>
      <c r="AR22" s="564"/>
      <c r="AS22" s="564"/>
      <c r="AT22" s="565"/>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c r="BY22" s="69"/>
      <c r="BZ22" s="69"/>
      <c r="CA22" s="69"/>
      <c r="CB22" s="69"/>
    </row>
    <row r="23" spans="1:80" x14ac:dyDescent="0.25">
      <c r="A23" s="69"/>
      <c r="B23" s="537"/>
      <c r="C23" s="537"/>
      <c r="D23" s="538"/>
      <c r="E23" s="529"/>
      <c r="F23" s="530"/>
      <c r="G23" s="530"/>
      <c r="H23" s="530"/>
      <c r="I23" s="531"/>
      <c r="J23" s="543"/>
      <c r="K23" s="540"/>
      <c r="L23" s="540"/>
      <c r="M23" s="540"/>
      <c r="N23" s="540"/>
      <c r="O23" s="542"/>
      <c r="P23" s="543"/>
      <c r="Q23" s="540"/>
      <c r="R23" s="540"/>
      <c r="S23" s="540"/>
      <c r="T23" s="540"/>
      <c r="U23" s="542"/>
      <c r="V23" s="543"/>
      <c r="W23" s="540"/>
      <c r="X23" s="540"/>
      <c r="Y23" s="540"/>
      <c r="Z23" s="540"/>
      <c r="AA23" s="542"/>
      <c r="AB23" s="583"/>
      <c r="AC23" s="535"/>
      <c r="AD23" s="535"/>
      <c r="AE23" s="535"/>
      <c r="AF23" s="535"/>
      <c r="AG23" s="536"/>
      <c r="AH23" s="590"/>
      <c r="AI23" s="591"/>
      <c r="AJ23" s="591"/>
      <c r="AK23" s="591"/>
      <c r="AL23" s="591"/>
      <c r="AM23" s="592"/>
      <c r="AN23" s="69"/>
      <c r="AO23" s="566"/>
      <c r="AP23" s="567"/>
      <c r="AQ23" s="567"/>
      <c r="AR23" s="567"/>
      <c r="AS23" s="567"/>
      <c r="AT23" s="568"/>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c r="BY23" s="69"/>
      <c r="BZ23" s="69"/>
      <c r="CA23" s="69"/>
      <c r="CB23" s="69"/>
    </row>
    <row r="24" spans="1:80" x14ac:dyDescent="0.25">
      <c r="A24" s="69"/>
      <c r="B24" s="537"/>
      <c r="C24" s="537"/>
      <c r="D24" s="538"/>
      <c r="E24" s="529"/>
      <c r="F24" s="530"/>
      <c r="G24" s="530"/>
      <c r="H24" s="530"/>
      <c r="I24" s="531"/>
      <c r="J24" s="543" t="str">
        <f ca="1">IF(AND('Mapa final'!$P$20="Media",'Mapa final'!$T$20="Leve"),CONCATENATE("R",'Mapa final'!$A$20),"")</f>
        <v/>
      </c>
      <c r="K24" s="540"/>
      <c r="L24" s="540" t="str">
        <f ca="1">IF(AND('Mapa final'!$P$22="Media",'Mapa final'!$T$22="Leve"),CONCATENATE("R",'Mapa final'!$A$22),"")</f>
        <v/>
      </c>
      <c r="M24" s="540"/>
      <c r="N24" s="540" t="str">
        <f ca="1">IF(AND('Mapa final'!$P$25="Media",'Mapa final'!$T$25="Leve"),CONCATENATE("R",'Mapa final'!$A$25),"")</f>
        <v/>
      </c>
      <c r="O24" s="542"/>
      <c r="P24" s="543" t="str">
        <f ca="1">IF(AND('Mapa final'!$P$20="Media",'Mapa final'!$T$20="Menor"),CONCATENATE("R",'Mapa final'!$A$20),"")</f>
        <v/>
      </c>
      <c r="Q24" s="540"/>
      <c r="R24" s="540" t="str">
        <f ca="1">IF(AND('Mapa final'!$P$22="Media",'Mapa final'!$T$22="Menor"),CONCATENATE("R",'Mapa final'!$A$22),"")</f>
        <v/>
      </c>
      <c r="S24" s="540"/>
      <c r="T24" s="540" t="str">
        <f ca="1">IF(AND('Mapa final'!$P$25="Media",'Mapa final'!$T$25="Menor"),CONCATENATE("R",'Mapa final'!$A$25),"")</f>
        <v/>
      </c>
      <c r="U24" s="542"/>
      <c r="V24" s="543" t="str">
        <f ca="1">IF(AND('Mapa final'!$P$20="Media",'Mapa final'!$T$20="Moderado"),CONCATENATE("R",'Mapa final'!$A$20),"")</f>
        <v/>
      </c>
      <c r="W24" s="540"/>
      <c r="X24" s="540" t="str">
        <f ca="1">IF(AND('Mapa final'!$P$22="Media",'Mapa final'!$T$22="Moderado"),CONCATENATE("R",'Mapa final'!$A$22),"")</f>
        <v/>
      </c>
      <c r="Y24" s="540"/>
      <c r="Z24" s="540" t="str">
        <f ca="1">IF(AND('Mapa final'!$P$25="Media",'Mapa final'!$T$25="Moderado"),CONCATENATE("R",'Mapa final'!$A$25),"")</f>
        <v>R6</v>
      </c>
      <c r="AA24" s="542"/>
      <c r="AB24" s="583" t="str">
        <f ca="1">IF(AND('Mapa final'!$P$20="Media",'Mapa final'!$T$20="Mayor"),CONCATENATE("R",'Mapa final'!$A$20),"")</f>
        <v/>
      </c>
      <c r="AC24" s="535"/>
      <c r="AD24" s="535" t="str">
        <f ca="1">IF(AND('Mapa final'!$P$22="Media",'Mapa final'!$T$22="Mayor"),CONCATENATE("R",'Mapa final'!$A$22),"")</f>
        <v/>
      </c>
      <c r="AE24" s="535"/>
      <c r="AF24" s="535" t="str">
        <f ca="1">IF(AND('Mapa final'!$P$25="Media",'Mapa final'!$T$25="Mayor"),CONCATENATE("R",'Mapa final'!$A$25),"")</f>
        <v/>
      </c>
      <c r="AG24" s="536"/>
      <c r="AH24" s="590" t="str">
        <f ca="1">IF(AND('Mapa final'!$P$20="Media",'Mapa final'!$T$20="Catastrófico"),CONCATENATE("R",'Mapa final'!$A$20),"")</f>
        <v/>
      </c>
      <c r="AI24" s="591"/>
      <c r="AJ24" s="591" t="str">
        <f ca="1">IF(AND('Mapa final'!$P$22="Media",'Mapa final'!$T$22="Catastrófico"),CONCATENATE("R",'Mapa final'!$A$22),"")</f>
        <v/>
      </c>
      <c r="AK24" s="591"/>
      <c r="AL24" s="591" t="str">
        <f ca="1">IF(AND('Mapa final'!$P$25="Media",'Mapa final'!$T$25="Catastrófico"),CONCATENATE("R",'Mapa final'!$A$25),"")</f>
        <v/>
      </c>
      <c r="AM24" s="592"/>
      <c r="AN24" s="69"/>
      <c r="AO24" s="566"/>
      <c r="AP24" s="567"/>
      <c r="AQ24" s="567"/>
      <c r="AR24" s="567"/>
      <c r="AS24" s="567"/>
      <c r="AT24" s="568"/>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c r="BY24" s="69"/>
      <c r="BZ24" s="69"/>
      <c r="CA24" s="69"/>
      <c r="CB24" s="69"/>
    </row>
    <row r="25" spans="1:80" x14ac:dyDescent="0.25">
      <c r="A25" s="69"/>
      <c r="B25" s="537"/>
      <c r="C25" s="537"/>
      <c r="D25" s="538"/>
      <c r="E25" s="529"/>
      <c r="F25" s="530"/>
      <c r="G25" s="530"/>
      <c r="H25" s="530"/>
      <c r="I25" s="531"/>
      <c r="J25" s="543"/>
      <c r="K25" s="540"/>
      <c r="L25" s="540"/>
      <c r="M25" s="540"/>
      <c r="N25" s="540"/>
      <c r="O25" s="542"/>
      <c r="P25" s="543"/>
      <c r="Q25" s="540"/>
      <c r="R25" s="540"/>
      <c r="S25" s="540"/>
      <c r="T25" s="540"/>
      <c r="U25" s="542"/>
      <c r="V25" s="543"/>
      <c r="W25" s="540"/>
      <c r="X25" s="540"/>
      <c r="Y25" s="540"/>
      <c r="Z25" s="540"/>
      <c r="AA25" s="542"/>
      <c r="AB25" s="583"/>
      <c r="AC25" s="535"/>
      <c r="AD25" s="535"/>
      <c r="AE25" s="535"/>
      <c r="AF25" s="535"/>
      <c r="AG25" s="536"/>
      <c r="AH25" s="590"/>
      <c r="AI25" s="591"/>
      <c r="AJ25" s="591"/>
      <c r="AK25" s="591"/>
      <c r="AL25" s="591"/>
      <c r="AM25" s="592"/>
      <c r="AN25" s="69"/>
      <c r="AO25" s="566"/>
      <c r="AP25" s="567"/>
      <c r="AQ25" s="567"/>
      <c r="AR25" s="567"/>
      <c r="AS25" s="567"/>
      <c r="AT25" s="568"/>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c r="BY25" s="69"/>
      <c r="BZ25" s="69"/>
      <c r="CA25" s="69"/>
      <c r="CB25" s="69"/>
    </row>
    <row r="26" spans="1:80" x14ac:dyDescent="0.25">
      <c r="A26" s="69"/>
      <c r="B26" s="537"/>
      <c r="C26" s="537"/>
      <c r="D26" s="538"/>
      <c r="E26" s="529"/>
      <c r="F26" s="530"/>
      <c r="G26" s="530"/>
      <c r="H26" s="530"/>
      <c r="I26" s="531"/>
      <c r="J26" s="543" t="str">
        <f ca="1">IF(AND('Mapa final'!$P$27="Media",'Mapa final'!$T$27="Leve"),CONCATENATE("R",'Mapa final'!$B$27),"")</f>
        <v/>
      </c>
      <c r="K26" s="540"/>
      <c r="L26" s="540" t="str">
        <f ca="1">IF(AND('Mapa final'!$P$29="Media",'Mapa final'!$T$29="Leve"),CONCATENATE("R",'Mapa final'!$A$29),"")</f>
        <v/>
      </c>
      <c r="M26" s="540"/>
      <c r="N26" s="540" t="str">
        <f ca="1">IF(AND('Mapa final'!$P$33="Media",'Mapa final'!$T$33="Leve"),CONCATENATE("R",'Mapa final'!$A$33),"")</f>
        <v/>
      </c>
      <c r="O26" s="542"/>
      <c r="P26" s="543" t="str">
        <f ca="1">IF(AND('Mapa final'!$P$27="Media",'Mapa final'!$T$27="Menor"),CONCATENATE("R",'Mapa final'!$B$27),"")</f>
        <v/>
      </c>
      <c r="Q26" s="540"/>
      <c r="R26" s="540" t="str">
        <f ca="1">IF(AND('Mapa final'!$P$29="Media",'Mapa final'!$T$29="Menor"),CONCATENATE("R",'Mapa final'!$A$29),"")</f>
        <v/>
      </c>
      <c r="S26" s="540"/>
      <c r="T26" s="540" t="str">
        <f ca="1">IF(AND('Mapa final'!$P$33="Media",'Mapa final'!$T$33="Menor"),CONCATENATE("R",'Mapa final'!$A$33),"")</f>
        <v/>
      </c>
      <c r="U26" s="542"/>
      <c r="V26" s="543" t="str">
        <f ca="1">IF(AND('Mapa final'!$P$27="Media",'Mapa final'!$T$27="Moderado"),CONCATENATE("R",'Mapa final'!$B$27),"")</f>
        <v>ROAP_05</v>
      </c>
      <c r="W26" s="540"/>
      <c r="X26" s="540" t="str">
        <f ca="1">IF(AND('Mapa final'!$P$29="Media",'Mapa final'!$T$29="Moderado"),CONCATENATE("R",'Mapa final'!$A$29),"")</f>
        <v/>
      </c>
      <c r="Y26" s="540"/>
      <c r="Z26" s="540" t="str">
        <f ca="1">IF(AND('Mapa final'!$P$33="Media",'Mapa final'!$T$33="Moderado"),CONCATENATE("R",'Mapa final'!$A$33),"")</f>
        <v/>
      </c>
      <c r="AA26" s="542"/>
      <c r="AB26" s="583" t="str">
        <f ca="1">IF(AND('Mapa final'!$P$27="Media",'Mapa final'!$T$27="Mayor"),CONCATENATE("R",'Mapa final'!$B$27),"")</f>
        <v/>
      </c>
      <c r="AC26" s="535"/>
      <c r="AD26" s="535" t="str">
        <f ca="1">IF(AND('Mapa final'!$P$29="Media",'Mapa final'!$T$29="Mayor"),CONCATENATE("R",'Mapa final'!$A$29),"")</f>
        <v/>
      </c>
      <c r="AE26" s="535"/>
      <c r="AF26" s="535" t="str">
        <f ca="1">IF(AND('Mapa final'!$P$33="Media",'Mapa final'!$T$33="Mayor"),CONCATENATE("R",'Mapa final'!$A$33),"")</f>
        <v/>
      </c>
      <c r="AG26" s="536"/>
      <c r="AH26" s="590" t="str">
        <f ca="1">IF(AND('Mapa final'!$P$27="Media",'Mapa final'!$T$27="Catastrófico"),CONCATENATE("R",'Mapa final'!$B$27),"")</f>
        <v/>
      </c>
      <c r="AI26" s="591"/>
      <c r="AJ26" s="591" t="str">
        <f ca="1">IF(AND('Mapa final'!$P$29="Media",'Mapa final'!$T$29="Catastrófico"),CONCATENATE("R",'Mapa final'!$A$29),"")</f>
        <v/>
      </c>
      <c r="AK26" s="591"/>
      <c r="AL26" s="591" t="str">
        <f ca="1">IF(AND('Mapa final'!$P$33="Media",'Mapa final'!$T$33="Catastrófico"),CONCATENATE("R",'Mapa final'!$A$33),"")</f>
        <v>R9</v>
      </c>
      <c r="AM26" s="592"/>
      <c r="AN26" s="69"/>
      <c r="AO26" s="566"/>
      <c r="AP26" s="567"/>
      <c r="AQ26" s="567"/>
      <c r="AR26" s="567"/>
      <c r="AS26" s="567"/>
      <c r="AT26" s="568"/>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c r="BY26" s="69"/>
      <c r="BZ26" s="69"/>
      <c r="CA26" s="69"/>
      <c r="CB26" s="69"/>
    </row>
    <row r="27" spans="1:80" x14ac:dyDescent="0.25">
      <c r="A27" s="69"/>
      <c r="B27" s="537"/>
      <c r="C27" s="537"/>
      <c r="D27" s="538"/>
      <c r="E27" s="529"/>
      <c r="F27" s="530"/>
      <c r="G27" s="530"/>
      <c r="H27" s="530"/>
      <c r="I27" s="531"/>
      <c r="J27" s="543"/>
      <c r="K27" s="540"/>
      <c r="L27" s="540"/>
      <c r="M27" s="540"/>
      <c r="N27" s="540"/>
      <c r="O27" s="542"/>
      <c r="P27" s="543"/>
      <c r="Q27" s="540"/>
      <c r="R27" s="540"/>
      <c r="S27" s="540"/>
      <c r="T27" s="540"/>
      <c r="U27" s="542"/>
      <c r="V27" s="543"/>
      <c r="W27" s="540"/>
      <c r="X27" s="540"/>
      <c r="Y27" s="540"/>
      <c r="Z27" s="540"/>
      <c r="AA27" s="542"/>
      <c r="AB27" s="583"/>
      <c r="AC27" s="535"/>
      <c r="AD27" s="535"/>
      <c r="AE27" s="535"/>
      <c r="AF27" s="535"/>
      <c r="AG27" s="536"/>
      <c r="AH27" s="590"/>
      <c r="AI27" s="591"/>
      <c r="AJ27" s="591"/>
      <c r="AK27" s="591"/>
      <c r="AL27" s="591"/>
      <c r="AM27" s="592"/>
      <c r="AN27" s="69"/>
      <c r="AO27" s="566"/>
      <c r="AP27" s="567"/>
      <c r="AQ27" s="567"/>
      <c r="AR27" s="567"/>
      <c r="AS27" s="567"/>
      <c r="AT27" s="568"/>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c r="BY27" s="69"/>
      <c r="BZ27" s="69"/>
      <c r="CA27" s="69"/>
      <c r="CB27" s="69"/>
    </row>
    <row r="28" spans="1:80" x14ac:dyDescent="0.25">
      <c r="A28" s="69"/>
      <c r="B28" s="537"/>
      <c r="C28" s="537"/>
      <c r="D28" s="538"/>
      <c r="E28" s="529"/>
      <c r="F28" s="530"/>
      <c r="G28" s="530"/>
      <c r="H28" s="530"/>
      <c r="I28" s="531"/>
      <c r="J28" s="543" t="str">
        <f ca="1">IF(AND('Mapa final'!$P$38="Media",'Mapa final'!$T$38="Leve"),CONCATENATE("R",'Mapa final'!$A$38),"")</f>
        <v/>
      </c>
      <c r="K28" s="540"/>
      <c r="L28" s="540" t="str">
        <f>IF(AND('Mapa final'!$P$255="Media",'Mapa final'!$T$255="Leve"),CONCATENATE("R",'Mapa final'!$A$255),"")</f>
        <v/>
      </c>
      <c r="M28" s="540"/>
      <c r="N28" s="540" t="str">
        <f>IF(AND('Mapa final'!$P$261="Media",'Mapa final'!$T$261="Leve"),CONCATENATE("R",'Mapa final'!$A$261),"")</f>
        <v/>
      </c>
      <c r="O28" s="542"/>
      <c r="P28" s="543" t="str">
        <f ca="1">IF(AND('Mapa final'!$P$38="Media",'Mapa final'!$T$38="Menor"),CONCATENATE("R",'Mapa final'!$A$38),"")</f>
        <v/>
      </c>
      <c r="Q28" s="540"/>
      <c r="R28" s="540" t="str">
        <f>IF(AND('Mapa final'!$P$255="Media",'Mapa final'!$T$255="Menor"),CONCATENATE("R",'Mapa final'!$A$255),"")</f>
        <v/>
      </c>
      <c r="S28" s="540"/>
      <c r="T28" s="540" t="str">
        <f>IF(AND('Mapa final'!$P$261="Media",'Mapa final'!$T$261="Menor"),CONCATENATE("R",'Mapa final'!$A$261),"")</f>
        <v/>
      </c>
      <c r="U28" s="542"/>
      <c r="V28" s="543" t="str">
        <f ca="1">IF(AND('Mapa final'!$P$38="Media",'Mapa final'!$T$38="Moderado"),CONCATENATE("R",'Mapa final'!$A$38),"")</f>
        <v/>
      </c>
      <c r="W28" s="540"/>
      <c r="X28" s="540" t="str">
        <f>IF(AND('Mapa final'!$P$255="Media",'Mapa final'!$T$255="Moderado"),CONCATENATE("R",'Mapa final'!$A$255),"")</f>
        <v/>
      </c>
      <c r="Y28" s="540"/>
      <c r="Z28" s="540" t="str">
        <f>IF(AND('Mapa final'!$P$261="Media",'Mapa final'!$T$261="Moderado"),CONCATENATE("R",'Mapa final'!$A$261),"")</f>
        <v/>
      </c>
      <c r="AA28" s="542"/>
      <c r="AB28" s="583" t="str">
        <f ca="1">IF(AND('Mapa final'!$P$38="Media",'Mapa final'!$T$38="Mayor"),CONCATENATE("R",'Mapa final'!$A$38),"")</f>
        <v/>
      </c>
      <c r="AC28" s="535"/>
      <c r="AD28" s="535" t="str">
        <f>IF(AND('Mapa final'!$P$255="Media",'Mapa final'!$T$255="Mayor"),CONCATENATE("R",'Mapa final'!$A$255),"")</f>
        <v/>
      </c>
      <c r="AE28" s="535"/>
      <c r="AF28" s="535" t="str">
        <f>IF(AND('Mapa final'!$P$261="Media",'Mapa final'!$T$261="Mayor"),CONCATENATE("R",'Mapa final'!$A$261),"")</f>
        <v/>
      </c>
      <c r="AG28" s="536"/>
      <c r="AH28" s="590" t="str">
        <f ca="1">IF(AND('Mapa final'!$P$38="Media",'Mapa final'!$T$38="Catastrófico"),CONCATENATE("R",'Mapa final'!$A$38),"")</f>
        <v/>
      </c>
      <c r="AI28" s="591"/>
      <c r="AJ28" s="591" t="str">
        <f>IF(AND('Mapa final'!$P$255="Media",'Mapa final'!$T$255="Catastrófico"),CONCATENATE("R",'Mapa final'!$A$255),"")</f>
        <v/>
      </c>
      <c r="AK28" s="591"/>
      <c r="AL28" s="591" t="str">
        <f>IF(AND('Mapa final'!$P$261="Media",'Mapa final'!$T$261="Catastrófico"),CONCATENATE("R",'Mapa final'!$A$261),"")</f>
        <v/>
      </c>
      <c r="AM28" s="592"/>
      <c r="AN28" s="69"/>
      <c r="AO28" s="566"/>
      <c r="AP28" s="567"/>
      <c r="AQ28" s="567"/>
      <c r="AR28" s="567"/>
      <c r="AS28" s="567"/>
      <c r="AT28" s="568"/>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c r="BY28" s="69"/>
      <c r="BZ28" s="69"/>
      <c r="CA28" s="69"/>
      <c r="CB28" s="69"/>
    </row>
    <row r="29" spans="1:80" ht="15.75" thickBot="1" x14ac:dyDescent="0.3">
      <c r="A29" s="69"/>
      <c r="B29" s="537"/>
      <c r="C29" s="537"/>
      <c r="D29" s="538"/>
      <c r="E29" s="532"/>
      <c r="F29" s="533"/>
      <c r="G29" s="533"/>
      <c r="H29" s="533"/>
      <c r="I29" s="534"/>
      <c r="J29" s="543"/>
      <c r="K29" s="540"/>
      <c r="L29" s="540"/>
      <c r="M29" s="540"/>
      <c r="N29" s="540"/>
      <c r="O29" s="542"/>
      <c r="P29" s="599"/>
      <c r="Q29" s="600"/>
      <c r="R29" s="600"/>
      <c r="S29" s="600"/>
      <c r="T29" s="600"/>
      <c r="U29" s="601"/>
      <c r="V29" s="599"/>
      <c r="W29" s="600"/>
      <c r="X29" s="600"/>
      <c r="Y29" s="600"/>
      <c r="Z29" s="600"/>
      <c r="AA29" s="601"/>
      <c r="AB29" s="587"/>
      <c r="AC29" s="588"/>
      <c r="AD29" s="588"/>
      <c r="AE29" s="588"/>
      <c r="AF29" s="588"/>
      <c r="AG29" s="589"/>
      <c r="AH29" s="593"/>
      <c r="AI29" s="594"/>
      <c r="AJ29" s="594"/>
      <c r="AK29" s="594"/>
      <c r="AL29" s="594"/>
      <c r="AM29" s="595"/>
      <c r="AN29" s="69"/>
      <c r="AO29" s="569"/>
      <c r="AP29" s="570"/>
      <c r="AQ29" s="570"/>
      <c r="AR29" s="570"/>
      <c r="AS29" s="570"/>
      <c r="AT29" s="571"/>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c r="BY29" s="69"/>
      <c r="BZ29" s="69"/>
      <c r="CA29" s="69"/>
      <c r="CB29" s="69"/>
    </row>
    <row r="30" spans="1:80" x14ac:dyDescent="0.25">
      <c r="A30" s="69"/>
      <c r="B30" s="537"/>
      <c r="C30" s="537"/>
      <c r="D30" s="538"/>
      <c r="E30" s="526" t="s">
        <v>135</v>
      </c>
      <c r="F30" s="527"/>
      <c r="G30" s="527"/>
      <c r="H30" s="527"/>
      <c r="I30" s="527"/>
      <c r="J30" s="608" t="str">
        <f ca="1">IF(AND('Mapa final'!$P$13="Baja",'Mapa final'!$T$13="Leve"),CONCATENATE("R",'Mapa final'!$A$13),"")</f>
        <v/>
      </c>
      <c r="K30" s="609"/>
      <c r="L30" s="609" t="str">
        <f ca="1">IF(AND('Mapa final'!$P$15="Baja",'Mapa final'!$T$15="Leve"),CONCATENATE("R",'Mapa final'!$A$15),"")</f>
        <v/>
      </c>
      <c r="M30" s="609"/>
      <c r="N30" s="609" t="str">
        <f ca="1">IF(AND('Mapa final'!$P$17="Baja",'Mapa final'!$T$17="Leve"),CONCATENATE("R",'Mapa final'!$A$17),"")</f>
        <v/>
      </c>
      <c r="O30" s="610"/>
      <c r="P30" s="539" t="str">
        <f ca="1">IF(AND('Mapa final'!$P$13="Baja",'Mapa final'!$T$13="Menor"),CONCATENATE("R",'Mapa final'!$A$13),"")</f>
        <v/>
      </c>
      <c r="Q30" s="539"/>
      <c r="R30" s="539" t="str">
        <f ca="1">IF(AND('Mapa final'!$P$15="Baja",'Mapa final'!$T$15="Menor"),CONCATENATE("R",'Mapa final'!$A$15),"")</f>
        <v/>
      </c>
      <c r="S30" s="539"/>
      <c r="T30" s="539" t="str">
        <f ca="1">IF(AND('Mapa final'!$P$17="Baja",'Mapa final'!$T$17="Menor"),CONCATENATE("R",'Mapa final'!$A$17),"")</f>
        <v/>
      </c>
      <c r="U30" s="541"/>
      <c r="V30" s="544" t="str">
        <f ca="1">IF(AND('Mapa final'!$P$13="Baja",'Mapa final'!$T$13="Moderado"),CONCATENATE("R",'Mapa final'!$A$13),"")</f>
        <v/>
      </c>
      <c r="W30" s="539"/>
      <c r="X30" s="539" t="str">
        <f ca="1">IF(AND('Mapa final'!$P$15="Baja",'Mapa final'!$T$15="Moderado"),CONCATENATE("R",'Mapa final'!$A$15),"")</f>
        <v/>
      </c>
      <c r="Y30" s="539"/>
      <c r="Z30" s="539" t="str">
        <f ca="1">IF(AND('Mapa final'!$P$17="Baja",'Mapa final'!$T$17="Moderado"),CONCATENATE("R",'Mapa final'!$A$17),"")</f>
        <v/>
      </c>
      <c r="AA30" s="541"/>
      <c r="AB30" s="581" t="str">
        <f ca="1">IF(AND('Mapa final'!$P$13="Baja",'Mapa final'!$T$13="Mayor"),CONCATENATE("R",'Mapa final'!$A$13),"")</f>
        <v/>
      </c>
      <c r="AC30" s="582"/>
      <c r="AD30" s="582" t="str">
        <f ca="1">IF(AND('Mapa final'!$P$15="Baja",'Mapa final'!$T$15="Mayor"),CONCATENATE("R",'Mapa final'!$A$15),"")</f>
        <v/>
      </c>
      <c r="AE30" s="582"/>
      <c r="AF30" s="582" t="str">
        <f ca="1">IF(AND('Mapa final'!$P$17="Baja",'Mapa final'!$T$17="Mayor"),CONCATENATE("R",'Mapa final'!$A$17),"")</f>
        <v/>
      </c>
      <c r="AG30" s="584"/>
      <c r="AH30" s="596" t="str">
        <f ca="1">IF(AND('Mapa final'!$P$13="Baja",'Mapa final'!$T$13="Catastrófico"),CONCATENATE("R",'Mapa final'!$A$13),"")</f>
        <v/>
      </c>
      <c r="AI30" s="597"/>
      <c r="AJ30" s="597" t="str">
        <f ca="1">IF(AND('Mapa final'!$P$15="Baja",'Mapa final'!$T$15="Catastrófico"),CONCATENATE("R",'Mapa final'!$A$15),"")</f>
        <v/>
      </c>
      <c r="AK30" s="597"/>
      <c r="AL30" s="597" t="str">
        <f ca="1">IF(AND('Mapa final'!$P$17="Baja",'Mapa final'!$T$17="Catastrófico"),CONCATENATE("R",'Mapa final'!$A$17),"")</f>
        <v/>
      </c>
      <c r="AM30" s="598"/>
      <c r="AN30" s="69"/>
      <c r="AO30" s="572" t="s">
        <v>136</v>
      </c>
      <c r="AP30" s="573"/>
      <c r="AQ30" s="573"/>
      <c r="AR30" s="573"/>
      <c r="AS30" s="573"/>
      <c r="AT30" s="574"/>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c r="BY30" s="69"/>
      <c r="BZ30" s="69"/>
      <c r="CA30" s="69"/>
      <c r="CB30" s="69"/>
    </row>
    <row r="31" spans="1:80" x14ac:dyDescent="0.25">
      <c r="A31" s="69"/>
      <c r="B31" s="537"/>
      <c r="C31" s="537"/>
      <c r="D31" s="538"/>
      <c r="E31" s="529"/>
      <c r="F31" s="530"/>
      <c r="G31" s="530"/>
      <c r="H31" s="530"/>
      <c r="I31" s="530"/>
      <c r="J31" s="604"/>
      <c r="K31" s="602"/>
      <c r="L31" s="602"/>
      <c r="M31" s="602"/>
      <c r="N31" s="602"/>
      <c r="O31" s="603"/>
      <c r="P31" s="540"/>
      <c r="Q31" s="540"/>
      <c r="R31" s="540"/>
      <c r="S31" s="540"/>
      <c r="T31" s="540"/>
      <c r="U31" s="542"/>
      <c r="V31" s="543"/>
      <c r="W31" s="540"/>
      <c r="X31" s="540"/>
      <c r="Y31" s="540"/>
      <c r="Z31" s="540"/>
      <c r="AA31" s="542"/>
      <c r="AB31" s="583"/>
      <c r="AC31" s="535"/>
      <c r="AD31" s="535"/>
      <c r="AE31" s="535"/>
      <c r="AF31" s="535"/>
      <c r="AG31" s="536"/>
      <c r="AH31" s="590"/>
      <c r="AI31" s="591"/>
      <c r="AJ31" s="591"/>
      <c r="AK31" s="591"/>
      <c r="AL31" s="591"/>
      <c r="AM31" s="592"/>
      <c r="AN31" s="69"/>
      <c r="AO31" s="575"/>
      <c r="AP31" s="576"/>
      <c r="AQ31" s="576"/>
      <c r="AR31" s="576"/>
      <c r="AS31" s="576"/>
      <c r="AT31" s="577"/>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c r="BY31" s="69"/>
      <c r="BZ31" s="69"/>
      <c r="CA31" s="69"/>
      <c r="CB31" s="69"/>
    </row>
    <row r="32" spans="1:80" x14ac:dyDescent="0.25">
      <c r="A32" s="69"/>
      <c r="B32" s="537"/>
      <c r="C32" s="537"/>
      <c r="D32" s="538"/>
      <c r="E32" s="529"/>
      <c r="F32" s="530"/>
      <c r="G32" s="530"/>
      <c r="H32" s="530"/>
      <c r="I32" s="530"/>
      <c r="J32" s="604" t="str">
        <f ca="1">IF(AND('Mapa final'!$P$20="Baja",'Mapa final'!$T$20="Leve"),CONCATENATE("R",'Mapa final'!$A$20),"")</f>
        <v/>
      </c>
      <c r="K32" s="602"/>
      <c r="L32" s="602" t="str">
        <f ca="1">IF(AND('Mapa final'!$P$22="Baja",'Mapa final'!$T$22="Leve"),CONCATENATE("R",'Mapa final'!$A$22),"")</f>
        <v/>
      </c>
      <c r="M32" s="602"/>
      <c r="N32" s="602" t="str">
        <f ca="1">IF(AND('Mapa final'!$P$25="Baja",'Mapa final'!$T$25="Leve"),CONCATENATE("R",'Mapa final'!$A$25),"")</f>
        <v/>
      </c>
      <c r="O32" s="603"/>
      <c r="P32" s="540" t="str">
        <f ca="1">IF(AND('Mapa final'!$P$20="Baja",'Mapa final'!$T$20="Menor"),CONCATENATE("R",'Mapa final'!$A$20),"")</f>
        <v/>
      </c>
      <c r="Q32" s="540"/>
      <c r="R32" s="540" t="str">
        <f ca="1">IF(AND('Mapa final'!$P$22="Baja",'Mapa final'!$T$22="Menor"),CONCATENATE("R",'Mapa final'!$A$22),"")</f>
        <v/>
      </c>
      <c r="S32" s="540"/>
      <c r="T32" s="540" t="str">
        <f ca="1">IF(AND('Mapa final'!$P$25="Baja",'Mapa final'!$T$25="Menor"),CONCATENATE("R",'Mapa final'!$A$25),"")</f>
        <v/>
      </c>
      <c r="U32" s="542"/>
      <c r="V32" s="543" t="str">
        <f ca="1">IF(AND('Mapa final'!$P$20="Baja",'Mapa final'!$T$20="Moderado"),CONCATENATE("R",'Mapa final'!$A$20),"")</f>
        <v>R4</v>
      </c>
      <c r="W32" s="540"/>
      <c r="X32" s="540" t="str">
        <f ca="1">IF(AND('Mapa final'!$P$22="Baja",'Mapa final'!$T$22="Moderado"),CONCATENATE("R",'Mapa final'!$A$22),"")</f>
        <v/>
      </c>
      <c r="Y32" s="540"/>
      <c r="Z32" s="540" t="str">
        <f ca="1">IF(AND('Mapa final'!$P$25="Baja",'Mapa final'!$T$25="Moderado"),CONCATENATE("R",'Mapa final'!$A$25),"")</f>
        <v/>
      </c>
      <c r="AA32" s="542"/>
      <c r="AB32" s="583" t="str">
        <f ca="1">IF(AND('Mapa final'!$P$20="Baja",'Mapa final'!$T$20="Mayor"),CONCATENATE("R",'Mapa final'!$A$20),"")</f>
        <v/>
      </c>
      <c r="AC32" s="535"/>
      <c r="AD32" s="535" t="str">
        <f ca="1">IF(AND('Mapa final'!$P$22="Baja",'Mapa final'!$T$22="Mayor"),CONCATENATE("R",'Mapa final'!$A$22),"")</f>
        <v/>
      </c>
      <c r="AE32" s="535"/>
      <c r="AF32" s="535" t="str">
        <f ca="1">IF(AND('Mapa final'!$P$25="Baja",'Mapa final'!$T$25="Mayor"),CONCATENATE("R",'Mapa final'!$A$25),"")</f>
        <v/>
      </c>
      <c r="AG32" s="536"/>
      <c r="AH32" s="590" t="str">
        <f ca="1">IF(AND('Mapa final'!$P$20="Baja",'Mapa final'!$T$20="Catastrófico"),CONCATENATE("R",'Mapa final'!$A$20),"")</f>
        <v/>
      </c>
      <c r="AI32" s="591"/>
      <c r="AJ32" s="591" t="str">
        <f ca="1">IF(AND('Mapa final'!$P$22="Baja",'Mapa final'!$T$22="Catastrófico"),CONCATENATE("R",'Mapa final'!$A$22),"")</f>
        <v/>
      </c>
      <c r="AK32" s="591"/>
      <c r="AL32" s="591" t="str">
        <f ca="1">IF(AND('Mapa final'!$P$25="Baja",'Mapa final'!$T$25="Catastrófico"),CONCATENATE("R",'Mapa final'!$A$25),"")</f>
        <v/>
      </c>
      <c r="AM32" s="592"/>
      <c r="AN32" s="69"/>
      <c r="AO32" s="575"/>
      <c r="AP32" s="576"/>
      <c r="AQ32" s="576"/>
      <c r="AR32" s="576"/>
      <c r="AS32" s="576"/>
      <c r="AT32" s="577"/>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c r="BY32" s="69"/>
      <c r="BZ32" s="69"/>
      <c r="CA32" s="69"/>
      <c r="CB32" s="69"/>
    </row>
    <row r="33" spans="1:80" x14ac:dyDescent="0.25">
      <c r="A33" s="69"/>
      <c r="B33" s="537"/>
      <c r="C33" s="537"/>
      <c r="D33" s="538"/>
      <c r="E33" s="529"/>
      <c r="F33" s="530"/>
      <c r="G33" s="530"/>
      <c r="H33" s="530"/>
      <c r="I33" s="530"/>
      <c r="J33" s="604"/>
      <c r="K33" s="602"/>
      <c r="L33" s="602"/>
      <c r="M33" s="602"/>
      <c r="N33" s="602"/>
      <c r="O33" s="603"/>
      <c r="P33" s="540"/>
      <c r="Q33" s="540"/>
      <c r="R33" s="540"/>
      <c r="S33" s="540"/>
      <c r="T33" s="540"/>
      <c r="U33" s="542"/>
      <c r="V33" s="543"/>
      <c r="W33" s="540"/>
      <c r="X33" s="540"/>
      <c r="Y33" s="540"/>
      <c r="Z33" s="540"/>
      <c r="AA33" s="542"/>
      <c r="AB33" s="583"/>
      <c r="AC33" s="535"/>
      <c r="AD33" s="535"/>
      <c r="AE33" s="535"/>
      <c r="AF33" s="535"/>
      <c r="AG33" s="536"/>
      <c r="AH33" s="590"/>
      <c r="AI33" s="591"/>
      <c r="AJ33" s="591"/>
      <c r="AK33" s="591"/>
      <c r="AL33" s="591"/>
      <c r="AM33" s="592"/>
      <c r="AN33" s="69"/>
      <c r="AO33" s="575"/>
      <c r="AP33" s="576"/>
      <c r="AQ33" s="576"/>
      <c r="AR33" s="576"/>
      <c r="AS33" s="576"/>
      <c r="AT33" s="577"/>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c r="BY33" s="69"/>
      <c r="BZ33" s="69"/>
      <c r="CA33" s="69"/>
      <c r="CB33" s="69"/>
    </row>
    <row r="34" spans="1:80" x14ac:dyDescent="0.25">
      <c r="A34" s="69"/>
      <c r="B34" s="537"/>
      <c r="C34" s="537"/>
      <c r="D34" s="538"/>
      <c r="E34" s="529"/>
      <c r="F34" s="530"/>
      <c r="G34" s="530"/>
      <c r="H34" s="530"/>
      <c r="I34" s="530"/>
      <c r="J34" s="604" t="str">
        <f ca="1">IF(AND('Mapa final'!$P$27="Baja",'Mapa final'!$T$27="Leve"),CONCATENATE("R",'Mapa final'!$B$27),"")</f>
        <v/>
      </c>
      <c r="K34" s="602"/>
      <c r="L34" s="602" t="str">
        <f ca="1">IF(AND('Mapa final'!$P$29="Baja",'Mapa final'!$T$29="Leve"),CONCATENATE("R",'Mapa final'!$A$29),"")</f>
        <v/>
      </c>
      <c r="M34" s="602"/>
      <c r="N34" s="602" t="str">
        <f ca="1">IF(AND('Mapa final'!$P$33="Baja",'Mapa final'!$T$33="Leve"),CONCATENATE("R",'Mapa final'!$A$33),"")</f>
        <v/>
      </c>
      <c r="O34" s="603"/>
      <c r="P34" s="540" t="str">
        <f ca="1">IF(AND('Mapa final'!$P$27="Baja",'Mapa final'!$T$27="Menor"),CONCATENATE("R",'Mapa final'!$B$27),"")</f>
        <v/>
      </c>
      <c r="Q34" s="540"/>
      <c r="R34" s="540" t="str">
        <f ca="1">IF(AND('Mapa final'!$P$29="Baja",'Mapa final'!$T$29="Menor"),CONCATENATE("R",'Mapa final'!$A$29),"")</f>
        <v/>
      </c>
      <c r="S34" s="540"/>
      <c r="T34" s="540" t="str">
        <f ca="1">IF(AND('Mapa final'!$P$33="Baja",'Mapa final'!$T$33="Menor"),CONCATENATE("R",'Mapa final'!$A$33),"")</f>
        <v/>
      </c>
      <c r="U34" s="542"/>
      <c r="V34" s="543" t="str">
        <f ca="1">IF(AND('Mapa final'!$P$27="Baja",'Mapa final'!$T$27="Moderado"),CONCATENATE("R",'Mapa final'!$B$27),"")</f>
        <v/>
      </c>
      <c r="W34" s="540"/>
      <c r="X34" s="540" t="str">
        <f ca="1">IF(AND('Mapa final'!$P$29="Baja",'Mapa final'!$T$29="Moderado"),CONCATENATE("R",'Mapa final'!$A$29),"")</f>
        <v/>
      </c>
      <c r="Y34" s="540"/>
      <c r="Z34" s="540" t="str">
        <f ca="1">IF(AND('Mapa final'!$P$33="Baja",'Mapa final'!$T$33="Moderado"),CONCATENATE("R",'Mapa final'!$A$33),"")</f>
        <v/>
      </c>
      <c r="AA34" s="542"/>
      <c r="AB34" s="583" t="str">
        <f ca="1">IF(AND('Mapa final'!$P$27="Baja",'Mapa final'!$T$27="Mayor"),CONCATENATE("R",'Mapa final'!$B$27),"")</f>
        <v/>
      </c>
      <c r="AC34" s="535"/>
      <c r="AD34" s="535" t="str">
        <f ca="1">IF(AND('Mapa final'!$P$29="Baja",'Mapa final'!$T$29="Mayor"),CONCATENATE("R",'Mapa final'!$A$29),"")</f>
        <v/>
      </c>
      <c r="AE34" s="535"/>
      <c r="AF34" s="535" t="str">
        <f ca="1">IF(AND('Mapa final'!$P$33="Baja",'Mapa final'!$T$33="Mayor"),CONCATENATE("R",'Mapa final'!$A$33),"")</f>
        <v/>
      </c>
      <c r="AG34" s="536"/>
      <c r="AH34" s="590" t="str">
        <f ca="1">IF(AND('Mapa final'!$P$27="Baja",'Mapa final'!$T$27="Catastrófico"),CONCATENATE("R",'Mapa final'!$B$27),"")</f>
        <v/>
      </c>
      <c r="AI34" s="591"/>
      <c r="AJ34" s="591" t="str">
        <f ca="1">IF(AND('Mapa final'!$P$29="Baja",'Mapa final'!$T$29="Catastrófico"),CONCATENATE("R",'Mapa final'!$A$29),"")</f>
        <v/>
      </c>
      <c r="AK34" s="591"/>
      <c r="AL34" s="591" t="str">
        <f ca="1">IF(AND('Mapa final'!$P$33="Baja",'Mapa final'!$T$33="Catastrófico"),CONCATENATE("R",'Mapa final'!$A$33),"")</f>
        <v/>
      </c>
      <c r="AM34" s="592"/>
      <c r="AN34" s="69"/>
      <c r="AO34" s="575"/>
      <c r="AP34" s="576"/>
      <c r="AQ34" s="576"/>
      <c r="AR34" s="576"/>
      <c r="AS34" s="576"/>
      <c r="AT34" s="577"/>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c r="BY34" s="69"/>
      <c r="BZ34" s="69"/>
      <c r="CA34" s="69"/>
      <c r="CB34" s="69"/>
    </row>
    <row r="35" spans="1:80" x14ac:dyDescent="0.25">
      <c r="A35" s="69"/>
      <c r="B35" s="537"/>
      <c r="C35" s="537"/>
      <c r="D35" s="538"/>
      <c r="E35" s="529"/>
      <c r="F35" s="530"/>
      <c r="G35" s="530"/>
      <c r="H35" s="530"/>
      <c r="I35" s="530"/>
      <c r="J35" s="604"/>
      <c r="K35" s="602"/>
      <c r="L35" s="602"/>
      <c r="M35" s="602"/>
      <c r="N35" s="602"/>
      <c r="O35" s="603"/>
      <c r="P35" s="540"/>
      <c r="Q35" s="540"/>
      <c r="R35" s="540"/>
      <c r="S35" s="540"/>
      <c r="T35" s="540"/>
      <c r="U35" s="542"/>
      <c r="V35" s="543"/>
      <c r="W35" s="540"/>
      <c r="X35" s="540"/>
      <c r="Y35" s="540"/>
      <c r="Z35" s="540"/>
      <c r="AA35" s="542"/>
      <c r="AB35" s="583"/>
      <c r="AC35" s="535"/>
      <c r="AD35" s="535"/>
      <c r="AE35" s="535"/>
      <c r="AF35" s="535"/>
      <c r="AG35" s="536"/>
      <c r="AH35" s="590"/>
      <c r="AI35" s="591"/>
      <c r="AJ35" s="591"/>
      <c r="AK35" s="591"/>
      <c r="AL35" s="591"/>
      <c r="AM35" s="592"/>
      <c r="AN35" s="69"/>
      <c r="AO35" s="575"/>
      <c r="AP35" s="576"/>
      <c r="AQ35" s="576"/>
      <c r="AR35" s="576"/>
      <c r="AS35" s="576"/>
      <c r="AT35" s="577"/>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c r="BY35" s="69"/>
      <c r="BZ35" s="69"/>
      <c r="CA35" s="69"/>
      <c r="CB35" s="69"/>
    </row>
    <row r="36" spans="1:80" x14ac:dyDescent="0.25">
      <c r="A36" s="69"/>
      <c r="B36" s="537"/>
      <c r="C36" s="537"/>
      <c r="D36" s="538"/>
      <c r="E36" s="529"/>
      <c r="F36" s="530"/>
      <c r="G36" s="530"/>
      <c r="H36" s="530"/>
      <c r="I36" s="530"/>
      <c r="J36" s="604" t="str">
        <f ca="1">IF(AND('Mapa final'!$P$38="Baja",'Mapa final'!$T$38="Leve"),CONCATENATE("R",'Mapa final'!$A$38),"")</f>
        <v/>
      </c>
      <c r="K36" s="602"/>
      <c r="L36" s="602" t="str">
        <f>IF(AND('Mapa final'!$P$255="Baja",'Mapa final'!$T$255="Leve"),CONCATENATE("R",'Mapa final'!$A$255),"")</f>
        <v/>
      </c>
      <c r="M36" s="602"/>
      <c r="N36" s="602" t="str">
        <f>IF(AND('Mapa final'!$P$261="Baja",'Mapa final'!$T$261="Leve"),CONCATENATE("R",'Mapa final'!$A$261),"")</f>
        <v/>
      </c>
      <c r="O36" s="603"/>
      <c r="P36" s="540" t="str">
        <f ca="1">IF(AND('Mapa final'!$P$38="Baja",'Mapa final'!$T$38="Menor"),CONCATENATE("R",'Mapa final'!$A$38),"")</f>
        <v/>
      </c>
      <c r="Q36" s="540"/>
      <c r="R36" s="540" t="str">
        <f>IF(AND('Mapa final'!$P$255="Baja",'Mapa final'!$T$255="Menor"),CONCATENATE("R",'Mapa final'!$A$255),"")</f>
        <v/>
      </c>
      <c r="S36" s="540"/>
      <c r="T36" s="540" t="str">
        <f>IF(AND('Mapa final'!$P$261="Baja",'Mapa final'!$T$261="Menor"),CONCATENATE("R",'Mapa final'!$A$261),"")</f>
        <v/>
      </c>
      <c r="U36" s="542"/>
      <c r="V36" s="543" t="str">
        <f ca="1">IF(AND('Mapa final'!$P$38="Baja",'Mapa final'!$T$38="Moderado"),CONCATENATE("R",'Mapa final'!$A$38),"")</f>
        <v/>
      </c>
      <c r="W36" s="540"/>
      <c r="X36" s="540" t="str">
        <f>IF(AND('Mapa final'!$P$255="Baja",'Mapa final'!$T$255="Moderado"),CONCATENATE("R",'Mapa final'!$A$255),"")</f>
        <v/>
      </c>
      <c r="Y36" s="540"/>
      <c r="Z36" s="540" t="str">
        <f>IF(AND('Mapa final'!$P$261="Baja",'Mapa final'!$T$261="Moderado"),CONCATENATE("R",'Mapa final'!$A$261),"")</f>
        <v/>
      </c>
      <c r="AA36" s="542"/>
      <c r="AB36" s="583" t="str">
        <f ca="1">IF(AND('Mapa final'!$P$38="Baja",'Mapa final'!$T$38="Mayor"),CONCATENATE("R",'Mapa final'!$A$38),"")</f>
        <v/>
      </c>
      <c r="AC36" s="535"/>
      <c r="AD36" s="535" t="str">
        <f>IF(AND('Mapa final'!$P$255="Baja",'Mapa final'!$T$255="Mayor"),CONCATENATE("R",'Mapa final'!$A$255),"")</f>
        <v/>
      </c>
      <c r="AE36" s="535"/>
      <c r="AF36" s="535" t="str">
        <f>IF(AND('Mapa final'!$P$261="Baja",'Mapa final'!$T$261="Mayor"),CONCATENATE("R",'Mapa final'!$A$261),"")</f>
        <v/>
      </c>
      <c r="AG36" s="536"/>
      <c r="AH36" s="590" t="str">
        <f ca="1">IF(AND('Mapa final'!$P$38="Baja",'Mapa final'!$T$38="Catastrófico"),CONCATENATE("R",'Mapa final'!$A$38),"")</f>
        <v/>
      </c>
      <c r="AI36" s="591"/>
      <c r="AJ36" s="591" t="str">
        <f>IF(AND('Mapa final'!$P$255="Baja",'Mapa final'!$T$255="Catastrófico"),CONCATENATE("R",'Mapa final'!$A$255),"")</f>
        <v/>
      </c>
      <c r="AK36" s="591"/>
      <c r="AL36" s="591" t="str">
        <f>IF(AND('Mapa final'!$P$261="Baja",'Mapa final'!$T$261="Catastrófico"),CONCATENATE("R",'Mapa final'!$A$261),"")</f>
        <v/>
      </c>
      <c r="AM36" s="592"/>
      <c r="AN36" s="69"/>
      <c r="AO36" s="575"/>
      <c r="AP36" s="576"/>
      <c r="AQ36" s="576"/>
      <c r="AR36" s="576"/>
      <c r="AS36" s="576"/>
      <c r="AT36" s="577"/>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c r="BY36" s="69"/>
      <c r="BZ36" s="69"/>
      <c r="CA36" s="69"/>
      <c r="CB36" s="69"/>
    </row>
    <row r="37" spans="1:80" ht="15.75" thickBot="1" x14ac:dyDescent="0.3">
      <c r="A37" s="69"/>
      <c r="B37" s="537"/>
      <c r="C37" s="537"/>
      <c r="D37" s="538"/>
      <c r="E37" s="532"/>
      <c r="F37" s="533"/>
      <c r="G37" s="533"/>
      <c r="H37" s="533"/>
      <c r="I37" s="533"/>
      <c r="J37" s="605"/>
      <c r="K37" s="606"/>
      <c r="L37" s="606"/>
      <c r="M37" s="606"/>
      <c r="N37" s="606"/>
      <c r="O37" s="607"/>
      <c r="P37" s="600"/>
      <c r="Q37" s="600"/>
      <c r="R37" s="600"/>
      <c r="S37" s="600"/>
      <c r="T37" s="600"/>
      <c r="U37" s="601"/>
      <c r="V37" s="599"/>
      <c r="W37" s="600"/>
      <c r="X37" s="600"/>
      <c r="Y37" s="600"/>
      <c r="Z37" s="600"/>
      <c r="AA37" s="601"/>
      <c r="AB37" s="587"/>
      <c r="AC37" s="588"/>
      <c r="AD37" s="588"/>
      <c r="AE37" s="588"/>
      <c r="AF37" s="588"/>
      <c r="AG37" s="589"/>
      <c r="AH37" s="593"/>
      <c r="AI37" s="594"/>
      <c r="AJ37" s="594"/>
      <c r="AK37" s="594"/>
      <c r="AL37" s="594"/>
      <c r="AM37" s="595"/>
      <c r="AN37" s="69"/>
      <c r="AO37" s="578"/>
      <c r="AP37" s="579"/>
      <c r="AQ37" s="579"/>
      <c r="AR37" s="579"/>
      <c r="AS37" s="579"/>
      <c r="AT37" s="580"/>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c r="BY37" s="69"/>
      <c r="BZ37" s="69"/>
      <c r="CA37" s="69"/>
      <c r="CB37" s="69"/>
    </row>
    <row r="38" spans="1:80" x14ac:dyDescent="0.25">
      <c r="A38" s="69"/>
      <c r="B38" s="537"/>
      <c r="C38" s="537"/>
      <c r="D38" s="538"/>
      <c r="E38" s="526" t="s">
        <v>137</v>
      </c>
      <c r="F38" s="527"/>
      <c r="G38" s="527"/>
      <c r="H38" s="527"/>
      <c r="I38" s="528"/>
      <c r="J38" s="608" t="str">
        <f ca="1">IF(AND('Mapa final'!$P$13="Muy Baja",'Mapa final'!$T$13="Leve"),CONCATENATE("R",'Mapa final'!$A$13),"")</f>
        <v/>
      </c>
      <c r="K38" s="609"/>
      <c r="L38" s="609" t="str">
        <f ca="1">IF(AND('Mapa final'!$P$15="Muy Baja",'Mapa final'!$T$15="Leve"),CONCATENATE("R",'Mapa final'!$A$15),"")</f>
        <v/>
      </c>
      <c r="M38" s="609"/>
      <c r="N38" s="609" t="str">
        <f ca="1">IF(AND('Mapa final'!$P$17="Muy Baja",'Mapa final'!$T$17="Leve"),CONCATENATE("R",'Mapa final'!$A$17),"")</f>
        <v/>
      </c>
      <c r="O38" s="610"/>
      <c r="P38" s="608" t="str">
        <f ca="1">IF(AND('Mapa final'!$P$13="Muy Baja",'Mapa final'!$T$13="Menor"),CONCATENATE("R",'Mapa final'!$A$13),"")</f>
        <v/>
      </c>
      <c r="Q38" s="609"/>
      <c r="R38" s="609" t="str">
        <f ca="1">IF(AND('Mapa final'!$P$15="Muy Baja",'Mapa final'!$T$15="Menor"),CONCATENATE("R",'Mapa final'!$A$15),"")</f>
        <v/>
      </c>
      <c r="S38" s="609"/>
      <c r="T38" s="609" t="str">
        <f ca="1">IF(AND('Mapa final'!$P$17="Muy Baja",'Mapa final'!$T$17="Menor"),CONCATENATE("R",'Mapa final'!$A$17),"")</f>
        <v/>
      </c>
      <c r="U38" s="610"/>
      <c r="V38" s="544" t="str">
        <f ca="1">IF(AND('Mapa final'!$P$13="Muy Baja",'Mapa final'!$T$13="Moderado"),CONCATENATE("R",'Mapa final'!$A$13),"")</f>
        <v/>
      </c>
      <c r="W38" s="539"/>
      <c r="X38" s="539" t="str">
        <f ca="1">IF(AND('Mapa final'!$P$15="Muy Baja",'Mapa final'!$T$15="Moderado"),CONCATENATE("R",'Mapa final'!$A$15),"")</f>
        <v/>
      </c>
      <c r="Y38" s="539"/>
      <c r="Z38" s="539" t="str">
        <f ca="1">IF(AND('Mapa final'!$P$17="Muy Baja",'Mapa final'!$T$17="Moderado"),CONCATENATE("R",'Mapa final'!$A$17),"")</f>
        <v/>
      </c>
      <c r="AA38" s="541"/>
      <c r="AB38" s="581" t="str">
        <f ca="1">IF(AND('Mapa final'!$P$13="Muy Baja",'Mapa final'!$T$13="Mayor"),CONCATENATE("R",'Mapa final'!$A$13),"")</f>
        <v/>
      </c>
      <c r="AC38" s="582"/>
      <c r="AD38" s="582" t="str">
        <f ca="1">IF(AND('Mapa final'!$P$15="Muy Baja",'Mapa final'!$T$15="Mayor"),CONCATENATE("R",'Mapa final'!$A$15),"")</f>
        <v/>
      </c>
      <c r="AE38" s="582"/>
      <c r="AF38" s="582" t="str">
        <f ca="1">IF(AND('Mapa final'!$P$17="Muy Baja",'Mapa final'!$T$17="Mayor"),CONCATENATE("R",'Mapa final'!$A$17),"")</f>
        <v>R3</v>
      </c>
      <c r="AG38" s="584"/>
      <c r="AH38" s="596" t="str">
        <f ca="1">IF(AND('Mapa final'!$P$13="Muy Baja",'Mapa final'!$T$13="Catastrófico"),CONCATENATE("R",'Mapa final'!$A$13),"")</f>
        <v/>
      </c>
      <c r="AI38" s="597"/>
      <c r="AJ38" s="597" t="str">
        <f ca="1">IF(AND('Mapa final'!$P$15="Muy Baja",'Mapa final'!$T$15="Catastrófico"),CONCATENATE("R",'Mapa final'!$A$15),"")</f>
        <v/>
      </c>
      <c r="AK38" s="597"/>
      <c r="AL38" s="597" t="str">
        <f ca="1">IF(AND('Mapa final'!$P$17="Muy Baja",'Mapa final'!$T$17="Catastrófico"),CONCATENATE("R",'Mapa final'!$A$17),"")</f>
        <v/>
      </c>
      <c r="AM38" s="598"/>
      <c r="AN38" s="69"/>
      <c r="AO38" s="69"/>
      <c r="AP38" s="69"/>
      <c r="AQ38" s="69"/>
      <c r="AR38" s="69"/>
      <c r="AS38" s="69"/>
      <c r="AT38" s="69"/>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c r="BY38" s="69"/>
      <c r="BZ38" s="69"/>
      <c r="CA38" s="69"/>
      <c r="CB38" s="69"/>
    </row>
    <row r="39" spans="1:80" x14ac:dyDescent="0.25">
      <c r="A39" s="69"/>
      <c r="B39" s="537"/>
      <c r="C39" s="537"/>
      <c r="D39" s="538"/>
      <c r="E39" s="529"/>
      <c r="F39" s="530"/>
      <c r="G39" s="530"/>
      <c r="H39" s="530"/>
      <c r="I39" s="531"/>
      <c r="J39" s="604"/>
      <c r="K39" s="602"/>
      <c r="L39" s="602"/>
      <c r="M39" s="602"/>
      <c r="N39" s="602"/>
      <c r="O39" s="603"/>
      <c r="P39" s="604"/>
      <c r="Q39" s="602"/>
      <c r="R39" s="602"/>
      <c r="S39" s="602"/>
      <c r="T39" s="602"/>
      <c r="U39" s="603"/>
      <c r="V39" s="543"/>
      <c r="W39" s="540"/>
      <c r="X39" s="540"/>
      <c r="Y39" s="540"/>
      <c r="Z39" s="540"/>
      <c r="AA39" s="542"/>
      <c r="AB39" s="583"/>
      <c r="AC39" s="535"/>
      <c r="AD39" s="535"/>
      <c r="AE39" s="535"/>
      <c r="AF39" s="535"/>
      <c r="AG39" s="536"/>
      <c r="AH39" s="590"/>
      <c r="AI39" s="591"/>
      <c r="AJ39" s="591"/>
      <c r="AK39" s="591"/>
      <c r="AL39" s="591"/>
      <c r="AM39" s="592"/>
      <c r="AN39" s="69"/>
      <c r="AO39" s="69"/>
      <c r="AP39" s="69"/>
      <c r="AQ39" s="69"/>
      <c r="AR39" s="69"/>
      <c r="AS39" s="69"/>
      <c r="AT39" s="69"/>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c r="BY39" s="69"/>
      <c r="BZ39" s="69"/>
      <c r="CA39" s="69"/>
      <c r="CB39" s="69"/>
    </row>
    <row r="40" spans="1:80" x14ac:dyDescent="0.25">
      <c r="A40" s="69"/>
      <c r="B40" s="537"/>
      <c r="C40" s="537"/>
      <c r="D40" s="538"/>
      <c r="E40" s="529"/>
      <c r="F40" s="530"/>
      <c r="G40" s="530"/>
      <c r="H40" s="530"/>
      <c r="I40" s="531"/>
      <c r="J40" s="604" t="str">
        <f ca="1">IF(AND('Mapa final'!$P$20="Muy Baja",'Mapa final'!$T$20="Leve"),CONCATENATE("R",'Mapa final'!$A$20),"")</f>
        <v/>
      </c>
      <c r="K40" s="602"/>
      <c r="L40" s="602" t="str">
        <f ca="1">IF(AND('Mapa final'!$P$22="Muy Baja",'Mapa final'!$T$22="Leve"),CONCATENATE("R",'Mapa final'!$A$22),"")</f>
        <v/>
      </c>
      <c r="M40" s="602"/>
      <c r="N40" s="602" t="str">
        <f ca="1">IF(AND('Mapa final'!$P$25="Muy Baja",'Mapa final'!$T$25="Leve"),CONCATENATE("R",'Mapa final'!$A$25),"")</f>
        <v/>
      </c>
      <c r="O40" s="603"/>
      <c r="P40" s="604" t="str">
        <f ca="1">IF(AND('Mapa final'!$P$20="Muy Baja",'Mapa final'!$T$20="Menor"),CONCATENATE("R",'Mapa final'!$A$20),"")</f>
        <v/>
      </c>
      <c r="Q40" s="602"/>
      <c r="R40" s="602" t="str">
        <f ca="1">IF(AND('Mapa final'!$P$22="Muy Baja",'Mapa final'!$T$22="Menor"),CONCATENATE("R",'Mapa final'!$A$22),"")</f>
        <v/>
      </c>
      <c r="S40" s="602"/>
      <c r="T40" s="602" t="str">
        <f ca="1">IF(AND('Mapa final'!$P$25="Muy Baja",'Mapa final'!$T$25="Menor"),CONCATENATE("R",'Mapa final'!$A$25),"")</f>
        <v/>
      </c>
      <c r="U40" s="603"/>
      <c r="V40" s="543" t="str">
        <f ca="1">IF(AND('Mapa final'!$P$20="Muy Baja",'Mapa final'!$T$20="Moderado"),CONCATENATE("R",'Mapa final'!$A$20),"")</f>
        <v/>
      </c>
      <c r="W40" s="540"/>
      <c r="X40" s="540" t="str">
        <f ca="1">IF(AND('Mapa final'!$P$22="Muy Baja",'Mapa final'!$T$22="Moderado"),CONCATENATE("R",'Mapa final'!$A$22),"")</f>
        <v/>
      </c>
      <c r="Y40" s="540"/>
      <c r="Z40" s="540" t="str">
        <f ca="1">IF(AND('Mapa final'!$P$25="Muy Baja",'Mapa final'!$T$25="Moderado"),CONCATENATE("R",'Mapa final'!$A$25),"")</f>
        <v/>
      </c>
      <c r="AA40" s="542"/>
      <c r="AB40" s="583" t="str">
        <f ca="1">IF(AND('Mapa final'!$P$20="Muy Baja",'Mapa final'!$T$20="Mayor"),CONCATENATE("R",'Mapa final'!$A$20),"")</f>
        <v/>
      </c>
      <c r="AC40" s="535"/>
      <c r="AD40" s="535" t="str">
        <f ca="1">IF(AND('Mapa final'!$P$22="Muy Baja",'Mapa final'!$T$22="Mayor"),CONCATENATE("R",'Mapa final'!$A$22),"")</f>
        <v>R5</v>
      </c>
      <c r="AE40" s="535"/>
      <c r="AF40" s="535" t="str">
        <f ca="1">IF(AND('Mapa final'!$P$25="Muy Baja",'Mapa final'!$T$25="Mayor"),CONCATENATE("R",'Mapa final'!$A$25),"")</f>
        <v/>
      </c>
      <c r="AG40" s="536"/>
      <c r="AH40" s="590" t="str">
        <f ca="1">IF(AND('Mapa final'!$P$20="Muy Baja",'Mapa final'!$T$20="Catastrófico"),CONCATENATE("R",'Mapa final'!$A$20),"")</f>
        <v/>
      </c>
      <c r="AI40" s="591"/>
      <c r="AJ40" s="591" t="str">
        <f ca="1">IF(AND('Mapa final'!$P$22="Muy Baja",'Mapa final'!$T$22="Catastrófico"),CONCATENATE("R",'Mapa final'!$A$22),"")</f>
        <v/>
      </c>
      <c r="AK40" s="591"/>
      <c r="AL40" s="591" t="str">
        <f ca="1">IF(AND('Mapa final'!$P$25="Muy Baja",'Mapa final'!$T$25="Catastrófico"),CONCATENATE("R",'Mapa final'!$A$25),"")</f>
        <v/>
      </c>
      <c r="AM40" s="592"/>
      <c r="AN40" s="69"/>
      <c r="AO40" s="69"/>
      <c r="AP40" s="69"/>
      <c r="AQ40" s="69"/>
      <c r="AR40" s="69"/>
      <c r="AS40" s="69"/>
      <c r="AT40" s="69"/>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c r="BY40" s="69"/>
      <c r="BZ40" s="69"/>
      <c r="CA40" s="69"/>
      <c r="CB40" s="69"/>
    </row>
    <row r="41" spans="1:80" x14ac:dyDescent="0.25">
      <c r="A41" s="69"/>
      <c r="B41" s="537"/>
      <c r="C41" s="537"/>
      <c r="D41" s="538"/>
      <c r="E41" s="529"/>
      <c r="F41" s="530"/>
      <c r="G41" s="530"/>
      <c r="H41" s="530"/>
      <c r="I41" s="531"/>
      <c r="J41" s="604"/>
      <c r="K41" s="602"/>
      <c r="L41" s="602"/>
      <c r="M41" s="602"/>
      <c r="N41" s="602"/>
      <c r="O41" s="603"/>
      <c r="P41" s="604"/>
      <c r="Q41" s="602"/>
      <c r="R41" s="602"/>
      <c r="S41" s="602"/>
      <c r="T41" s="602"/>
      <c r="U41" s="603"/>
      <c r="V41" s="543"/>
      <c r="W41" s="540"/>
      <c r="X41" s="540"/>
      <c r="Y41" s="540"/>
      <c r="Z41" s="540"/>
      <c r="AA41" s="542"/>
      <c r="AB41" s="583"/>
      <c r="AC41" s="535"/>
      <c r="AD41" s="535"/>
      <c r="AE41" s="535"/>
      <c r="AF41" s="535"/>
      <c r="AG41" s="536"/>
      <c r="AH41" s="590"/>
      <c r="AI41" s="591"/>
      <c r="AJ41" s="591"/>
      <c r="AK41" s="591"/>
      <c r="AL41" s="591"/>
      <c r="AM41" s="592"/>
      <c r="AN41" s="69"/>
      <c r="AO41" s="69"/>
      <c r="AP41" s="69"/>
      <c r="AQ41" s="69"/>
      <c r="AR41" s="69"/>
      <c r="AS41" s="69"/>
      <c r="AT41" s="69"/>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c r="BY41" s="69"/>
      <c r="BZ41" s="69"/>
      <c r="CA41" s="69"/>
      <c r="CB41" s="69"/>
    </row>
    <row r="42" spans="1:80" x14ac:dyDescent="0.25">
      <c r="A42" s="69"/>
      <c r="B42" s="537"/>
      <c r="C42" s="537"/>
      <c r="D42" s="538"/>
      <c r="E42" s="529"/>
      <c r="F42" s="530"/>
      <c r="G42" s="530"/>
      <c r="H42" s="530"/>
      <c r="I42" s="531"/>
      <c r="J42" s="604" t="str">
        <f ca="1">IF(AND('Mapa final'!$P$27="Muy Baja",'Mapa final'!$T$27="Leve"),CONCATENATE("R",'Mapa final'!$B$27),"")</f>
        <v/>
      </c>
      <c r="K42" s="602"/>
      <c r="L42" s="602" t="str">
        <f ca="1">IF(AND('Mapa final'!$P$29="Muy Baja",'Mapa final'!$T$29="Leve"),CONCATENATE("R",'Mapa final'!$A$29),"")</f>
        <v/>
      </c>
      <c r="M42" s="602"/>
      <c r="N42" s="602" t="str">
        <f ca="1">IF(AND('Mapa final'!$P$33="Muy Baja",'Mapa final'!$T$33="Leve"),CONCATENATE("R",'Mapa final'!$A$33),"")</f>
        <v/>
      </c>
      <c r="O42" s="603"/>
      <c r="P42" s="604" t="str">
        <f ca="1">IF(AND('Mapa final'!$P$27="Muy Baja",'Mapa final'!$T$27="Menor"),CONCATENATE("R",'Mapa final'!$B$27),"")</f>
        <v/>
      </c>
      <c r="Q42" s="602"/>
      <c r="R42" s="602" t="str">
        <f ca="1">IF(AND('Mapa final'!$P$29="Muy Baja",'Mapa final'!$T$29="Menor"),CONCATENATE("R",'Mapa final'!$A$29),"")</f>
        <v/>
      </c>
      <c r="S42" s="602"/>
      <c r="T42" s="602" t="str">
        <f ca="1">IF(AND('Mapa final'!$P$33="Muy Baja",'Mapa final'!$T$33="Menor"),CONCATENATE("R",'Mapa final'!$A$33),"")</f>
        <v/>
      </c>
      <c r="U42" s="603"/>
      <c r="V42" s="543" t="str">
        <f ca="1">IF(AND('Mapa final'!$P$27="Muy Baja",'Mapa final'!$T$27="Moderado"),CONCATENATE("R",'Mapa final'!$B$27),"")</f>
        <v/>
      </c>
      <c r="W42" s="540"/>
      <c r="X42" s="540" t="str">
        <f ca="1">IF(AND('Mapa final'!$P$29="Muy Baja",'Mapa final'!$T$29="Moderado"),CONCATENATE("R",'Mapa final'!$A$29),"")</f>
        <v/>
      </c>
      <c r="Y42" s="540"/>
      <c r="Z42" s="540" t="str">
        <f ca="1">IF(AND('Mapa final'!$P$33="Muy Baja",'Mapa final'!$T$33="Moderado"),CONCATENATE("R",'Mapa final'!$A$33),"")</f>
        <v/>
      </c>
      <c r="AA42" s="542"/>
      <c r="AB42" s="583" t="str">
        <f ca="1">IF(AND('Mapa final'!$P$27="Muy Baja",'Mapa final'!$T$27="Mayor"),CONCATENATE("R",'Mapa final'!$B$27),"")</f>
        <v/>
      </c>
      <c r="AC42" s="535"/>
      <c r="AD42" s="535" t="str">
        <f ca="1">IF(AND('Mapa final'!$P$29="Muy Baja",'Mapa final'!$T$29="Mayor"),CONCATENATE("R",'Mapa final'!$A$29),"")</f>
        <v/>
      </c>
      <c r="AE42" s="535"/>
      <c r="AF42" s="535" t="str">
        <f ca="1">IF(AND('Mapa final'!$P$33="Muy Baja",'Mapa final'!$T$33="Mayor"),CONCATENATE("R",'Mapa final'!$A$33),"")</f>
        <v/>
      </c>
      <c r="AG42" s="536"/>
      <c r="AH42" s="590" t="str">
        <f ca="1">IF(AND('Mapa final'!$P$27="Muy Baja",'Mapa final'!$T$27="Catastrófico"),CONCATENATE("R",'Mapa final'!$B$27),"")</f>
        <v/>
      </c>
      <c r="AI42" s="591"/>
      <c r="AJ42" s="591" t="str">
        <f ca="1">IF(AND('Mapa final'!$P$29="Muy Baja",'Mapa final'!$T$29="Catastrófico"),CONCATENATE("R",'Mapa final'!$A$29),"")</f>
        <v/>
      </c>
      <c r="AK42" s="591"/>
      <c r="AL42" s="591" t="str">
        <f ca="1">IF(AND('Mapa final'!$P$33="Muy Baja",'Mapa final'!$T$33="Catastrófico"),CONCATENATE("R",'Mapa final'!$A$33),"")</f>
        <v/>
      </c>
      <c r="AM42" s="592"/>
      <c r="AN42" s="69"/>
      <c r="AO42" s="69"/>
      <c r="AP42" s="69"/>
      <c r="AQ42" s="69"/>
      <c r="AR42" s="69"/>
      <c r="AS42" s="69"/>
      <c r="AT42" s="69"/>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c r="BY42" s="69"/>
      <c r="BZ42" s="69"/>
      <c r="CA42" s="69"/>
      <c r="CB42" s="69"/>
    </row>
    <row r="43" spans="1:80" x14ac:dyDescent="0.25">
      <c r="A43" s="69"/>
      <c r="B43" s="537"/>
      <c r="C43" s="537"/>
      <c r="D43" s="538"/>
      <c r="E43" s="529"/>
      <c r="F43" s="530"/>
      <c r="G43" s="530"/>
      <c r="H43" s="530"/>
      <c r="I43" s="531"/>
      <c r="J43" s="604"/>
      <c r="K43" s="602"/>
      <c r="L43" s="602"/>
      <c r="M43" s="602"/>
      <c r="N43" s="602"/>
      <c r="O43" s="603"/>
      <c r="P43" s="604"/>
      <c r="Q43" s="602"/>
      <c r="R43" s="602"/>
      <c r="S43" s="602"/>
      <c r="T43" s="602"/>
      <c r="U43" s="603"/>
      <c r="V43" s="543"/>
      <c r="W43" s="540"/>
      <c r="X43" s="540"/>
      <c r="Y43" s="540"/>
      <c r="Z43" s="540"/>
      <c r="AA43" s="542"/>
      <c r="AB43" s="583"/>
      <c r="AC43" s="535"/>
      <c r="AD43" s="535"/>
      <c r="AE43" s="535"/>
      <c r="AF43" s="535"/>
      <c r="AG43" s="536"/>
      <c r="AH43" s="590"/>
      <c r="AI43" s="591"/>
      <c r="AJ43" s="591"/>
      <c r="AK43" s="591"/>
      <c r="AL43" s="591"/>
      <c r="AM43" s="592"/>
      <c r="AN43" s="69"/>
      <c r="AO43" s="69"/>
      <c r="AP43" s="69"/>
      <c r="AQ43" s="69"/>
      <c r="AR43" s="69"/>
      <c r="AS43" s="69"/>
      <c r="AT43" s="69"/>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c r="BY43" s="69"/>
      <c r="BZ43" s="69"/>
      <c r="CA43" s="69"/>
      <c r="CB43" s="69"/>
    </row>
    <row r="44" spans="1:80" x14ac:dyDescent="0.25">
      <c r="A44" s="69"/>
      <c r="B44" s="537"/>
      <c r="C44" s="537"/>
      <c r="D44" s="538"/>
      <c r="E44" s="529"/>
      <c r="F44" s="530"/>
      <c r="G44" s="530"/>
      <c r="H44" s="530"/>
      <c r="I44" s="531"/>
      <c r="J44" s="604" t="str">
        <f ca="1">IF(AND('Mapa final'!$P$38="Muy Baja",'Mapa final'!$T$38="Leve"),CONCATENATE("R",'Mapa final'!$A$38),"")</f>
        <v/>
      </c>
      <c r="K44" s="602"/>
      <c r="L44" s="602" t="str">
        <f>IF(AND('Mapa final'!$P$255="Muy Baja",'Mapa final'!$T$255="Leve"),CONCATENATE("R",'Mapa final'!$A$255),"")</f>
        <v/>
      </c>
      <c r="M44" s="602"/>
      <c r="N44" s="602" t="str">
        <f>IF(AND('Mapa final'!$P$261="Muy Baja",'Mapa final'!$T$261="Leve"),CONCATENATE("R",'Mapa final'!$A$261),"")</f>
        <v/>
      </c>
      <c r="O44" s="603"/>
      <c r="P44" s="604" t="str">
        <f ca="1">IF(AND('Mapa final'!$P$38="Muy Baja",'Mapa final'!$T$38="Menor"),CONCATENATE("R",'Mapa final'!$A$38),"")</f>
        <v/>
      </c>
      <c r="Q44" s="602"/>
      <c r="R44" s="602" t="str">
        <f>IF(AND('Mapa final'!$P$255="Muy Baja",'Mapa final'!$T$255="Menor"),CONCATENATE("R",'Mapa final'!$A$255),"")</f>
        <v/>
      </c>
      <c r="S44" s="602"/>
      <c r="T44" s="602" t="str">
        <f>IF(AND('Mapa final'!$P$261="Muy Baja",'Mapa final'!$T$261="Menor"),CONCATENATE("R",'Mapa final'!$A$261),"")</f>
        <v/>
      </c>
      <c r="U44" s="603"/>
      <c r="V44" s="543" t="str">
        <f ca="1">IF(AND('Mapa final'!$P$38="Muy Baja",'Mapa final'!$T$38="Moderado"),CONCATENATE("R",'Mapa final'!$A$38),"")</f>
        <v/>
      </c>
      <c r="W44" s="540"/>
      <c r="X44" s="540" t="str">
        <f>IF(AND('Mapa final'!$P$255="Muy Baja",'Mapa final'!$T$255="Moderado"),CONCATENATE("R",'Mapa final'!$A$255),"")</f>
        <v/>
      </c>
      <c r="Y44" s="540"/>
      <c r="Z44" s="540" t="str">
        <f>IF(AND('Mapa final'!$P$261="Muy Baja",'Mapa final'!$T$261="Moderado"),CONCATENATE("R",'Mapa final'!$A$261),"")</f>
        <v/>
      </c>
      <c r="AA44" s="542"/>
      <c r="AB44" s="583" t="str">
        <f ca="1">IF(AND('Mapa final'!$P$38="Muy Baja",'Mapa final'!$T$38="Mayor"),CONCATENATE("R",'Mapa final'!$A$38),"")</f>
        <v/>
      </c>
      <c r="AC44" s="535"/>
      <c r="AD44" s="535" t="str">
        <f>IF(AND('Mapa final'!$P$255="Muy Baja",'Mapa final'!$T$255="Mayor"),CONCATENATE("R",'Mapa final'!$A$255),"")</f>
        <v/>
      </c>
      <c r="AE44" s="535"/>
      <c r="AF44" s="535" t="str">
        <f>IF(AND('Mapa final'!$P$261="Muy Baja",'Mapa final'!$T$261="Mayor"),CONCATENATE("R",'Mapa final'!$A$261),"")</f>
        <v/>
      </c>
      <c r="AG44" s="536"/>
      <c r="AH44" s="590" t="str">
        <f ca="1">IF(AND('Mapa final'!$P$38="Muy Baja",'Mapa final'!$T$38="Catastrófico"),CONCATENATE("R",'Mapa final'!$A$38),"")</f>
        <v/>
      </c>
      <c r="AI44" s="591"/>
      <c r="AJ44" s="591" t="str">
        <f>IF(AND('Mapa final'!$P$255="Muy Baja",'Mapa final'!$T$255="Catastrófico"),CONCATENATE("R",'Mapa final'!$A$255),"")</f>
        <v/>
      </c>
      <c r="AK44" s="591"/>
      <c r="AL44" s="591" t="str">
        <f>IF(AND('Mapa final'!$P$261="Muy Baja",'Mapa final'!$T$261="Catastrófico"),CONCATENATE("R",'Mapa final'!$A$261),"")</f>
        <v/>
      </c>
      <c r="AM44" s="592"/>
      <c r="AN44" s="69"/>
      <c r="AO44" s="69"/>
      <c r="AP44" s="69"/>
      <c r="AQ44" s="69"/>
      <c r="AR44" s="69"/>
      <c r="AS44" s="69"/>
      <c r="AT44" s="69"/>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c r="BY44" s="69"/>
      <c r="BZ44" s="69"/>
      <c r="CA44" s="69"/>
      <c r="CB44" s="69"/>
    </row>
    <row r="45" spans="1:80" ht="15.75" thickBot="1" x14ac:dyDescent="0.3">
      <c r="A45" s="69"/>
      <c r="B45" s="537"/>
      <c r="C45" s="537"/>
      <c r="D45" s="538"/>
      <c r="E45" s="532"/>
      <c r="F45" s="533"/>
      <c r="G45" s="533"/>
      <c r="H45" s="533"/>
      <c r="I45" s="534"/>
      <c r="J45" s="605"/>
      <c r="K45" s="606"/>
      <c r="L45" s="606"/>
      <c r="M45" s="606"/>
      <c r="N45" s="606"/>
      <c r="O45" s="607"/>
      <c r="P45" s="605"/>
      <c r="Q45" s="606"/>
      <c r="R45" s="606"/>
      <c r="S45" s="606"/>
      <c r="T45" s="606"/>
      <c r="U45" s="607"/>
      <c r="V45" s="599"/>
      <c r="W45" s="600"/>
      <c r="X45" s="600"/>
      <c r="Y45" s="600"/>
      <c r="Z45" s="600"/>
      <c r="AA45" s="601"/>
      <c r="AB45" s="587"/>
      <c r="AC45" s="588"/>
      <c r="AD45" s="588"/>
      <c r="AE45" s="588"/>
      <c r="AF45" s="588"/>
      <c r="AG45" s="589"/>
      <c r="AH45" s="593"/>
      <c r="AI45" s="594"/>
      <c r="AJ45" s="594"/>
      <c r="AK45" s="594"/>
      <c r="AL45" s="594"/>
      <c r="AM45" s="595"/>
      <c r="AN45" s="69"/>
      <c r="AO45" s="69"/>
      <c r="AP45" s="69"/>
      <c r="AQ45" s="69"/>
      <c r="AR45" s="69"/>
      <c r="AS45" s="69"/>
      <c r="AT45" s="69"/>
      <c r="AU45" s="69"/>
      <c r="AV45" s="69"/>
      <c r="AW45" s="69"/>
      <c r="AX45" s="69"/>
      <c r="AY45" s="69"/>
      <c r="AZ45" s="69"/>
      <c r="BA45" s="69"/>
      <c r="BB45" s="69"/>
      <c r="BC45" s="69"/>
      <c r="BD45" s="69"/>
      <c r="BE45" s="69"/>
      <c r="BF45" s="69"/>
      <c r="BG45" s="69"/>
      <c r="BH45" s="69"/>
      <c r="BI45" s="69"/>
      <c r="BJ45" s="69"/>
      <c r="BK45" s="69"/>
      <c r="BL45" s="69"/>
      <c r="BM45" s="69"/>
      <c r="BN45" s="69"/>
      <c r="BO45" s="69"/>
      <c r="BP45" s="69"/>
      <c r="BQ45" s="69"/>
      <c r="BR45" s="69"/>
      <c r="BS45" s="69"/>
      <c r="BT45" s="69"/>
      <c r="BU45" s="69"/>
      <c r="BV45" s="69"/>
      <c r="BW45" s="69"/>
      <c r="BX45" s="69"/>
      <c r="BY45" s="69"/>
      <c r="BZ45" s="69"/>
      <c r="CA45" s="69"/>
      <c r="CB45" s="69"/>
    </row>
    <row r="46" spans="1:80" x14ac:dyDescent="0.25">
      <c r="A46" s="69"/>
      <c r="B46" s="69"/>
      <c r="C46" s="69"/>
      <c r="D46" s="69"/>
      <c r="E46" s="69"/>
      <c r="F46" s="69"/>
      <c r="G46" s="69"/>
      <c r="H46" s="69"/>
      <c r="I46" s="69"/>
      <c r="J46" s="526" t="s">
        <v>138</v>
      </c>
      <c r="K46" s="527"/>
      <c r="L46" s="527"/>
      <c r="M46" s="527"/>
      <c r="N46" s="527"/>
      <c r="O46" s="528"/>
      <c r="P46" s="526" t="s">
        <v>139</v>
      </c>
      <c r="Q46" s="527"/>
      <c r="R46" s="527"/>
      <c r="S46" s="527"/>
      <c r="T46" s="527"/>
      <c r="U46" s="528"/>
      <c r="V46" s="526" t="s">
        <v>140</v>
      </c>
      <c r="W46" s="527"/>
      <c r="X46" s="527"/>
      <c r="Y46" s="527"/>
      <c r="Z46" s="527"/>
      <c r="AA46" s="528"/>
      <c r="AB46" s="526" t="s">
        <v>141</v>
      </c>
      <c r="AC46" s="586"/>
      <c r="AD46" s="527"/>
      <c r="AE46" s="527"/>
      <c r="AF46" s="527"/>
      <c r="AG46" s="528"/>
      <c r="AH46" s="526" t="s">
        <v>142</v>
      </c>
      <c r="AI46" s="527"/>
      <c r="AJ46" s="527"/>
      <c r="AK46" s="527"/>
      <c r="AL46" s="527"/>
      <c r="AM46" s="528"/>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x14ac:dyDescent="0.25">
      <c r="A47" s="69"/>
      <c r="B47" s="69"/>
      <c r="C47" s="69"/>
      <c r="D47" s="69"/>
      <c r="E47" s="69"/>
      <c r="F47" s="69"/>
      <c r="G47" s="69"/>
      <c r="H47" s="69"/>
      <c r="I47" s="69"/>
      <c r="J47" s="529"/>
      <c r="K47" s="530"/>
      <c r="L47" s="530"/>
      <c r="M47" s="530"/>
      <c r="N47" s="530"/>
      <c r="O47" s="531"/>
      <c r="P47" s="529"/>
      <c r="Q47" s="530"/>
      <c r="R47" s="530"/>
      <c r="S47" s="530"/>
      <c r="T47" s="530"/>
      <c r="U47" s="531"/>
      <c r="V47" s="529"/>
      <c r="W47" s="530"/>
      <c r="X47" s="530"/>
      <c r="Y47" s="530"/>
      <c r="Z47" s="530"/>
      <c r="AA47" s="531"/>
      <c r="AB47" s="529"/>
      <c r="AC47" s="530"/>
      <c r="AD47" s="530"/>
      <c r="AE47" s="530"/>
      <c r="AF47" s="530"/>
      <c r="AG47" s="531"/>
      <c r="AH47" s="529"/>
      <c r="AI47" s="530"/>
      <c r="AJ47" s="530"/>
      <c r="AK47" s="530"/>
      <c r="AL47" s="530"/>
      <c r="AM47" s="531"/>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x14ac:dyDescent="0.25">
      <c r="A48" s="69"/>
      <c r="B48" s="69"/>
      <c r="C48" s="69"/>
      <c r="D48" s="69"/>
      <c r="E48" s="69"/>
      <c r="F48" s="69"/>
      <c r="G48" s="69"/>
      <c r="H48" s="69"/>
      <c r="I48" s="69"/>
      <c r="J48" s="529"/>
      <c r="K48" s="530"/>
      <c r="L48" s="530"/>
      <c r="M48" s="530"/>
      <c r="N48" s="530"/>
      <c r="O48" s="531"/>
      <c r="P48" s="529"/>
      <c r="Q48" s="530"/>
      <c r="R48" s="530"/>
      <c r="S48" s="530"/>
      <c r="T48" s="530"/>
      <c r="U48" s="531"/>
      <c r="V48" s="529"/>
      <c r="W48" s="530"/>
      <c r="X48" s="530"/>
      <c r="Y48" s="530"/>
      <c r="Z48" s="530"/>
      <c r="AA48" s="531"/>
      <c r="AB48" s="529"/>
      <c r="AC48" s="530"/>
      <c r="AD48" s="530"/>
      <c r="AE48" s="530"/>
      <c r="AF48" s="530"/>
      <c r="AG48" s="531"/>
      <c r="AH48" s="529"/>
      <c r="AI48" s="530"/>
      <c r="AJ48" s="530"/>
      <c r="AK48" s="530"/>
      <c r="AL48" s="530"/>
      <c r="AM48" s="531"/>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x14ac:dyDescent="0.25">
      <c r="A49" s="69"/>
      <c r="B49" s="69"/>
      <c r="C49" s="69"/>
      <c r="D49" s="69"/>
      <c r="E49" s="69"/>
      <c r="F49" s="69"/>
      <c r="G49" s="69"/>
      <c r="H49" s="69"/>
      <c r="I49" s="69"/>
      <c r="J49" s="529"/>
      <c r="K49" s="530"/>
      <c r="L49" s="530"/>
      <c r="M49" s="530"/>
      <c r="N49" s="530"/>
      <c r="O49" s="531"/>
      <c r="P49" s="529"/>
      <c r="Q49" s="530"/>
      <c r="R49" s="530"/>
      <c r="S49" s="530"/>
      <c r="T49" s="530"/>
      <c r="U49" s="531"/>
      <c r="V49" s="529"/>
      <c r="W49" s="530"/>
      <c r="X49" s="530"/>
      <c r="Y49" s="530"/>
      <c r="Z49" s="530"/>
      <c r="AA49" s="531"/>
      <c r="AB49" s="529"/>
      <c r="AC49" s="530"/>
      <c r="AD49" s="530"/>
      <c r="AE49" s="530"/>
      <c r="AF49" s="530"/>
      <c r="AG49" s="531"/>
      <c r="AH49" s="529"/>
      <c r="AI49" s="530"/>
      <c r="AJ49" s="530"/>
      <c r="AK49" s="530"/>
      <c r="AL49" s="530"/>
      <c r="AM49" s="531"/>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x14ac:dyDescent="0.25">
      <c r="A50" s="69"/>
      <c r="B50" s="69"/>
      <c r="C50" s="69"/>
      <c r="D50" s="69"/>
      <c r="E50" s="69"/>
      <c r="F50" s="69"/>
      <c r="G50" s="69"/>
      <c r="H50" s="69"/>
      <c r="I50" s="69"/>
      <c r="J50" s="529"/>
      <c r="K50" s="530"/>
      <c r="L50" s="530"/>
      <c r="M50" s="530"/>
      <c r="N50" s="530"/>
      <c r="O50" s="531"/>
      <c r="P50" s="529"/>
      <c r="Q50" s="530"/>
      <c r="R50" s="530"/>
      <c r="S50" s="530"/>
      <c r="T50" s="530"/>
      <c r="U50" s="531"/>
      <c r="V50" s="529"/>
      <c r="W50" s="530"/>
      <c r="X50" s="530"/>
      <c r="Y50" s="530"/>
      <c r="Z50" s="530"/>
      <c r="AA50" s="531"/>
      <c r="AB50" s="529"/>
      <c r="AC50" s="530"/>
      <c r="AD50" s="530"/>
      <c r="AE50" s="530"/>
      <c r="AF50" s="530"/>
      <c r="AG50" s="531"/>
      <c r="AH50" s="529"/>
      <c r="AI50" s="530"/>
      <c r="AJ50" s="530"/>
      <c r="AK50" s="530"/>
      <c r="AL50" s="530"/>
      <c r="AM50" s="531"/>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75" thickBot="1" x14ac:dyDescent="0.3">
      <c r="A51" s="69"/>
      <c r="B51" s="69"/>
      <c r="C51" s="69"/>
      <c r="D51" s="69"/>
      <c r="E51" s="69"/>
      <c r="F51" s="69"/>
      <c r="G51" s="69"/>
      <c r="H51" s="69"/>
      <c r="I51" s="69"/>
      <c r="J51" s="532"/>
      <c r="K51" s="533"/>
      <c r="L51" s="533"/>
      <c r="M51" s="533"/>
      <c r="N51" s="533"/>
      <c r="O51" s="534"/>
      <c r="P51" s="532"/>
      <c r="Q51" s="533"/>
      <c r="R51" s="533"/>
      <c r="S51" s="533"/>
      <c r="T51" s="533"/>
      <c r="U51" s="534"/>
      <c r="V51" s="532"/>
      <c r="W51" s="533"/>
      <c r="X51" s="533"/>
      <c r="Y51" s="533"/>
      <c r="Z51" s="533"/>
      <c r="AA51" s="534"/>
      <c r="AB51" s="532"/>
      <c r="AC51" s="533"/>
      <c r="AD51" s="533"/>
      <c r="AE51" s="533"/>
      <c r="AF51" s="533"/>
      <c r="AG51" s="534"/>
      <c r="AH51" s="532"/>
      <c r="AI51" s="533"/>
      <c r="AJ51" s="533"/>
      <c r="AK51" s="533"/>
      <c r="AL51" s="533"/>
      <c r="AM51" s="534"/>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x14ac:dyDescent="0.25">
      <c r="A52" s="69"/>
      <c r="B52" s="69"/>
      <c r="C52" s="69"/>
      <c r="D52" s="69"/>
      <c r="E52" s="69"/>
      <c r="F52" s="69"/>
      <c r="G52" s="69"/>
      <c r="H52" s="69"/>
      <c r="I52" s="69"/>
      <c r="J52" s="69"/>
      <c r="K52" s="69"/>
      <c r="L52" s="69"/>
      <c r="M52" s="69"/>
      <c r="N52" s="69"/>
      <c r="O52" s="69"/>
      <c r="P52" s="69"/>
      <c r="Q52" s="69"/>
      <c r="R52" s="69"/>
      <c r="S52" s="69"/>
      <c r="T52" s="69"/>
      <c r="U52" s="69"/>
      <c r="V52" s="69"/>
      <c r="W52" s="69"/>
      <c r="X52" s="69"/>
      <c r="Y52" s="69"/>
      <c r="Z52" s="69"/>
      <c r="AA52" s="69"/>
      <c r="AB52" s="69"/>
      <c r="AC52" s="69"/>
      <c r="AD52" s="69"/>
      <c r="AE52" s="69"/>
      <c r="AF52" s="69"/>
      <c r="AG52" s="69"/>
      <c r="AH52" s="69"/>
      <c r="AI52" s="69"/>
      <c r="AJ52" s="69"/>
      <c r="AK52" s="69"/>
      <c r="AL52" s="69"/>
      <c r="AM52" s="69"/>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73"/>
      <c r="C53" s="73"/>
      <c r="D53" s="73"/>
      <c r="E53" s="73"/>
      <c r="F53" s="73"/>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x14ac:dyDescent="0.25">
      <c r="A55" s="69"/>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69"/>
      <c r="AM55" s="69"/>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69"/>
      <c r="K56" s="69"/>
      <c r="L56" s="69"/>
      <c r="M56" s="69"/>
      <c r="N56" s="69"/>
      <c r="O56" s="69"/>
      <c r="P56" s="69"/>
      <c r="Q56" s="69"/>
      <c r="R56" s="69"/>
      <c r="S56" s="69"/>
      <c r="T56" s="69"/>
      <c r="U56" s="69"/>
      <c r="V56" s="69"/>
      <c r="W56" s="69"/>
      <c r="X56" s="69"/>
      <c r="Y56" s="69"/>
      <c r="Z56" s="69"/>
      <c r="AA56" s="69"/>
      <c r="AB56" s="69"/>
      <c r="AC56" s="69"/>
      <c r="AD56" s="69"/>
      <c r="AE56" s="69"/>
      <c r="AF56" s="69"/>
      <c r="AG56" s="69"/>
      <c r="AH56" s="69"/>
      <c r="AI56" s="69"/>
      <c r="AJ56" s="69"/>
      <c r="AK56" s="69"/>
      <c r="AL56" s="69"/>
      <c r="AM56" s="69"/>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69"/>
      <c r="K57" s="69"/>
      <c r="L57" s="69"/>
      <c r="M57" s="69"/>
      <c r="N57" s="69"/>
      <c r="O57" s="69"/>
      <c r="P57" s="69"/>
      <c r="Q57" s="69"/>
      <c r="R57" s="69"/>
      <c r="S57" s="69"/>
      <c r="T57" s="69"/>
      <c r="U57" s="69"/>
      <c r="V57" s="69"/>
      <c r="W57" s="69"/>
      <c r="X57" s="69"/>
      <c r="Y57" s="69"/>
      <c r="Z57" s="69"/>
      <c r="AA57" s="69"/>
      <c r="AB57" s="69"/>
      <c r="AC57" s="69"/>
      <c r="AD57" s="69"/>
      <c r="AE57" s="69"/>
      <c r="AF57" s="69"/>
      <c r="AG57" s="69"/>
      <c r="AH57" s="69"/>
      <c r="AI57" s="69"/>
      <c r="AJ57" s="69"/>
      <c r="AK57" s="69"/>
      <c r="AL57" s="69"/>
      <c r="AM57" s="69"/>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69"/>
      <c r="K58" s="69"/>
      <c r="L58" s="69"/>
      <c r="M58" s="69"/>
      <c r="N58" s="69"/>
      <c r="O58" s="69"/>
      <c r="P58" s="69"/>
      <c r="Q58" s="69"/>
      <c r="R58" s="69"/>
      <c r="S58" s="69"/>
      <c r="T58" s="69"/>
      <c r="U58" s="69"/>
      <c r="V58" s="69"/>
      <c r="W58" s="69"/>
      <c r="X58" s="69"/>
      <c r="Y58" s="69"/>
      <c r="Z58" s="69"/>
      <c r="AA58" s="69"/>
      <c r="AB58" s="69"/>
      <c r="AC58" s="69"/>
      <c r="AD58" s="69"/>
      <c r="AE58" s="69"/>
      <c r="AF58" s="69"/>
      <c r="AG58" s="69"/>
      <c r="AH58" s="69"/>
      <c r="AI58" s="69"/>
      <c r="AJ58" s="69"/>
      <c r="AK58" s="69"/>
      <c r="AL58" s="69"/>
      <c r="AM58" s="69"/>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69"/>
      <c r="K59" s="69"/>
      <c r="L59" s="69"/>
      <c r="M59" s="69"/>
      <c r="N59" s="69"/>
      <c r="O59" s="69"/>
      <c r="P59" s="69"/>
      <c r="Q59" s="69"/>
      <c r="R59" s="69"/>
      <c r="S59" s="69"/>
      <c r="T59" s="69"/>
      <c r="U59" s="69"/>
      <c r="V59" s="69"/>
      <c r="W59" s="69"/>
      <c r="X59" s="69"/>
      <c r="Y59" s="69"/>
      <c r="Z59" s="69"/>
      <c r="AA59" s="69"/>
      <c r="AB59" s="69"/>
      <c r="AC59" s="69"/>
      <c r="AD59" s="69"/>
      <c r="AE59" s="69"/>
      <c r="AF59" s="69"/>
      <c r="AG59" s="69"/>
      <c r="AH59" s="69"/>
      <c r="AI59" s="69"/>
      <c r="AJ59" s="69"/>
      <c r="AK59" s="69"/>
      <c r="AL59" s="69"/>
      <c r="AM59" s="69"/>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69"/>
      <c r="K60" s="69"/>
      <c r="L60" s="69"/>
      <c r="M60" s="69"/>
      <c r="N60" s="69"/>
      <c r="O60" s="69"/>
      <c r="P60" s="69"/>
      <c r="Q60" s="69"/>
      <c r="R60" s="69"/>
      <c r="S60" s="69"/>
      <c r="T60" s="69"/>
      <c r="U60" s="69"/>
      <c r="V60" s="69"/>
      <c r="W60" s="69"/>
      <c r="X60" s="69"/>
      <c r="Y60" s="69"/>
      <c r="Z60" s="69"/>
      <c r="AA60" s="69"/>
      <c r="AB60" s="69"/>
      <c r="AC60" s="69"/>
      <c r="AD60" s="69"/>
      <c r="AE60" s="69"/>
      <c r="AF60" s="69"/>
      <c r="AG60" s="69"/>
      <c r="AH60" s="69"/>
      <c r="AI60" s="69"/>
      <c r="AJ60" s="69"/>
      <c r="AK60" s="69"/>
      <c r="AL60" s="69"/>
      <c r="AM60" s="69"/>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x14ac:dyDescent="0.25">
      <c r="A61" s="69"/>
      <c r="B61" s="69"/>
      <c r="C61" s="69"/>
      <c r="D61" s="69"/>
      <c r="E61" s="69"/>
      <c r="F61" s="69"/>
      <c r="G61" s="69"/>
      <c r="H61" s="69"/>
      <c r="I61" s="69"/>
      <c r="J61" s="69"/>
      <c r="K61" s="69"/>
      <c r="L61" s="69"/>
      <c r="M61" s="69"/>
      <c r="N61" s="69"/>
      <c r="O61" s="69"/>
      <c r="P61" s="69"/>
      <c r="Q61" s="69"/>
      <c r="R61" s="69"/>
      <c r="S61" s="69"/>
      <c r="T61" s="69"/>
      <c r="U61" s="69"/>
      <c r="V61" s="69"/>
      <c r="W61" s="69"/>
      <c r="X61" s="69"/>
      <c r="Y61" s="69"/>
      <c r="Z61" s="69"/>
      <c r="AA61" s="69"/>
      <c r="AB61" s="69"/>
      <c r="AC61" s="69"/>
      <c r="AD61" s="69"/>
      <c r="AE61" s="69"/>
      <c r="AF61" s="69"/>
      <c r="AG61" s="69"/>
      <c r="AH61" s="69"/>
      <c r="AI61" s="69"/>
      <c r="AJ61" s="69"/>
      <c r="AK61" s="69"/>
      <c r="AL61" s="69"/>
      <c r="AM61" s="69"/>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c r="BI62" s="69"/>
      <c r="BJ62" s="69"/>
      <c r="BK62" s="69"/>
      <c r="BL62" s="69"/>
      <c r="BM62" s="69"/>
      <c r="BN62" s="69"/>
      <c r="BO62" s="69"/>
      <c r="BP62" s="69"/>
      <c r="BQ62" s="69"/>
      <c r="BR62" s="69"/>
      <c r="BS62" s="69"/>
      <c r="BT62" s="69"/>
      <c r="BU62" s="69"/>
      <c r="BV62" s="69"/>
      <c r="BW62" s="69"/>
      <c r="BX62" s="69"/>
      <c r="BY62" s="69"/>
      <c r="BZ62" s="69"/>
      <c r="CA62" s="69"/>
      <c r="CB62" s="69"/>
    </row>
    <row r="63" spans="1:80" x14ac:dyDescent="0.25">
      <c r="A63" s="69"/>
      <c r="B63" s="69"/>
      <c r="C63" s="69"/>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c r="AM63" s="69"/>
      <c r="AN63" s="69"/>
      <c r="AO63" s="69"/>
      <c r="AP63" s="69"/>
      <c r="AQ63" s="69"/>
      <c r="AR63" s="69"/>
      <c r="AS63" s="69"/>
      <c r="AT63" s="69"/>
      <c r="AU63" s="69"/>
      <c r="AV63" s="69"/>
      <c r="AW63" s="69"/>
      <c r="AX63" s="69"/>
      <c r="AY63" s="69"/>
      <c r="AZ63" s="69"/>
      <c r="BA63" s="69"/>
      <c r="BB63" s="69"/>
      <c r="BC63" s="69"/>
      <c r="BD63" s="69"/>
      <c r="BE63" s="69"/>
      <c r="BF63" s="69"/>
      <c r="BG63" s="69"/>
      <c r="BH63" s="69"/>
      <c r="BI63" s="69"/>
      <c r="BJ63" s="69"/>
      <c r="BK63" s="69"/>
      <c r="BL63" s="69"/>
      <c r="BM63" s="69"/>
      <c r="BN63" s="69"/>
      <c r="BO63" s="69"/>
      <c r="BP63" s="69"/>
      <c r="BQ63" s="69"/>
      <c r="BR63" s="69"/>
      <c r="BS63" s="69"/>
      <c r="BT63" s="69"/>
      <c r="BU63" s="69"/>
      <c r="BV63" s="69"/>
      <c r="BW63" s="69"/>
      <c r="BX63" s="69"/>
      <c r="BY63" s="69"/>
      <c r="BZ63" s="69"/>
      <c r="CA63" s="69"/>
      <c r="CB63" s="69"/>
    </row>
    <row r="64" spans="1:80" x14ac:dyDescent="0.25">
      <c r="A64" s="69"/>
      <c r="B64" s="69"/>
      <c r="C64" s="69"/>
      <c r="D64" s="69"/>
      <c r="E64" s="69"/>
      <c r="F64" s="69"/>
      <c r="G64" s="69"/>
      <c r="H64" s="69"/>
      <c r="I64" s="69"/>
      <c r="J64" s="69"/>
      <c r="K64" s="69"/>
      <c r="L64" s="69"/>
      <c r="M64" s="69"/>
      <c r="N64" s="69"/>
      <c r="O64" s="69"/>
      <c r="P64" s="69"/>
      <c r="Q64" s="69"/>
      <c r="R64" s="69"/>
      <c r="S64" s="69"/>
      <c r="T64" s="69"/>
      <c r="U64" s="69"/>
      <c r="V64" s="69"/>
      <c r="W64" s="69"/>
      <c r="X64" s="69"/>
      <c r="Y64" s="69"/>
      <c r="Z64" s="69"/>
      <c r="AA64" s="69"/>
      <c r="AB64" s="69"/>
      <c r="AC64" s="69"/>
      <c r="AD64" s="69"/>
      <c r="AE64" s="69"/>
      <c r="AF64" s="69"/>
      <c r="AG64" s="69"/>
      <c r="AH64" s="69"/>
      <c r="AI64" s="69"/>
      <c r="AJ64" s="69"/>
      <c r="AK64" s="69"/>
      <c r="AL64" s="69"/>
      <c r="AM64" s="69"/>
      <c r="AN64" s="69"/>
      <c r="AO64" s="69"/>
      <c r="AP64" s="69"/>
      <c r="AQ64" s="69"/>
      <c r="AR64" s="69"/>
      <c r="AS64" s="69"/>
      <c r="AT64" s="69"/>
      <c r="AU64" s="69"/>
      <c r="AV64" s="69"/>
      <c r="AW64" s="69"/>
      <c r="AX64" s="69"/>
      <c r="AY64" s="69"/>
      <c r="AZ64" s="69"/>
      <c r="BA64" s="69"/>
      <c r="BB64" s="69"/>
      <c r="BC64" s="69"/>
      <c r="BD64" s="69"/>
      <c r="BE64" s="69"/>
      <c r="BF64" s="69"/>
      <c r="BG64" s="69"/>
      <c r="BH64" s="69"/>
      <c r="BI64" s="69"/>
      <c r="BJ64" s="69"/>
      <c r="BK64" s="69"/>
      <c r="BL64" s="69"/>
      <c r="BM64" s="69"/>
      <c r="BN64" s="69"/>
      <c r="BO64" s="69"/>
      <c r="BP64" s="69"/>
      <c r="BQ64" s="69"/>
      <c r="BR64" s="69"/>
      <c r="BS64" s="69"/>
      <c r="BT64" s="69"/>
      <c r="BU64" s="69"/>
      <c r="BV64" s="69"/>
      <c r="BW64" s="69"/>
      <c r="BX64" s="69"/>
      <c r="BY64" s="69"/>
      <c r="BZ64" s="69"/>
      <c r="CA64" s="69"/>
      <c r="CB64" s="69"/>
    </row>
    <row r="65" spans="1:8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c r="BI65" s="69"/>
      <c r="BJ65" s="69"/>
      <c r="BK65" s="69"/>
      <c r="BL65" s="69"/>
      <c r="BM65" s="69"/>
      <c r="BN65" s="69"/>
      <c r="BO65" s="69"/>
      <c r="BP65" s="69"/>
      <c r="BQ65" s="69"/>
      <c r="BR65" s="69"/>
      <c r="BS65" s="69"/>
      <c r="BT65" s="69"/>
      <c r="BU65" s="69"/>
      <c r="BV65" s="69"/>
      <c r="BW65" s="69"/>
      <c r="BX65" s="69"/>
      <c r="BY65" s="69"/>
      <c r="BZ65" s="69"/>
      <c r="CA65" s="69"/>
      <c r="CB65" s="69"/>
    </row>
    <row r="66" spans="1:8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c r="BI66" s="69"/>
      <c r="BJ66" s="69"/>
      <c r="BK66" s="69"/>
      <c r="BL66" s="69"/>
      <c r="BM66" s="69"/>
      <c r="BN66" s="69"/>
      <c r="BO66" s="69"/>
      <c r="BP66" s="69"/>
      <c r="BQ66" s="69"/>
      <c r="BR66" s="69"/>
      <c r="BS66" s="69"/>
      <c r="BT66" s="69"/>
      <c r="BU66" s="69"/>
      <c r="BV66" s="69"/>
      <c r="BW66" s="69"/>
      <c r="BX66" s="69"/>
      <c r="BY66" s="69"/>
      <c r="BZ66" s="69"/>
      <c r="CA66" s="69"/>
      <c r="CB66" s="69"/>
    </row>
    <row r="67" spans="1:8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c r="BI67" s="69"/>
      <c r="BJ67" s="69"/>
      <c r="BK67" s="69"/>
      <c r="BL67" s="69"/>
      <c r="BM67" s="69"/>
      <c r="BN67" s="69"/>
      <c r="BO67" s="69"/>
      <c r="BP67" s="69"/>
      <c r="BQ67" s="69"/>
      <c r="BR67" s="69"/>
      <c r="BS67" s="69"/>
      <c r="BT67" s="69"/>
      <c r="BU67" s="69"/>
      <c r="BV67" s="69"/>
      <c r="BW67" s="69"/>
      <c r="BX67" s="69"/>
      <c r="BY67" s="69"/>
      <c r="BZ67" s="69"/>
      <c r="CA67" s="69"/>
      <c r="CB67" s="69"/>
    </row>
    <row r="68" spans="1:8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c r="BI68" s="69"/>
      <c r="BJ68" s="69"/>
      <c r="BK68" s="69"/>
      <c r="BL68" s="69"/>
      <c r="BM68" s="69"/>
      <c r="BN68" s="69"/>
      <c r="BO68" s="69"/>
      <c r="BP68" s="69"/>
      <c r="BQ68" s="69"/>
      <c r="BR68" s="69"/>
      <c r="BS68" s="69"/>
      <c r="BT68" s="69"/>
      <c r="BU68" s="69"/>
      <c r="BV68" s="69"/>
      <c r="BW68" s="69"/>
      <c r="BX68" s="69"/>
      <c r="BY68" s="69"/>
      <c r="BZ68" s="69"/>
      <c r="CA68" s="69"/>
      <c r="CB68" s="69"/>
    </row>
    <row r="69" spans="1:8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c r="BI69" s="69"/>
      <c r="BJ69" s="69"/>
      <c r="BK69" s="69"/>
      <c r="BL69" s="69"/>
      <c r="BM69" s="69"/>
      <c r="BN69" s="69"/>
      <c r="BO69" s="69"/>
      <c r="BP69" s="69"/>
      <c r="BQ69" s="69"/>
      <c r="BR69" s="69"/>
      <c r="BS69" s="69"/>
      <c r="BT69" s="69"/>
      <c r="BU69" s="69"/>
      <c r="BV69" s="69"/>
      <c r="BW69" s="69"/>
      <c r="BX69" s="69"/>
      <c r="BY69" s="69"/>
      <c r="BZ69" s="69"/>
      <c r="CA69" s="69"/>
      <c r="CB69" s="69"/>
    </row>
    <row r="70" spans="1:8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c r="BI70" s="69"/>
      <c r="BJ70" s="69"/>
      <c r="BK70" s="69"/>
      <c r="BL70" s="69"/>
      <c r="BM70" s="69"/>
      <c r="BN70" s="69"/>
      <c r="BO70" s="69"/>
      <c r="BP70" s="69"/>
      <c r="BQ70" s="69"/>
      <c r="BR70" s="69"/>
      <c r="BS70" s="69"/>
      <c r="BT70" s="69"/>
      <c r="BU70" s="69"/>
      <c r="BV70" s="69"/>
      <c r="BW70" s="69"/>
      <c r="BX70" s="69"/>
      <c r="BY70" s="69"/>
      <c r="BZ70" s="69"/>
      <c r="CA70" s="69"/>
      <c r="CB70" s="69"/>
    </row>
    <row r="71" spans="1:8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c r="BI71" s="69"/>
      <c r="BJ71" s="69"/>
      <c r="BK71" s="69"/>
      <c r="BL71" s="69"/>
      <c r="BM71" s="69"/>
      <c r="BN71" s="69"/>
      <c r="BO71" s="69"/>
      <c r="BP71" s="69"/>
      <c r="BQ71" s="69"/>
      <c r="BR71" s="69"/>
      <c r="BS71" s="69"/>
      <c r="BT71" s="69"/>
      <c r="BU71" s="69"/>
      <c r="BV71" s="69"/>
      <c r="BW71" s="69"/>
      <c r="BX71" s="69"/>
      <c r="BY71" s="69"/>
      <c r="BZ71" s="69"/>
      <c r="CA71" s="69"/>
      <c r="CB71" s="69"/>
    </row>
    <row r="72" spans="1:8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c r="BI72" s="69"/>
      <c r="BJ72" s="69"/>
      <c r="BK72" s="69"/>
      <c r="BL72" s="69"/>
      <c r="BM72" s="69"/>
      <c r="BN72" s="69"/>
      <c r="BO72" s="69"/>
      <c r="BP72" s="69"/>
      <c r="BQ72" s="69"/>
      <c r="BR72" s="69"/>
      <c r="BS72" s="69"/>
      <c r="BT72" s="69"/>
      <c r="BU72" s="69"/>
      <c r="BV72" s="69"/>
      <c r="BW72" s="69"/>
      <c r="BX72" s="69"/>
      <c r="BY72" s="69"/>
      <c r="BZ72" s="69"/>
      <c r="CA72" s="69"/>
      <c r="CB72" s="69"/>
    </row>
    <row r="73" spans="1:8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c r="BI73" s="69"/>
      <c r="BJ73" s="69"/>
      <c r="BK73" s="69"/>
      <c r="BL73" s="69"/>
      <c r="BM73" s="69"/>
      <c r="BN73" s="69"/>
      <c r="BO73" s="69"/>
      <c r="BP73" s="69"/>
      <c r="BQ73" s="69"/>
      <c r="BR73" s="69"/>
      <c r="BS73" s="69"/>
      <c r="BT73" s="69"/>
      <c r="BU73" s="69"/>
      <c r="BV73" s="69"/>
      <c r="BW73" s="69"/>
      <c r="BX73" s="69"/>
      <c r="BY73" s="69"/>
      <c r="BZ73" s="69"/>
      <c r="CA73" s="69"/>
      <c r="CB73" s="69"/>
    </row>
    <row r="74" spans="1:8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c r="BI74" s="69"/>
      <c r="BJ74" s="69"/>
      <c r="BK74" s="69"/>
      <c r="BL74" s="69"/>
      <c r="BM74" s="69"/>
      <c r="BN74" s="69"/>
      <c r="BO74" s="69"/>
      <c r="BP74" s="69"/>
      <c r="BQ74" s="69"/>
      <c r="BR74" s="69"/>
      <c r="BS74" s="69"/>
      <c r="BT74" s="69"/>
      <c r="BU74" s="69"/>
      <c r="BV74" s="69"/>
      <c r="BW74" s="69"/>
      <c r="BX74" s="69"/>
      <c r="BY74" s="69"/>
      <c r="BZ74" s="69"/>
      <c r="CA74" s="69"/>
      <c r="CB74" s="69"/>
    </row>
    <row r="75" spans="1:8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c r="BI75" s="69"/>
      <c r="BJ75" s="69"/>
      <c r="BK75" s="69"/>
      <c r="BL75" s="69"/>
      <c r="BM75" s="69"/>
      <c r="BN75" s="69"/>
      <c r="BO75" s="69"/>
      <c r="BP75" s="69"/>
      <c r="BQ75" s="69"/>
      <c r="BR75" s="69"/>
      <c r="BS75" s="69"/>
      <c r="BT75" s="69"/>
      <c r="BU75" s="69"/>
      <c r="BV75" s="69"/>
      <c r="BW75" s="69"/>
      <c r="BX75" s="69"/>
      <c r="BY75" s="69"/>
      <c r="BZ75" s="69"/>
      <c r="CA75" s="69"/>
      <c r="CB75" s="69"/>
    </row>
    <row r="76" spans="1:8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c r="BI76" s="69"/>
      <c r="BJ76" s="69"/>
      <c r="BK76" s="69"/>
      <c r="BL76" s="69"/>
      <c r="BM76" s="69"/>
      <c r="BN76" s="69"/>
      <c r="BO76" s="69"/>
      <c r="BP76" s="69"/>
      <c r="BQ76" s="69"/>
      <c r="BR76" s="69"/>
      <c r="BS76" s="69"/>
      <c r="BT76" s="69"/>
      <c r="BU76" s="69"/>
      <c r="BV76" s="69"/>
      <c r="BW76" s="69"/>
      <c r="BX76" s="69"/>
      <c r="BY76" s="69"/>
      <c r="BZ76" s="69"/>
      <c r="CA76" s="69"/>
      <c r="CB76" s="69"/>
    </row>
    <row r="77" spans="1:8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c r="BI77" s="69"/>
      <c r="BJ77" s="69"/>
      <c r="BK77" s="69"/>
      <c r="BL77" s="69"/>
      <c r="BM77" s="69"/>
      <c r="BN77" s="69"/>
      <c r="BO77" s="69"/>
      <c r="BP77" s="69"/>
      <c r="BQ77" s="69"/>
      <c r="BR77" s="69"/>
      <c r="BS77" s="69"/>
      <c r="BT77" s="69"/>
      <c r="BU77" s="69"/>
      <c r="BV77" s="69"/>
      <c r="BW77" s="69"/>
      <c r="BX77" s="69"/>
      <c r="BY77" s="69"/>
      <c r="BZ77" s="69"/>
      <c r="CA77" s="69"/>
      <c r="CB77" s="69"/>
    </row>
    <row r="78" spans="1:8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c r="BI78" s="69"/>
      <c r="BJ78" s="69"/>
      <c r="BK78" s="69"/>
      <c r="BL78" s="69"/>
      <c r="BM78" s="69"/>
      <c r="BN78" s="69"/>
      <c r="BO78" s="69"/>
      <c r="BP78" s="69"/>
      <c r="BQ78" s="69"/>
      <c r="BR78" s="69"/>
      <c r="BS78" s="69"/>
      <c r="BT78" s="69"/>
      <c r="BU78" s="69"/>
      <c r="BV78" s="69"/>
      <c r="BW78" s="69"/>
      <c r="BX78" s="69"/>
      <c r="BY78" s="69"/>
      <c r="BZ78" s="69"/>
      <c r="CA78" s="69"/>
      <c r="CB78" s="69"/>
    </row>
    <row r="79" spans="1:8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c r="BI79" s="69"/>
      <c r="BJ79" s="69"/>
      <c r="BK79" s="69"/>
    </row>
    <row r="80" spans="1:8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c r="BI80" s="69"/>
      <c r="BJ80" s="69"/>
      <c r="BK80" s="69"/>
    </row>
    <row r="81" spans="1:63"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c r="BI81" s="69"/>
      <c r="BJ81" s="69"/>
      <c r="BK81" s="69"/>
    </row>
    <row r="82" spans="1:63"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c r="BI82" s="69"/>
      <c r="BJ82" s="69"/>
      <c r="BK82" s="69"/>
    </row>
    <row r="83" spans="1:63"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c r="BI83" s="69"/>
      <c r="BJ83" s="69"/>
      <c r="BK83" s="69"/>
    </row>
    <row r="84" spans="1:63"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c r="BI84" s="69"/>
      <c r="BJ84" s="69"/>
      <c r="BK84" s="69"/>
    </row>
    <row r="85" spans="1:63"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c r="BI85" s="69"/>
      <c r="BJ85" s="69"/>
      <c r="BK85" s="69"/>
    </row>
    <row r="86" spans="1:63"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c r="BI86" s="69"/>
      <c r="BJ86" s="69"/>
      <c r="BK86" s="69"/>
    </row>
    <row r="87" spans="1:63"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c r="BI87" s="69"/>
      <c r="BJ87" s="69"/>
      <c r="BK87" s="69"/>
    </row>
    <row r="88" spans="1:63"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c r="BI88" s="69"/>
      <c r="BJ88" s="69"/>
      <c r="BK88" s="69"/>
    </row>
    <row r="89" spans="1:63"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c r="BI89" s="69"/>
      <c r="BJ89" s="69"/>
      <c r="BK89" s="69"/>
    </row>
    <row r="90" spans="1:63"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c r="BI90" s="69"/>
      <c r="BJ90" s="69"/>
      <c r="BK90" s="69"/>
    </row>
    <row r="91" spans="1:63"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c r="BI91" s="69"/>
      <c r="BJ91" s="69"/>
      <c r="BK91" s="69"/>
    </row>
    <row r="92" spans="1:63"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c r="BI92" s="69"/>
      <c r="BJ92" s="69"/>
      <c r="BK92" s="69"/>
    </row>
    <row r="93" spans="1:63"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c r="BI93" s="69"/>
      <c r="BJ93" s="69"/>
      <c r="BK93" s="69"/>
    </row>
    <row r="94" spans="1:63"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c r="BI94" s="69"/>
      <c r="BJ94" s="69"/>
      <c r="BK94" s="69"/>
    </row>
    <row r="95" spans="1:63"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c r="BI95" s="69"/>
      <c r="BJ95" s="69"/>
      <c r="BK95" s="69"/>
    </row>
    <row r="96" spans="1:63"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c r="BI96" s="69"/>
      <c r="BJ96" s="69"/>
      <c r="BK96" s="69"/>
    </row>
    <row r="97" spans="1:63"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c r="BI97" s="69"/>
      <c r="BJ97" s="69"/>
      <c r="BK97" s="69"/>
    </row>
    <row r="98" spans="1:63"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c r="BI98" s="69"/>
      <c r="BJ98" s="69"/>
      <c r="BK98" s="69"/>
    </row>
    <row r="99" spans="1:63"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c r="BI99" s="69"/>
      <c r="BJ99" s="69"/>
      <c r="BK99" s="69"/>
    </row>
    <row r="100" spans="1:63"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c r="BI100" s="69"/>
      <c r="BJ100" s="69"/>
      <c r="BK100" s="69"/>
    </row>
    <row r="101" spans="1:63"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c r="BI101" s="69"/>
      <c r="BJ101" s="69"/>
      <c r="BK101" s="69"/>
    </row>
    <row r="102" spans="1:63"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c r="BI102" s="69"/>
      <c r="BJ102" s="69"/>
      <c r="BK102" s="69"/>
    </row>
    <row r="103" spans="1:63"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c r="BI103" s="69"/>
      <c r="BJ103" s="69"/>
      <c r="BK103" s="69"/>
    </row>
    <row r="104" spans="1:63"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c r="BI104" s="69"/>
      <c r="BJ104" s="69"/>
      <c r="BK104" s="69"/>
    </row>
    <row r="105" spans="1:63"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c r="BI105" s="69"/>
      <c r="BJ105" s="69"/>
      <c r="BK105" s="69"/>
    </row>
    <row r="106" spans="1:63"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c r="BI106" s="69"/>
      <c r="BJ106" s="69"/>
      <c r="BK106" s="69"/>
    </row>
    <row r="107" spans="1:63"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c r="BI107" s="69"/>
      <c r="BJ107" s="69"/>
      <c r="BK107" s="69"/>
    </row>
    <row r="108" spans="1:63"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c r="BI108" s="69"/>
      <c r="BJ108" s="69"/>
      <c r="BK108" s="69"/>
    </row>
    <row r="109" spans="1:63"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c r="BI109" s="69"/>
      <c r="BJ109" s="69"/>
      <c r="BK109" s="69"/>
    </row>
    <row r="110" spans="1:63"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c r="BI110" s="69"/>
      <c r="BJ110" s="69"/>
      <c r="BK110" s="69"/>
    </row>
    <row r="111" spans="1:63"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c r="BI111" s="69"/>
      <c r="BJ111" s="69"/>
      <c r="BK111" s="69"/>
    </row>
    <row r="112" spans="1:63"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c r="BI112" s="69"/>
      <c r="BJ112" s="69"/>
      <c r="BK112" s="69"/>
    </row>
    <row r="113" spans="1:63"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c r="BI113" s="69"/>
      <c r="BJ113" s="69"/>
      <c r="BK113" s="69"/>
    </row>
    <row r="114" spans="1:63"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c r="BI114" s="69"/>
      <c r="BJ114" s="69"/>
      <c r="BK114" s="69"/>
    </row>
    <row r="115" spans="1:63"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c r="BI115" s="69"/>
      <c r="BJ115" s="69"/>
      <c r="BK115" s="69"/>
    </row>
    <row r="116" spans="1:63"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c r="BI116" s="69"/>
      <c r="BJ116" s="69"/>
      <c r="BK116" s="69"/>
    </row>
    <row r="117" spans="1:63"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c r="BI117" s="69"/>
      <c r="BJ117" s="69"/>
      <c r="BK117" s="69"/>
    </row>
    <row r="118" spans="1:63"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c r="BI118" s="69"/>
      <c r="BJ118" s="69"/>
      <c r="BK118" s="69"/>
    </row>
    <row r="119" spans="1:63"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c r="BI119" s="69"/>
      <c r="BJ119" s="69"/>
      <c r="BK119" s="69"/>
    </row>
    <row r="120" spans="1:63"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c r="BI120" s="69"/>
      <c r="BJ120" s="69"/>
      <c r="BK120" s="69"/>
    </row>
    <row r="121" spans="1:63"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c r="BI121" s="69"/>
      <c r="BJ121" s="69"/>
      <c r="BK121" s="69"/>
    </row>
    <row r="122" spans="1:63" x14ac:dyDescent="0.25">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c r="BI122" s="69"/>
      <c r="BJ122" s="69"/>
      <c r="BK122" s="69"/>
    </row>
    <row r="123" spans="1:63" x14ac:dyDescent="0.25">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c r="BI123" s="69"/>
      <c r="BJ123" s="69"/>
      <c r="BK123" s="69"/>
    </row>
    <row r="124" spans="1:63" x14ac:dyDescent="0.25">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c r="BI124" s="69"/>
      <c r="BJ124" s="69"/>
      <c r="BK124" s="69"/>
    </row>
    <row r="125" spans="1:63" x14ac:dyDescent="0.25">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c r="BI125" s="69"/>
      <c r="BJ125" s="69"/>
      <c r="BK125" s="69"/>
    </row>
    <row r="126" spans="1:63" x14ac:dyDescent="0.25">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c r="BI126" s="69"/>
      <c r="BJ126" s="69"/>
      <c r="BK126" s="69"/>
    </row>
    <row r="127" spans="1:63" x14ac:dyDescent="0.25">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c r="BI127" s="69"/>
      <c r="BJ127" s="69"/>
      <c r="BK127" s="69"/>
    </row>
    <row r="128" spans="1:63" x14ac:dyDescent="0.25">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c r="BI128" s="69"/>
      <c r="BJ128" s="69"/>
      <c r="BK128" s="69"/>
    </row>
    <row r="129" spans="2:63" x14ac:dyDescent="0.25">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c r="BI129" s="69"/>
      <c r="BJ129" s="69"/>
      <c r="BK129" s="69"/>
    </row>
    <row r="130" spans="2:63" x14ac:dyDescent="0.25">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c r="BI130" s="69"/>
      <c r="BJ130" s="69"/>
      <c r="BK130" s="69"/>
    </row>
    <row r="131" spans="2:63" x14ac:dyDescent="0.25">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c r="BI131" s="69"/>
      <c r="BJ131" s="69"/>
      <c r="BK131" s="69"/>
    </row>
    <row r="132" spans="2:63" x14ac:dyDescent="0.25">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c r="BI132" s="69"/>
      <c r="BJ132" s="69"/>
      <c r="BK132" s="69"/>
    </row>
    <row r="133" spans="2:63" x14ac:dyDescent="0.25">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c r="BI133" s="69"/>
      <c r="BJ133" s="69"/>
      <c r="BK133" s="69"/>
    </row>
    <row r="134" spans="2:63" x14ac:dyDescent="0.25">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c r="BI134" s="69"/>
      <c r="BJ134" s="69"/>
      <c r="BK134" s="69"/>
    </row>
    <row r="135" spans="2:63" x14ac:dyDescent="0.25">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c r="BI135" s="69"/>
      <c r="BJ135" s="69"/>
      <c r="BK135" s="69"/>
    </row>
    <row r="136" spans="2:63" x14ac:dyDescent="0.25">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c r="BI136" s="69"/>
      <c r="BJ136" s="69"/>
      <c r="BK136" s="69"/>
    </row>
    <row r="137" spans="2:63" x14ac:dyDescent="0.25">
      <c r="B137" s="69"/>
      <c r="C137" s="69"/>
      <c r="D137" s="69"/>
      <c r="E137" s="69"/>
      <c r="F137" s="69"/>
      <c r="G137" s="69"/>
      <c r="H137" s="69"/>
      <c r="I137" s="69"/>
    </row>
    <row r="138" spans="2:63" x14ac:dyDescent="0.25">
      <c r="B138" s="69"/>
      <c r="C138" s="69"/>
      <c r="D138" s="69"/>
      <c r="E138" s="69"/>
      <c r="F138" s="69"/>
      <c r="G138" s="69"/>
      <c r="H138" s="69"/>
      <c r="I138" s="69"/>
    </row>
    <row r="139" spans="2:63" x14ac:dyDescent="0.25">
      <c r="B139" s="69"/>
      <c r="C139" s="69"/>
      <c r="D139" s="69"/>
      <c r="E139" s="69"/>
      <c r="F139" s="69"/>
      <c r="G139" s="69"/>
      <c r="H139" s="69"/>
      <c r="I139" s="69"/>
    </row>
    <row r="140" spans="2:63" x14ac:dyDescent="0.25">
      <c r="B140" s="69"/>
      <c r="C140" s="69"/>
      <c r="D140" s="69"/>
      <c r="E140" s="69"/>
      <c r="F140" s="69"/>
      <c r="G140" s="69"/>
      <c r="H140" s="69"/>
      <c r="I140" s="69"/>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X28:Y29"/>
    <mergeCell ref="Z28:AA29"/>
    <mergeCell ref="V30:W31"/>
    <mergeCell ref="X30:Y31"/>
    <mergeCell ref="Z30:AA31"/>
    <mergeCell ref="V32:W33"/>
    <mergeCell ref="X32:Y33"/>
    <mergeCell ref="Z32:AA33"/>
    <mergeCell ref="X22:Y23"/>
    <mergeCell ref="Z22:AA23"/>
    <mergeCell ref="V24:W25"/>
    <mergeCell ref="X24:Y25"/>
    <mergeCell ref="Z24:AA25"/>
    <mergeCell ref="V26:W27"/>
    <mergeCell ref="X26:Y27"/>
    <mergeCell ref="Z26:AA27"/>
    <mergeCell ref="R26:S27"/>
    <mergeCell ref="T26:U27"/>
    <mergeCell ref="P28:Q29"/>
    <mergeCell ref="R28:S29"/>
    <mergeCell ref="T28:U29"/>
    <mergeCell ref="V22:W23"/>
    <mergeCell ref="V28:W29"/>
    <mergeCell ref="J28:K29"/>
    <mergeCell ref="L28:M29"/>
    <mergeCell ref="N28:O29"/>
    <mergeCell ref="P22:Q23"/>
    <mergeCell ref="R22:S23"/>
    <mergeCell ref="T22:U23"/>
    <mergeCell ref="P24:Q25"/>
    <mergeCell ref="R24:S25"/>
    <mergeCell ref="T24:U25"/>
    <mergeCell ref="P26:Q27"/>
    <mergeCell ref="J24:K25"/>
    <mergeCell ref="L24:M25"/>
    <mergeCell ref="N24:O25"/>
    <mergeCell ref="J26:K27"/>
    <mergeCell ref="L26:M27"/>
    <mergeCell ref="N26:O27"/>
    <mergeCell ref="R18:S19"/>
    <mergeCell ref="T18:U19"/>
    <mergeCell ref="P20:Q21"/>
    <mergeCell ref="R20:S21"/>
    <mergeCell ref="T20:U21"/>
    <mergeCell ref="J22:K23"/>
    <mergeCell ref="L22:M23"/>
    <mergeCell ref="N22:O23"/>
    <mergeCell ref="J20:K21"/>
    <mergeCell ref="L20:M21"/>
    <mergeCell ref="N20:O2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J42:AK43"/>
    <mergeCell ref="AL42:AM43"/>
    <mergeCell ref="AH44:AI45"/>
    <mergeCell ref="AJ44:AK45"/>
    <mergeCell ref="AL44:AM45"/>
    <mergeCell ref="AH38:AI39"/>
    <mergeCell ref="AJ38:AK39"/>
    <mergeCell ref="AL38:AM39"/>
    <mergeCell ref="AH40:AI41"/>
    <mergeCell ref="AJ40:AK41"/>
    <mergeCell ref="AL40:AM41"/>
    <mergeCell ref="AH42:AI43"/>
    <mergeCell ref="AJ34:AK35"/>
    <mergeCell ref="AL34:AM35"/>
    <mergeCell ref="AH36:AI37"/>
    <mergeCell ref="AJ36:AK37"/>
    <mergeCell ref="AL36:AM37"/>
    <mergeCell ref="AH30:AI31"/>
    <mergeCell ref="AJ30:AK31"/>
    <mergeCell ref="AL30:AM31"/>
    <mergeCell ref="AH32:AI33"/>
    <mergeCell ref="AJ32:AK33"/>
    <mergeCell ref="AL32:AM33"/>
    <mergeCell ref="AH34:AI35"/>
    <mergeCell ref="AJ26:AK27"/>
    <mergeCell ref="AL26:AM27"/>
    <mergeCell ref="AH28:AI29"/>
    <mergeCell ref="AJ28:AK29"/>
    <mergeCell ref="AL28:AM29"/>
    <mergeCell ref="AH22:AI23"/>
    <mergeCell ref="AJ22:AK23"/>
    <mergeCell ref="AL22:AM23"/>
    <mergeCell ref="AH24:AI25"/>
    <mergeCell ref="AJ24:AK25"/>
    <mergeCell ref="AL24:AM25"/>
    <mergeCell ref="AH26:AI27"/>
    <mergeCell ref="AJ18:AK19"/>
    <mergeCell ref="AL18:AM19"/>
    <mergeCell ref="AH20:AI21"/>
    <mergeCell ref="AJ20:AK21"/>
    <mergeCell ref="AL20:AM21"/>
    <mergeCell ref="AH14:AI15"/>
    <mergeCell ref="AJ14:AK15"/>
    <mergeCell ref="AL14:AM15"/>
    <mergeCell ref="AH16:AI17"/>
    <mergeCell ref="AJ16:AK17"/>
    <mergeCell ref="AL16:AM17"/>
    <mergeCell ref="AH18:AI19"/>
    <mergeCell ref="AH10:AI11"/>
    <mergeCell ref="AJ10:AK11"/>
    <mergeCell ref="AL10:AM11"/>
    <mergeCell ref="AH12:AI13"/>
    <mergeCell ref="AJ12:AK13"/>
    <mergeCell ref="AL12:AM13"/>
    <mergeCell ref="AH6:AI7"/>
    <mergeCell ref="AJ6:AK7"/>
    <mergeCell ref="AL6:AM7"/>
    <mergeCell ref="AH8:AI9"/>
    <mergeCell ref="AJ8:AK9"/>
    <mergeCell ref="AL8:AM9"/>
    <mergeCell ref="AB44:AC45"/>
    <mergeCell ref="AD44:AE45"/>
    <mergeCell ref="AF44:AG45"/>
    <mergeCell ref="AB38:AC39"/>
    <mergeCell ref="AD38:AE39"/>
    <mergeCell ref="AF38:AG39"/>
    <mergeCell ref="AB40:AC41"/>
    <mergeCell ref="AD40:AE41"/>
    <mergeCell ref="AF40:AG41"/>
    <mergeCell ref="AB42:AC43"/>
    <mergeCell ref="AD42:AE43"/>
    <mergeCell ref="AF42:AG43"/>
    <mergeCell ref="AB28:AC29"/>
    <mergeCell ref="AD28:AE29"/>
    <mergeCell ref="AF28:AG29"/>
    <mergeCell ref="AB22:AC23"/>
    <mergeCell ref="AD22:AE23"/>
    <mergeCell ref="AF22:AG23"/>
    <mergeCell ref="AB24:AC25"/>
    <mergeCell ref="AD24:AE25"/>
    <mergeCell ref="AF24:AG25"/>
    <mergeCell ref="AD16:AE17"/>
    <mergeCell ref="AF16:AG17"/>
    <mergeCell ref="AB18:AC19"/>
    <mergeCell ref="AD18:AE19"/>
    <mergeCell ref="AF18:AG19"/>
    <mergeCell ref="AB26:AC27"/>
    <mergeCell ref="AD26:AE27"/>
    <mergeCell ref="AF26:AG27"/>
    <mergeCell ref="AB20:AC21"/>
    <mergeCell ref="AD20:AE21"/>
    <mergeCell ref="AF20:AG21"/>
    <mergeCell ref="AD12:AE13"/>
    <mergeCell ref="V8:W9"/>
    <mergeCell ref="X8:Y9"/>
    <mergeCell ref="X6:Y7"/>
    <mergeCell ref="AF12:AG13"/>
    <mergeCell ref="Z8:AA9"/>
    <mergeCell ref="V10:W11"/>
    <mergeCell ref="X10:Y11"/>
    <mergeCell ref="V20:W21"/>
    <mergeCell ref="X20:Y21"/>
    <mergeCell ref="Z20:AA21"/>
    <mergeCell ref="V14:W15"/>
    <mergeCell ref="X14:Y15"/>
    <mergeCell ref="Z14:AA15"/>
    <mergeCell ref="V16:W17"/>
    <mergeCell ref="X16:Y17"/>
    <mergeCell ref="Z16:AA17"/>
    <mergeCell ref="V18:W19"/>
    <mergeCell ref="X18:Y19"/>
    <mergeCell ref="Z18:AA19"/>
    <mergeCell ref="AB14:AC15"/>
    <mergeCell ref="AD14:AE15"/>
    <mergeCell ref="AF14:AG15"/>
    <mergeCell ref="AB16:AC1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J12:K13"/>
    <mergeCell ref="L10:M11"/>
    <mergeCell ref="L12:M13"/>
    <mergeCell ref="J14:K15"/>
    <mergeCell ref="T8:U9"/>
    <mergeCell ref="P10:Q11"/>
    <mergeCell ref="R10:S11"/>
    <mergeCell ref="T10:U11"/>
    <mergeCell ref="Z10:AA11"/>
    <mergeCell ref="AO6:AT13"/>
    <mergeCell ref="AO14:AT21"/>
    <mergeCell ref="AO22:AT29"/>
    <mergeCell ref="AO30:AT37"/>
    <mergeCell ref="E22:I29"/>
    <mergeCell ref="E38:I45"/>
    <mergeCell ref="V6:W7"/>
    <mergeCell ref="Z6:AA7"/>
    <mergeCell ref="P8:Q9"/>
    <mergeCell ref="R6:S7"/>
    <mergeCell ref="T6:U7"/>
    <mergeCell ref="AF6:AG7"/>
    <mergeCell ref="AB8:AC9"/>
    <mergeCell ref="AD8:AE9"/>
    <mergeCell ref="AF8:AG9"/>
    <mergeCell ref="AB10:AC11"/>
    <mergeCell ref="AD10:AE11"/>
    <mergeCell ref="AF10:AG11"/>
    <mergeCell ref="V12:W13"/>
    <mergeCell ref="X12:Y13"/>
    <mergeCell ref="Z12:AA13"/>
    <mergeCell ref="AB6:AC7"/>
    <mergeCell ref="AD6:AE7"/>
    <mergeCell ref="AB12:AC13"/>
    <mergeCell ref="J46:O51"/>
    <mergeCell ref="P46:U51"/>
    <mergeCell ref="V46:AA51"/>
    <mergeCell ref="N10:O11"/>
    <mergeCell ref="N12:O13"/>
    <mergeCell ref="R12:S13"/>
    <mergeCell ref="T12:U13"/>
    <mergeCell ref="R8:S9"/>
    <mergeCell ref="B6:D45"/>
    <mergeCell ref="L14:M15"/>
    <mergeCell ref="N14:O15"/>
    <mergeCell ref="J16:K17"/>
    <mergeCell ref="L16:M17"/>
    <mergeCell ref="N16:O17"/>
    <mergeCell ref="J18:K19"/>
    <mergeCell ref="L18:M19"/>
    <mergeCell ref="N18:O19"/>
    <mergeCell ref="P14:Q15"/>
    <mergeCell ref="R14:S15"/>
    <mergeCell ref="T14:U15"/>
    <mergeCell ref="P16:Q17"/>
    <mergeCell ref="R16:S17"/>
    <mergeCell ref="T16:U17"/>
    <mergeCell ref="P18:Q19"/>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CM248"/>
  <sheetViews>
    <sheetView zoomScale="50" zoomScaleNormal="50" workbookViewId="0">
      <selection activeCell="B6" sqref="B6:D55"/>
    </sheetView>
  </sheetViews>
  <sheetFormatPr baseColWidth="10" defaultColWidth="11.42578125" defaultRowHeight="15" x14ac:dyDescent="0.25"/>
  <cols>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1" max="46" width="5.7109375" customWidth="1"/>
  </cols>
  <sheetData>
    <row r="1" spans="1:91"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row>
    <row r="2" spans="1:91" ht="18" customHeight="1" x14ac:dyDescent="0.25">
      <c r="A2" s="69"/>
      <c r="B2" s="631" t="s">
        <v>143</v>
      </c>
      <c r="C2" s="632"/>
      <c r="D2" s="632"/>
      <c r="E2" s="632"/>
      <c r="F2" s="632"/>
      <c r="G2" s="632"/>
      <c r="H2" s="632"/>
      <c r="I2" s="632"/>
      <c r="J2" s="585" t="s">
        <v>15</v>
      </c>
      <c r="K2" s="585"/>
      <c r="L2" s="585"/>
      <c r="M2" s="585"/>
      <c r="N2" s="585"/>
      <c r="O2" s="585"/>
      <c r="P2" s="585"/>
      <c r="Q2" s="585"/>
      <c r="R2" s="585"/>
      <c r="S2" s="585"/>
      <c r="T2" s="585"/>
      <c r="U2" s="585"/>
      <c r="V2" s="585"/>
      <c r="W2" s="585"/>
      <c r="X2" s="585"/>
      <c r="Y2" s="585"/>
      <c r="Z2" s="585"/>
      <c r="AA2" s="585"/>
      <c r="AB2" s="585"/>
      <c r="AC2" s="585"/>
      <c r="AD2" s="585"/>
      <c r="AE2" s="585"/>
      <c r="AF2" s="585"/>
      <c r="AG2" s="585"/>
      <c r="AH2" s="585"/>
      <c r="AI2" s="585"/>
      <c r="AJ2" s="585"/>
      <c r="AK2" s="585"/>
      <c r="AL2" s="585"/>
      <c r="AM2" s="585"/>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row>
    <row r="3" spans="1:91" ht="18.75" customHeight="1" x14ac:dyDescent="0.25">
      <c r="A3" s="69"/>
      <c r="B3" s="632"/>
      <c r="C3" s="632"/>
      <c r="D3" s="632"/>
      <c r="E3" s="632"/>
      <c r="F3" s="632"/>
      <c r="G3" s="632"/>
      <c r="H3" s="632"/>
      <c r="I3" s="632"/>
      <c r="J3" s="585"/>
      <c r="K3" s="585"/>
      <c r="L3" s="585"/>
      <c r="M3" s="585"/>
      <c r="N3" s="585"/>
      <c r="O3" s="585"/>
      <c r="P3" s="585"/>
      <c r="Q3" s="585"/>
      <c r="R3" s="585"/>
      <c r="S3" s="585"/>
      <c r="T3" s="585"/>
      <c r="U3" s="585"/>
      <c r="V3" s="585"/>
      <c r="W3" s="585"/>
      <c r="X3" s="585"/>
      <c r="Y3" s="585"/>
      <c r="Z3" s="585"/>
      <c r="AA3" s="585"/>
      <c r="AB3" s="585"/>
      <c r="AC3" s="585"/>
      <c r="AD3" s="585"/>
      <c r="AE3" s="585"/>
      <c r="AF3" s="585"/>
      <c r="AG3" s="585"/>
      <c r="AH3" s="585"/>
      <c r="AI3" s="585"/>
      <c r="AJ3" s="585"/>
      <c r="AK3" s="585"/>
      <c r="AL3" s="585"/>
      <c r="AM3" s="585"/>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row>
    <row r="4" spans="1:91" ht="15" customHeight="1" x14ac:dyDescent="0.25">
      <c r="A4" s="69"/>
      <c r="B4" s="632"/>
      <c r="C4" s="632"/>
      <c r="D4" s="632"/>
      <c r="E4" s="632"/>
      <c r="F4" s="632"/>
      <c r="G4" s="632"/>
      <c r="H4" s="632"/>
      <c r="I4" s="632"/>
      <c r="J4" s="585"/>
      <c r="K4" s="585"/>
      <c r="L4" s="585"/>
      <c r="M4" s="585"/>
      <c r="N4" s="585"/>
      <c r="O4" s="585"/>
      <c r="P4" s="585"/>
      <c r="Q4" s="585"/>
      <c r="R4" s="585"/>
      <c r="S4" s="585"/>
      <c r="T4" s="585"/>
      <c r="U4" s="585"/>
      <c r="V4" s="585"/>
      <c r="W4" s="585"/>
      <c r="X4" s="585"/>
      <c r="Y4" s="585"/>
      <c r="Z4" s="585"/>
      <c r="AA4" s="585"/>
      <c r="AB4" s="585"/>
      <c r="AC4" s="585"/>
      <c r="AD4" s="585"/>
      <c r="AE4" s="585"/>
      <c r="AF4" s="585"/>
      <c r="AG4" s="585"/>
      <c r="AH4" s="585"/>
      <c r="AI4" s="585"/>
      <c r="AJ4" s="585"/>
      <c r="AK4" s="585"/>
      <c r="AL4" s="585"/>
      <c r="AM4" s="585"/>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row>
    <row r="5" spans="1:91"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row>
    <row r="6" spans="1:91" ht="15" customHeight="1" x14ac:dyDescent="0.25">
      <c r="A6" s="69"/>
      <c r="B6" s="537" t="s">
        <v>128</v>
      </c>
      <c r="C6" s="537"/>
      <c r="D6" s="538"/>
      <c r="E6" s="612" t="s">
        <v>129</v>
      </c>
      <c r="F6" s="613"/>
      <c r="G6" s="613"/>
      <c r="H6" s="613"/>
      <c r="I6" s="614"/>
      <c r="J6" s="32" t="str">
        <f ca="1">IF(AND('Mapa final'!$AG$13="Muy Alta",'Mapa final'!$AI$13="Leve"),CONCATENATE("R1C",'Mapa final'!$W$13),"")</f>
        <v/>
      </c>
      <c r="K6" s="33" t="str">
        <f ca="1">IF(AND('Mapa final'!$AG$14="Muy Alta",'Mapa final'!$AI$14="Leve"),CONCATENATE("R1C",'Mapa final'!$W$14),"")</f>
        <v/>
      </c>
      <c r="L6" s="33" t="e">
        <f>IF(AND('Mapa final'!#REF!="Muy Alta",'Mapa final'!#REF!="Leve"),CONCATENATE("R1C",'Mapa final'!#REF!),"")</f>
        <v>#REF!</v>
      </c>
      <c r="M6" s="33" t="e">
        <f>IF(AND('Mapa final'!#REF!="Muy Alta",'Mapa final'!#REF!="Leve"),CONCATENATE("R1C",'Mapa final'!#REF!),"")</f>
        <v>#REF!</v>
      </c>
      <c r="N6" s="33" t="e">
        <f>IF(AND('Mapa final'!#REF!="Muy Alta",'Mapa final'!#REF!="Leve"),CONCATENATE("R1C",'Mapa final'!#REF!),"")</f>
        <v>#REF!</v>
      </c>
      <c r="O6" s="34" t="e">
        <f>IF(AND('Mapa final'!#REF!="Muy Alta",'Mapa final'!#REF!="Leve"),CONCATENATE("R1C",'Mapa final'!#REF!),"")</f>
        <v>#REF!</v>
      </c>
      <c r="P6" s="32" t="str">
        <f ca="1">IF(AND('Mapa final'!$AG$13="Muy Alta",'Mapa final'!$AI$13="Menor"),CONCATENATE("R1C",'Mapa final'!$W$13),"")</f>
        <v/>
      </c>
      <c r="Q6" s="33" t="str">
        <f ca="1">IF(AND('Mapa final'!$AG$14="Muy Alta",'Mapa final'!$AI$14="Menor"),CONCATENATE("R1C",'Mapa final'!$W$14),"")</f>
        <v/>
      </c>
      <c r="R6" s="33" t="e">
        <f>IF(AND('Mapa final'!#REF!="Muy Alta",'Mapa final'!#REF!="Menor"),CONCATENATE("R1C",'Mapa final'!#REF!),"")</f>
        <v>#REF!</v>
      </c>
      <c r="S6" s="33" t="e">
        <f>IF(AND('Mapa final'!#REF!="Muy Alta",'Mapa final'!#REF!="Menor"),CONCATENATE("R1C",'Mapa final'!#REF!),"")</f>
        <v>#REF!</v>
      </c>
      <c r="T6" s="33" t="e">
        <f>IF(AND('Mapa final'!#REF!="Muy Alta",'Mapa final'!#REF!="Menor"),CONCATENATE("R1C",'Mapa final'!#REF!),"")</f>
        <v>#REF!</v>
      </c>
      <c r="U6" s="34" t="e">
        <f>IF(AND('Mapa final'!#REF!="Muy Alta",'Mapa final'!#REF!="Menor"),CONCATENATE("R1C",'Mapa final'!#REF!),"")</f>
        <v>#REF!</v>
      </c>
      <c r="V6" s="32" t="str">
        <f ca="1">IF(AND('Mapa final'!$AG$13="Muy Alta",'Mapa final'!$AI$13="Moderado"),CONCATENATE("R1C",'Mapa final'!$W$13),"")</f>
        <v/>
      </c>
      <c r="W6" s="33" t="str">
        <f ca="1">IF(AND('Mapa final'!$AG$14="Muy Alta",'Mapa final'!$AI$14="Moderado"),CONCATENATE("R1C",'Mapa final'!$W$14),"")</f>
        <v/>
      </c>
      <c r="X6" s="33" t="e">
        <f>IF(AND('Mapa final'!#REF!="Muy Alta",'Mapa final'!#REF!="Moderado"),CONCATENATE("R1C",'Mapa final'!#REF!),"")</f>
        <v>#REF!</v>
      </c>
      <c r="Y6" s="33" t="e">
        <f>IF(AND('Mapa final'!#REF!="Muy Alta",'Mapa final'!#REF!="Moderado"),CONCATENATE("R1C",'Mapa final'!#REF!),"")</f>
        <v>#REF!</v>
      </c>
      <c r="Z6" s="33" t="e">
        <f>IF(AND('Mapa final'!#REF!="Muy Alta",'Mapa final'!#REF!="Moderado"),CONCATENATE("R1C",'Mapa final'!#REF!),"")</f>
        <v>#REF!</v>
      </c>
      <c r="AA6" s="34" t="e">
        <f>IF(AND('Mapa final'!#REF!="Muy Alta",'Mapa final'!#REF!="Moderado"),CONCATENATE("R1C",'Mapa final'!#REF!),"")</f>
        <v>#REF!</v>
      </c>
      <c r="AB6" s="32" t="str">
        <f ca="1">IF(AND('Mapa final'!$AG$13="Muy Alta",'Mapa final'!$AI$13="Mayor"),CONCATENATE("R1C",'Mapa final'!$W$13),"")</f>
        <v/>
      </c>
      <c r="AC6" s="33" t="str">
        <f ca="1">IF(AND('Mapa final'!$AG$14="Muy Alta",'Mapa final'!$AI$14="Mayor"),CONCATENATE("R1C",'Mapa final'!$W$14),"")</f>
        <v/>
      </c>
      <c r="AD6" s="33" t="e">
        <f>IF(AND('Mapa final'!#REF!="Muy Alta",'Mapa final'!#REF!="Mayor"),CONCATENATE("R1C",'Mapa final'!#REF!),"")</f>
        <v>#REF!</v>
      </c>
      <c r="AE6" s="33" t="e">
        <f>IF(AND('Mapa final'!#REF!="Muy Alta",'Mapa final'!#REF!="Mayor"),CONCATENATE("R1C",'Mapa final'!#REF!),"")</f>
        <v>#REF!</v>
      </c>
      <c r="AF6" s="33" t="e">
        <f>IF(AND('Mapa final'!#REF!="Muy Alta",'Mapa final'!#REF!="Mayor"),CONCATENATE("R1C",'Mapa final'!#REF!),"")</f>
        <v>#REF!</v>
      </c>
      <c r="AG6" s="34" t="e">
        <f>IF(AND('Mapa final'!#REF!="Muy Alta",'Mapa final'!#REF!="Mayor"),CONCATENATE("R1C",'Mapa final'!#REF!),"")</f>
        <v>#REF!</v>
      </c>
      <c r="AH6" s="35" t="str">
        <f ca="1">IF(AND('Mapa final'!$AG$13="Muy Alta",'Mapa final'!$AI$13="Catastrófico"),CONCATENATE("R1C",'Mapa final'!$W$13),"")</f>
        <v/>
      </c>
      <c r="AI6" s="36" t="str">
        <f ca="1">IF(AND('Mapa final'!$AG$14="Muy Alta",'Mapa final'!$AI$14="Catastrófico"),CONCATENATE("R1C",'Mapa final'!$W$14),"")</f>
        <v/>
      </c>
      <c r="AJ6" s="36" t="e">
        <f>IF(AND('Mapa final'!#REF!="Muy Alta",'Mapa final'!#REF!="Catastrófico"),CONCATENATE("R1C",'Mapa final'!#REF!),"")</f>
        <v>#REF!</v>
      </c>
      <c r="AK6" s="36" t="e">
        <f>IF(AND('Mapa final'!#REF!="Muy Alta",'Mapa final'!#REF!="Catastrófico"),CONCATENATE("R1C",'Mapa final'!#REF!),"")</f>
        <v>#REF!</v>
      </c>
      <c r="AL6" s="36" t="e">
        <f>IF(AND('Mapa final'!#REF!="Muy Alta",'Mapa final'!#REF!="Catastrófico"),CONCATENATE("R1C",'Mapa final'!#REF!),"")</f>
        <v>#REF!</v>
      </c>
      <c r="AM6" s="37" t="e">
        <f>IF(AND('Mapa final'!#REF!="Muy Alta",'Mapa final'!#REF!="Catastrófico"),CONCATENATE("R1C",'Mapa final'!#REF!),"")</f>
        <v>#REF!</v>
      </c>
      <c r="AN6" s="69"/>
      <c r="AO6" s="622" t="s">
        <v>130</v>
      </c>
      <c r="AP6" s="623"/>
      <c r="AQ6" s="623"/>
      <c r="AR6" s="623"/>
      <c r="AS6" s="623"/>
      <c r="AT6" s="624"/>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row>
    <row r="7" spans="1:91" ht="15" customHeight="1" x14ac:dyDescent="0.25">
      <c r="A7" s="69"/>
      <c r="B7" s="537"/>
      <c r="C7" s="537"/>
      <c r="D7" s="538"/>
      <c r="E7" s="618"/>
      <c r="F7" s="616"/>
      <c r="G7" s="616"/>
      <c r="H7" s="616"/>
      <c r="I7" s="617"/>
      <c r="J7" s="38" t="str">
        <f ca="1">IF(AND('Mapa final'!$AG$15="Muy Alta",'Mapa final'!$AI$15="Leve"),CONCATENATE("R2C",'Mapa final'!$W$15),"")</f>
        <v/>
      </c>
      <c r="K7" s="39" t="str">
        <f ca="1">IF(AND('Mapa final'!$AG$16="Muy Alta",'Mapa final'!$AI$16="Leve"),CONCATENATE("R2C",'Mapa final'!$W$16),"")</f>
        <v/>
      </c>
      <c r="L7" s="39" t="e">
        <f>IF(AND('Mapa final'!#REF!="Muy Alta",'Mapa final'!#REF!="Leve"),CONCATENATE("R2C",'Mapa final'!#REF!),"")</f>
        <v>#REF!</v>
      </c>
      <c r="M7" s="39" t="e">
        <f>IF(AND('Mapa final'!#REF!="Muy Alta",'Mapa final'!#REF!="Leve"),CONCATENATE("R2C",'Mapa final'!#REF!),"")</f>
        <v>#REF!</v>
      </c>
      <c r="N7" s="39" t="e">
        <f>IF(AND('Mapa final'!#REF!="Muy Alta",'Mapa final'!#REF!="Leve"),CONCATENATE("R2C",'Mapa final'!#REF!),"")</f>
        <v>#REF!</v>
      </c>
      <c r="O7" s="40" t="e">
        <f>IF(AND('Mapa final'!#REF!="Muy Alta",'Mapa final'!#REF!="Leve"),CONCATENATE("R2C",'Mapa final'!#REF!),"")</f>
        <v>#REF!</v>
      </c>
      <c r="P7" s="38" t="str">
        <f ca="1">IF(AND('Mapa final'!$AG$15="Muy Alta",'Mapa final'!$AI$15="Menor"),CONCATENATE("R2C",'Mapa final'!$W$15),"")</f>
        <v/>
      </c>
      <c r="Q7" s="39" t="str">
        <f ca="1">IF(AND('Mapa final'!$AG$16="Muy Alta",'Mapa final'!$AI$16="Menor"),CONCATENATE("R2C",'Mapa final'!$W$16),"")</f>
        <v/>
      </c>
      <c r="R7" s="39" t="e">
        <f>IF(AND('Mapa final'!#REF!="Muy Alta",'Mapa final'!#REF!="Menor"),CONCATENATE("R2C",'Mapa final'!#REF!),"")</f>
        <v>#REF!</v>
      </c>
      <c r="S7" s="39" t="e">
        <f>IF(AND('Mapa final'!#REF!="Muy Alta",'Mapa final'!#REF!="Menor"),CONCATENATE("R2C",'Mapa final'!#REF!),"")</f>
        <v>#REF!</v>
      </c>
      <c r="T7" s="39" t="e">
        <f>IF(AND('Mapa final'!#REF!="Muy Alta",'Mapa final'!#REF!="Menor"),CONCATENATE("R2C",'Mapa final'!#REF!),"")</f>
        <v>#REF!</v>
      </c>
      <c r="U7" s="40" t="e">
        <f>IF(AND('Mapa final'!#REF!="Muy Alta",'Mapa final'!#REF!="Menor"),CONCATENATE("R2C",'Mapa final'!#REF!),"")</f>
        <v>#REF!</v>
      </c>
      <c r="V7" s="38" t="str">
        <f ca="1">IF(AND('Mapa final'!$AG$15="Muy Alta",'Mapa final'!$AI$15="Moderado"),CONCATENATE("R2C",'Mapa final'!$W$15),"")</f>
        <v/>
      </c>
      <c r="W7" s="39" t="str">
        <f ca="1">IF(AND('Mapa final'!$AG$16="Muy Alta",'Mapa final'!$AI$16="Moderado"),CONCATENATE("R2C",'Mapa final'!$W$16),"")</f>
        <v/>
      </c>
      <c r="X7" s="39" t="e">
        <f>IF(AND('Mapa final'!#REF!="Muy Alta",'Mapa final'!#REF!="Moderado"),CONCATENATE("R2C",'Mapa final'!#REF!),"")</f>
        <v>#REF!</v>
      </c>
      <c r="Y7" s="39" t="e">
        <f>IF(AND('Mapa final'!#REF!="Muy Alta",'Mapa final'!#REF!="Moderado"),CONCATENATE("R2C",'Mapa final'!#REF!),"")</f>
        <v>#REF!</v>
      </c>
      <c r="Z7" s="39" t="e">
        <f>IF(AND('Mapa final'!#REF!="Muy Alta",'Mapa final'!#REF!="Moderado"),CONCATENATE("R2C",'Mapa final'!#REF!),"")</f>
        <v>#REF!</v>
      </c>
      <c r="AA7" s="40" t="e">
        <f>IF(AND('Mapa final'!#REF!="Muy Alta",'Mapa final'!#REF!="Moderado"),CONCATENATE("R2C",'Mapa final'!#REF!),"")</f>
        <v>#REF!</v>
      </c>
      <c r="AB7" s="38" t="str">
        <f ca="1">IF(AND('Mapa final'!$AG$15="Muy Alta",'Mapa final'!$AI$15="Mayor"),CONCATENATE("R2C",'Mapa final'!$W$15),"")</f>
        <v/>
      </c>
      <c r="AC7" s="39" t="str">
        <f ca="1">IF(AND('Mapa final'!$AG$16="Muy Alta",'Mapa final'!$AI$16="Mayor"),CONCATENATE("R2C",'Mapa final'!$W$16),"")</f>
        <v/>
      </c>
      <c r="AD7" s="39" t="e">
        <f>IF(AND('Mapa final'!#REF!="Muy Alta",'Mapa final'!#REF!="Mayor"),CONCATENATE("R2C",'Mapa final'!#REF!),"")</f>
        <v>#REF!</v>
      </c>
      <c r="AE7" s="39" t="e">
        <f>IF(AND('Mapa final'!#REF!="Muy Alta",'Mapa final'!#REF!="Mayor"),CONCATENATE("R2C",'Mapa final'!#REF!),"")</f>
        <v>#REF!</v>
      </c>
      <c r="AF7" s="39" t="e">
        <f>IF(AND('Mapa final'!#REF!="Muy Alta",'Mapa final'!#REF!="Mayor"),CONCATENATE("R2C",'Mapa final'!#REF!),"")</f>
        <v>#REF!</v>
      </c>
      <c r="AG7" s="40" t="e">
        <f>IF(AND('Mapa final'!#REF!="Muy Alta",'Mapa final'!#REF!="Mayor"),CONCATENATE("R2C",'Mapa final'!#REF!),"")</f>
        <v>#REF!</v>
      </c>
      <c r="AH7" s="41" t="str">
        <f ca="1">IF(AND('Mapa final'!$AG$15="Muy Alta",'Mapa final'!$AI$15="Catastrófico"),CONCATENATE("R2C",'Mapa final'!$W$15),"")</f>
        <v/>
      </c>
      <c r="AI7" s="42" t="str">
        <f ca="1">IF(AND('Mapa final'!$AG$16="Muy Alta",'Mapa final'!$AI$16="Catastrófico"),CONCATENATE("R2C",'Mapa final'!$W$16),"")</f>
        <v/>
      </c>
      <c r="AJ7" s="42" t="e">
        <f>IF(AND('Mapa final'!#REF!="Muy Alta",'Mapa final'!#REF!="Catastrófico"),CONCATENATE("R2C",'Mapa final'!#REF!),"")</f>
        <v>#REF!</v>
      </c>
      <c r="AK7" s="42" t="e">
        <f>IF(AND('Mapa final'!#REF!="Muy Alta",'Mapa final'!#REF!="Catastrófico"),CONCATENATE("R2C",'Mapa final'!#REF!),"")</f>
        <v>#REF!</v>
      </c>
      <c r="AL7" s="42" t="e">
        <f>IF(AND('Mapa final'!#REF!="Muy Alta",'Mapa final'!#REF!="Catastrófico"),CONCATENATE("R2C",'Mapa final'!#REF!),"")</f>
        <v>#REF!</v>
      </c>
      <c r="AM7" s="43" t="e">
        <f>IF(AND('Mapa final'!#REF!="Muy Alta",'Mapa final'!#REF!="Catastrófico"),CONCATENATE("R2C",'Mapa final'!#REF!),"")</f>
        <v>#REF!</v>
      </c>
      <c r="AN7" s="69"/>
      <c r="AO7" s="625"/>
      <c r="AP7" s="626"/>
      <c r="AQ7" s="626"/>
      <c r="AR7" s="626"/>
      <c r="AS7" s="626"/>
      <c r="AT7" s="627"/>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row>
    <row r="8" spans="1:91" ht="15" customHeight="1" x14ac:dyDescent="0.25">
      <c r="A8" s="69"/>
      <c r="B8" s="537"/>
      <c r="C8" s="537"/>
      <c r="D8" s="538"/>
      <c r="E8" s="618"/>
      <c r="F8" s="616"/>
      <c r="G8" s="616"/>
      <c r="H8" s="616"/>
      <c r="I8" s="617"/>
      <c r="J8" s="38" t="str">
        <f ca="1">IF(AND('Mapa final'!$AG$17="Muy Alta",'Mapa final'!$AI$17="Leve"),CONCATENATE("R3C",'Mapa final'!$W$17),"")</f>
        <v/>
      </c>
      <c r="K8" s="39" t="str">
        <f ca="1">IF(AND('Mapa final'!$AG$18="Muy Alta",'Mapa final'!$AI$18="Leve"),CONCATENATE("R3C",'Mapa final'!$W$18),"")</f>
        <v/>
      </c>
      <c r="L8" s="39" t="str">
        <f ca="1">IF(AND('Mapa final'!$AG$19="Muy Alta",'Mapa final'!$AI$19="Leve"),CONCATENATE("R3C",'Mapa final'!$W$19),"")</f>
        <v/>
      </c>
      <c r="M8" s="39" t="e">
        <f>IF(AND('Mapa final'!#REF!="Muy Alta",'Mapa final'!#REF!="Leve"),CONCATENATE("R3C",'Mapa final'!#REF!),"")</f>
        <v>#REF!</v>
      </c>
      <c r="N8" s="39" t="e">
        <f>IF(AND('Mapa final'!#REF!="Muy Alta",'Mapa final'!#REF!="Leve"),CONCATENATE("R3C",'Mapa final'!#REF!),"")</f>
        <v>#REF!</v>
      </c>
      <c r="O8" s="40" t="e">
        <f>IF(AND('Mapa final'!#REF!="Muy Alta",'Mapa final'!#REF!="Leve"),CONCATENATE("R3C",'Mapa final'!#REF!),"")</f>
        <v>#REF!</v>
      </c>
      <c r="P8" s="38" t="str">
        <f ca="1">IF(AND('Mapa final'!$AG$17="Muy Alta",'Mapa final'!$AI$17="Menor"),CONCATENATE("R3C",'Mapa final'!$W$17),"")</f>
        <v/>
      </c>
      <c r="Q8" s="39" t="str">
        <f ca="1">IF(AND('Mapa final'!$AG$18="Muy Alta",'Mapa final'!$AI$18="Menor"),CONCATENATE("R3C",'Mapa final'!$W$18),"")</f>
        <v/>
      </c>
      <c r="R8" s="39" t="str">
        <f ca="1">IF(AND('Mapa final'!$AG$19="Muy Alta",'Mapa final'!$AI$19="Menor"),CONCATENATE("R3C",'Mapa final'!$W$19),"")</f>
        <v/>
      </c>
      <c r="S8" s="39" t="e">
        <f>IF(AND('Mapa final'!#REF!="Muy Alta",'Mapa final'!#REF!="Menor"),CONCATENATE("R3C",'Mapa final'!#REF!),"")</f>
        <v>#REF!</v>
      </c>
      <c r="T8" s="39" t="e">
        <f>IF(AND('Mapa final'!#REF!="Muy Alta",'Mapa final'!#REF!="Menor"),CONCATENATE("R3C",'Mapa final'!#REF!),"")</f>
        <v>#REF!</v>
      </c>
      <c r="U8" s="40" t="e">
        <f>IF(AND('Mapa final'!#REF!="Muy Alta",'Mapa final'!#REF!="Menor"),CONCATENATE("R3C",'Mapa final'!#REF!),"")</f>
        <v>#REF!</v>
      </c>
      <c r="V8" s="38" t="str">
        <f ca="1">IF(AND('Mapa final'!$AG$17="Muy Alta",'Mapa final'!$AI$17="Moderado"),CONCATENATE("R3C",'Mapa final'!$W$17),"")</f>
        <v/>
      </c>
      <c r="W8" s="39" t="str">
        <f ca="1">IF(AND('Mapa final'!$AG$18="Muy Alta",'Mapa final'!$AI$18="Moderado"),CONCATENATE("R3C",'Mapa final'!$W$18),"")</f>
        <v/>
      </c>
      <c r="X8" s="39" t="str">
        <f ca="1">IF(AND('Mapa final'!$AG$19="Muy Alta",'Mapa final'!$AI$19="Moderado"),CONCATENATE("R3C",'Mapa final'!$W$19),"")</f>
        <v/>
      </c>
      <c r="Y8" s="39" t="e">
        <f>IF(AND('Mapa final'!#REF!="Muy Alta",'Mapa final'!#REF!="Moderado"),CONCATENATE("R3C",'Mapa final'!#REF!),"")</f>
        <v>#REF!</v>
      </c>
      <c r="Z8" s="39" t="e">
        <f>IF(AND('Mapa final'!#REF!="Muy Alta",'Mapa final'!#REF!="Moderado"),CONCATENATE("R3C",'Mapa final'!#REF!),"")</f>
        <v>#REF!</v>
      </c>
      <c r="AA8" s="40" t="e">
        <f>IF(AND('Mapa final'!#REF!="Muy Alta",'Mapa final'!#REF!="Moderado"),CONCATENATE("R3C",'Mapa final'!#REF!),"")</f>
        <v>#REF!</v>
      </c>
      <c r="AB8" s="38" t="str">
        <f ca="1">IF(AND('Mapa final'!$AG$17="Muy Alta",'Mapa final'!$AI$17="Mayor"),CONCATENATE("R3C",'Mapa final'!$W$17),"")</f>
        <v/>
      </c>
      <c r="AC8" s="39" t="str">
        <f ca="1">IF(AND('Mapa final'!$AG$18="Muy Alta",'Mapa final'!$AI$18="Mayor"),CONCATENATE("R3C",'Mapa final'!$W$18),"")</f>
        <v/>
      </c>
      <c r="AD8" s="39" t="str">
        <f ca="1">IF(AND('Mapa final'!$AG$19="Muy Alta",'Mapa final'!$AI$19="Mayor"),CONCATENATE("R3C",'Mapa final'!$W$19),"")</f>
        <v/>
      </c>
      <c r="AE8" s="39" t="e">
        <f>IF(AND('Mapa final'!#REF!="Muy Alta",'Mapa final'!#REF!="Mayor"),CONCATENATE("R3C",'Mapa final'!#REF!),"")</f>
        <v>#REF!</v>
      </c>
      <c r="AF8" s="39" t="e">
        <f>IF(AND('Mapa final'!#REF!="Muy Alta",'Mapa final'!#REF!="Mayor"),CONCATENATE("R3C",'Mapa final'!#REF!),"")</f>
        <v>#REF!</v>
      </c>
      <c r="AG8" s="40" t="e">
        <f>IF(AND('Mapa final'!#REF!="Muy Alta",'Mapa final'!#REF!="Mayor"),CONCATENATE("R3C",'Mapa final'!#REF!),"")</f>
        <v>#REF!</v>
      </c>
      <c r="AH8" s="41" t="str">
        <f ca="1">IF(AND('Mapa final'!$AG$17="Muy Alta",'Mapa final'!$AI$17="Catastrófico"),CONCATENATE("R3C",'Mapa final'!$W$17),"")</f>
        <v/>
      </c>
      <c r="AI8" s="42" t="str">
        <f ca="1">IF(AND('Mapa final'!$AG$18="Muy Alta",'Mapa final'!$AI$18="Catastrófico"),CONCATENATE("R3C",'Mapa final'!$W$18),"")</f>
        <v/>
      </c>
      <c r="AJ8" s="42" t="str">
        <f ca="1">IF(AND('Mapa final'!$AG$19="Muy Alta",'Mapa final'!$AI$19="Catastrófico"),CONCATENATE("R3C",'Mapa final'!$W$19),"")</f>
        <v/>
      </c>
      <c r="AK8" s="42" t="e">
        <f>IF(AND('Mapa final'!#REF!="Muy Alta",'Mapa final'!#REF!="Catastrófico"),CONCATENATE("R3C",'Mapa final'!#REF!),"")</f>
        <v>#REF!</v>
      </c>
      <c r="AL8" s="42" t="e">
        <f>IF(AND('Mapa final'!#REF!="Muy Alta",'Mapa final'!#REF!="Catastrófico"),CONCATENATE("R3C",'Mapa final'!#REF!),"")</f>
        <v>#REF!</v>
      </c>
      <c r="AM8" s="43" t="e">
        <f>IF(AND('Mapa final'!#REF!="Muy Alta",'Mapa final'!#REF!="Catastrófico"),CONCATENATE("R3C",'Mapa final'!#REF!),"")</f>
        <v>#REF!</v>
      </c>
      <c r="AN8" s="69"/>
      <c r="AO8" s="625"/>
      <c r="AP8" s="626"/>
      <c r="AQ8" s="626"/>
      <c r="AR8" s="626"/>
      <c r="AS8" s="626"/>
      <c r="AT8" s="627"/>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row>
    <row r="9" spans="1:91" ht="15" customHeight="1" x14ac:dyDescent="0.25">
      <c r="A9" s="69"/>
      <c r="B9" s="537"/>
      <c r="C9" s="537"/>
      <c r="D9" s="538"/>
      <c r="E9" s="618"/>
      <c r="F9" s="616"/>
      <c r="G9" s="616"/>
      <c r="H9" s="616"/>
      <c r="I9" s="617"/>
      <c r="J9" s="38" t="str">
        <f ca="1">IF(AND('Mapa final'!$AG$20="Muy Alta",'Mapa final'!$AI$20="Leve"),CONCATENATE("R4C",'Mapa final'!$W$20),"")</f>
        <v/>
      </c>
      <c r="K9" s="39" t="str">
        <f ca="1">IF(AND('Mapa final'!$AG$21="Muy Alta",'Mapa final'!$AI$21="Leve"),CONCATENATE("R4C",'Mapa final'!$W$21),"")</f>
        <v/>
      </c>
      <c r="L9" s="39" t="e">
        <f>IF(AND('Mapa final'!#REF!="Muy Alta",'Mapa final'!#REF!="Leve"),CONCATENATE("R4C",'Mapa final'!#REF!),"")</f>
        <v>#REF!</v>
      </c>
      <c r="M9" s="39" t="e">
        <f>IF(AND('Mapa final'!#REF!="Muy Alta",'Mapa final'!#REF!="Leve"),CONCATENATE("R4C",'Mapa final'!#REF!),"")</f>
        <v>#REF!</v>
      </c>
      <c r="N9" s="39" t="e">
        <f>IF(AND('Mapa final'!#REF!="Muy Alta",'Mapa final'!#REF!="Leve"),CONCATENATE("R4C",'Mapa final'!#REF!),"")</f>
        <v>#REF!</v>
      </c>
      <c r="O9" s="40" t="e">
        <f>IF(AND('Mapa final'!#REF!="Muy Alta",'Mapa final'!#REF!="Leve"),CONCATENATE("R4C",'Mapa final'!#REF!),"")</f>
        <v>#REF!</v>
      </c>
      <c r="P9" s="38" t="str">
        <f ca="1">IF(AND('Mapa final'!$AG$20="Muy Alta",'Mapa final'!$AI$20="Menor"),CONCATENATE("R4C",'Mapa final'!$W$20),"")</f>
        <v/>
      </c>
      <c r="Q9" s="39" t="str">
        <f ca="1">IF(AND('Mapa final'!$AG$21="Muy Alta",'Mapa final'!$AI$21="Menor"),CONCATENATE("R4C",'Mapa final'!$W$21),"")</f>
        <v/>
      </c>
      <c r="R9" s="39" t="e">
        <f>IF(AND('Mapa final'!#REF!="Muy Alta",'Mapa final'!#REF!="Menor"),CONCATENATE("R4C",'Mapa final'!#REF!),"")</f>
        <v>#REF!</v>
      </c>
      <c r="S9" s="39" t="e">
        <f>IF(AND('Mapa final'!#REF!="Muy Alta",'Mapa final'!#REF!="Menor"),CONCATENATE("R4C",'Mapa final'!#REF!),"")</f>
        <v>#REF!</v>
      </c>
      <c r="T9" s="39" t="e">
        <f>IF(AND('Mapa final'!#REF!="Muy Alta",'Mapa final'!#REF!="Menor"),CONCATENATE("R4C",'Mapa final'!#REF!),"")</f>
        <v>#REF!</v>
      </c>
      <c r="U9" s="40" t="e">
        <f>IF(AND('Mapa final'!#REF!="Muy Alta",'Mapa final'!#REF!="Menor"),CONCATENATE("R4C",'Mapa final'!#REF!),"")</f>
        <v>#REF!</v>
      </c>
      <c r="V9" s="38" t="str">
        <f ca="1">IF(AND('Mapa final'!$AG$20="Muy Alta",'Mapa final'!$AI$20="Moderado"),CONCATENATE("R4C",'Mapa final'!$W$20),"")</f>
        <v/>
      </c>
      <c r="W9" s="39" t="str">
        <f ca="1">IF(AND('Mapa final'!$AG$21="Muy Alta",'Mapa final'!$AI$21="Moderado"),CONCATENATE("R4C",'Mapa final'!$W$21),"")</f>
        <v/>
      </c>
      <c r="X9" s="39" t="e">
        <f>IF(AND('Mapa final'!#REF!="Muy Alta",'Mapa final'!#REF!="Moderado"),CONCATENATE("R4C",'Mapa final'!#REF!),"")</f>
        <v>#REF!</v>
      </c>
      <c r="Y9" s="39" t="e">
        <f>IF(AND('Mapa final'!#REF!="Muy Alta",'Mapa final'!#REF!="Moderado"),CONCATENATE("R4C",'Mapa final'!#REF!),"")</f>
        <v>#REF!</v>
      </c>
      <c r="Z9" s="39" t="e">
        <f>IF(AND('Mapa final'!#REF!="Muy Alta",'Mapa final'!#REF!="Moderado"),CONCATENATE("R4C",'Mapa final'!#REF!),"")</f>
        <v>#REF!</v>
      </c>
      <c r="AA9" s="40" t="e">
        <f>IF(AND('Mapa final'!#REF!="Muy Alta",'Mapa final'!#REF!="Moderado"),CONCATENATE("R4C",'Mapa final'!#REF!),"")</f>
        <v>#REF!</v>
      </c>
      <c r="AB9" s="38" t="str">
        <f ca="1">IF(AND('Mapa final'!$AG$20="Muy Alta",'Mapa final'!$AI$20="Mayor"),CONCATENATE("R4C",'Mapa final'!$W$20),"")</f>
        <v/>
      </c>
      <c r="AC9" s="39" t="str">
        <f ca="1">IF(AND('Mapa final'!$AG$21="Muy Alta",'Mapa final'!$AI$21="Mayor"),CONCATENATE("R4C",'Mapa final'!$W$21),"")</f>
        <v/>
      </c>
      <c r="AD9" s="39" t="e">
        <f>IF(AND('Mapa final'!#REF!="Muy Alta",'Mapa final'!#REF!="Mayor"),CONCATENATE("R4C",'Mapa final'!#REF!),"")</f>
        <v>#REF!</v>
      </c>
      <c r="AE9" s="39" t="e">
        <f>IF(AND('Mapa final'!#REF!="Muy Alta",'Mapa final'!#REF!="Mayor"),CONCATENATE("R4C",'Mapa final'!#REF!),"")</f>
        <v>#REF!</v>
      </c>
      <c r="AF9" s="39" t="e">
        <f>IF(AND('Mapa final'!#REF!="Muy Alta",'Mapa final'!#REF!="Mayor"),CONCATENATE("R4C",'Mapa final'!#REF!),"")</f>
        <v>#REF!</v>
      </c>
      <c r="AG9" s="40" t="e">
        <f>IF(AND('Mapa final'!#REF!="Muy Alta",'Mapa final'!#REF!="Mayor"),CONCATENATE("R4C",'Mapa final'!#REF!),"")</f>
        <v>#REF!</v>
      </c>
      <c r="AH9" s="41" t="str">
        <f ca="1">IF(AND('Mapa final'!$AG$20="Muy Alta",'Mapa final'!$AI$20="Catastrófico"),CONCATENATE("R4C",'Mapa final'!$W$20),"")</f>
        <v/>
      </c>
      <c r="AI9" s="42" t="str">
        <f ca="1">IF(AND('Mapa final'!$AG$21="Muy Alta",'Mapa final'!$AI$21="Catastrófico"),CONCATENATE("R4C",'Mapa final'!$W$21),"")</f>
        <v/>
      </c>
      <c r="AJ9" s="42" t="e">
        <f>IF(AND('Mapa final'!#REF!="Muy Alta",'Mapa final'!#REF!="Catastrófico"),CONCATENATE("R4C",'Mapa final'!#REF!),"")</f>
        <v>#REF!</v>
      </c>
      <c r="AK9" s="42" t="e">
        <f>IF(AND('Mapa final'!#REF!="Muy Alta",'Mapa final'!#REF!="Catastrófico"),CONCATENATE("R4C",'Mapa final'!#REF!),"")</f>
        <v>#REF!</v>
      </c>
      <c r="AL9" s="42" t="e">
        <f>IF(AND('Mapa final'!#REF!="Muy Alta",'Mapa final'!#REF!="Catastrófico"),CONCATENATE("R4C",'Mapa final'!#REF!),"")</f>
        <v>#REF!</v>
      </c>
      <c r="AM9" s="43" t="e">
        <f>IF(AND('Mapa final'!#REF!="Muy Alta",'Mapa final'!#REF!="Catastrófico"),CONCATENATE("R4C",'Mapa final'!#REF!),"")</f>
        <v>#REF!</v>
      </c>
      <c r="AN9" s="69"/>
      <c r="AO9" s="625"/>
      <c r="AP9" s="626"/>
      <c r="AQ9" s="626"/>
      <c r="AR9" s="626"/>
      <c r="AS9" s="626"/>
      <c r="AT9" s="627"/>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row>
    <row r="10" spans="1:91" ht="15" customHeight="1" x14ac:dyDescent="0.25">
      <c r="A10" s="69"/>
      <c r="B10" s="537"/>
      <c r="C10" s="537"/>
      <c r="D10" s="538"/>
      <c r="E10" s="618"/>
      <c r="F10" s="616"/>
      <c r="G10" s="616"/>
      <c r="H10" s="616"/>
      <c r="I10" s="617"/>
      <c r="J10" s="38" t="str">
        <f ca="1">IF(AND('Mapa final'!$AG$22="Muy Alta",'Mapa final'!$AI$22="Leve"),CONCATENATE("R5C",'Mapa final'!$W$22),"")</f>
        <v/>
      </c>
      <c r="K10" s="39" t="str">
        <f ca="1">IF(AND('Mapa final'!$AG$23="Muy Alta",'Mapa final'!$AI$23="Leve"),CONCATENATE("R5C",'Mapa final'!$W$23),"")</f>
        <v/>
      </c>
      <c r="L10" s="39" t="str">
        <f ca="1">IF(AND('Mapa final'!$AG$24="Muy Alta",'Mapa final'!$AI$24="Leve"),CONCATENATE("R5C",'Mapa final'!$W$24),"")</f>
        <v/>
      </c>
      <c r="M10" s="39" t="e">
        <f>IF(AND('Mapa final'!#REF!="Muy Alta",'Mapa final'!#REF!="Leve"),CONCATENATE("R5C",'Mapa final'!#REF!),"")</f>
        <v>#REF!</v>
      </c>
      <c r="N10" s="39" t="e">
        <f>IF(AND('Mapa final'!#REF!="Muy Alta",'Mapa final'!#REF!="Leve"),CONCATENATE("R5C",'Mapa final'!#REF!),"")</f>
        <v>#REF!</v>
      </c>
      <c r="O10" s="40" t="e">
        <f>IF(AND('Mapa final'!#REF!="Muy Alta",'Mapa final'!#REF!="Leve"),CONCATENATE("R5C",'Mapa final'!#REF!),"")</f>
        <v>#REF!</v>
      </c>
      <c r="P10" s="38" t="str">
        <f ca="1">IF(AND('Mapa final'!$AG$22="Muy Alta",'Mapa final'!$AI$22="Menor"),CONCATENATE("R5C",'Mapa final'!$W$22),"")</f>
        <v/>
      </c>
      <c r="Q10" s="39" t="str">
        <f ca="1">IF(AND('Mapa final'!$AG$23="Muy Alta",'Mapa final'!$AI$23="Menor"),CONCATENATE("R5C",'Mapa final'!$W$23),"")</f>
        <v/>
      </c>
      <c r="R10" s="39" t="str">
        <f ca="1">IF(AND('Mapa final'!$AG$24="Muy Alta",'Mapa final'!$AI$24="Menor"),CONCATENATE("R5C",'Mapa final'!$W$24),"")</f>
        <v/>
      </c>
      <c r="S10" s="39" t="e">
        <f>IF(AND('Mapa final'!#REF!="Muy Alta",'Mapa final'!#REF!="Menor"),CONCATENATE("R5C",'Mapa final'!#REF!),"")</f>
        <v>#REF!</v>
      </c>
      <c r="T10" s="39" t="e">
        <f>IF(AND('Mapa final'!#REF!="Muy Alta",'Mapa final'!#REF!="Menor"),CONCATENATE("R5C",'Mapa final'!#REF!),"")</f>
        <v>#REF!</v>
      </c>
      <c r="U10" s="40" t="e">
        <f>IF(AND('Mapa final'!#REF!="Muy Alta",'Mapa final'!#REF!="Menor"),CONCATENATE("R5C",'Mapa final'!#REF!),"")</f>
        <v>#REF!</v>
      </c>
      <c r="V10" s="38" t="str">
        <f ca="1">IF(AND('Mapa final'!$AG$22="Muy Alta",'Mapa final'!$AI$22="Moderado"),CONCATENATE("R5C",'Mapa final'!$W$22),"")</f>
        <v/>
      </c>
      <c r="W10" s="39" t="str">
        <f ca="1">IF(AND('Mapa final'!$AG$23="Muy Alta",'Mapa final'!$AI$23="Moderado"),CONCATENATE("R5C",'Mapa final'!$W$23),"")</f>
        <v/>
      </c>
      <c r="X10" s="39" t="str">
        <f ca="1">IF(AND('Mapa final'!$AG$24="Muy Alta",'Mapa final'!$AI$24="Moderado"),CONCATENATE("R5C",'Mapa final'!$W$24),"")</f>
        <v/>
      </c>
      <c r="Y10" s="39" t="e">
        <f>IF(AND('Mapa final'!#REF!="Muy Alta",'Mapa final'!#REF!="Moderado"),CONCATENATE("R5C",'Mapa final'!#REF!),"")</f>
        <v>#REF!</v>
      </c>
      <c r="Z10" s="39" t="e">
        <f>IF(AND('Mapa final'!#REF!="Muy Alta",'Mapa final'!#REF!="Moderado"),CONCATENATE("R5C",'Mapa final'!#REF!),"")</f>
        <v>#REF!</v>
      </c>
      <c r="AA10" s="40" t="e">
        <f>IF(AND('Mapa final'!#REF!="Muy Alta",'Mapa final'!#REF!="Moderado"),CONCATENATE("R5C",'Mapa final'!#REF!),"")</f>
        <v>#REF!</v>
      </c>
      <c r="AB10" s="38" t="str">
        <f ca="1">IF(AND('Mapa final'!$AG$22="Muy Alta",'Mapa final'!$AI$22="Mayor"),CONCATENATE("R5C",'Mapa final'!$W$22),"")</f>
        <v/>
      </c>
      <c r="AC10" s="39" t="str">
        <f ca="1">IF(AND('Mapa final'!$AG$23="Muy Alta",'Mapa final'!$AI$23="Mayor"),CONCATENATE("R5C",'Mapa final'!$W$23),"")</f>
        <v/>
      </c>
      <c r="AD10" s="39" t="str">
        <f ca="1">IF(AND('Mapa final'!$AG$24="Muy Alta",'Mapa final'!$AI$24="Mayor"),CONCATENATE("R5C",'Mapa final'!$W$24),"")</f>
        <v/>
      </c>
      <c r="AE10" s="39" t="e">
        <f>IF(AND('Mapa final'!#REF!="Muy Alta",'Mapa final'!#REF!="Mayor"),CONCATENATE("R5C",'Mapa final'!#REF!),"")</f>
        <v>#REF!</v>
      </c>
      <c r="AF10" s="39" t="e">
        <f>IF(AND('Mapa final'!#REF!="Muy Alta",'Mapa final'!#REF!="Mayor"),CONCATENATE("R5C",'Mapa final'!#REF!),"")</f>
        <v>#REF!</v>
      </c>
      <c r="AG10" s="40" t="e">
        <f>IF(AND('Mapa final'!#REF!="Muy Alta",'Mapa final'!#REF!="Mayor"),CONCATENATE("R5C",'Mapa final'!#REF!),"")</f>
        <v>#REF!</v>
      </c>
      <c r="AH10" s="41" t="str">
        <f ca="1">IF(AND('Mapa final'!$AG$22="Muy Alta",'Mapa final'!$AI$22="Catastrófico"),CONCATENATE("R5C",'Mapa final'!$W$22),"")</f>
        <v/>
      </c>
      <c r="AI10" s="42" t="str">
        <f ca="1">IF(AND('Mapa final'!$AG$23="Muy Alta",'Mapa final'!$AI$23="Catastrófico"),CONCATENATE("R5C",'Mapa final'!$W$23),"")</f>
        <v/>
      </c>
      <c r="AJ10" s="42" t="str">
        <f ca="1">IF(AND('Mapa final'!$AG$24="Muy Alta",'Mapa final'!$AI$24="Catastrófico"),CONCATENATE("R5C",'Mapa final'!$W$24),"")</f>
        <v/>
      </c>
      <c r="AK10" s="42" t="e">
        <f>IF(AND('Mapa final'!#REF!="Muy Alta",'Mapa final'!#REF!="Catastrófico"),CONCATENATE("R5C",'Mapa final'!#REF!),"")</f>
        <v>#REF!</v>
      </c>
      <c r="AL10" s="42" t="e">
        <f>IF(AND('Mapa final'!#REF!="Muy Alta",'Mapa final'!#REF!="Catastrófico"),CONCATENATE("R5C",'Mapa final'!#REF!),"")</f>
        <v>#REF!</v>
      </c>
      <c r="AM10" s="43" t="e">
        <f>IF(AND('Mapa final'!#REF!="Muy Alta",'Mapa final'!#REF!="Catastrófico"),CONCATENATE("R5C",'Mapa final'!#REF!),"")</f>
        <v>#REF!</v>
      </c>
      <c r="AN10" s="69"/>
      <c r="AO10" s="625"/>
      <c r="AP10" s="626"/>
      <c r="AQ10" s="626"/>
      <c r="AR10" s="626"/>
      <c r="AS10" s="626"/>
      <c r="AT10" s="627"/>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row>
    <row r="11" spans="1:91" ht="15" customHeight="1" x14ac:dyDescent="0.25">
      <c r="A11" s="69"/>
      <c r="B11" s="537"/>
      <c r="C11" s="537"/>
      <c r="D11" s="538"/>
      <c r="E11" s="618"/>
      <c r="F11" s="616"/>
      <c r="G11" s="616"/>
      <c r="H11" s="616"/>
      <c r="I11" s="617"/>
      <c r="J11" s="38" t="str">
        <f ca="1">IF(AND('Mapa final'!$AG$25="Muy Alta",'Mapa final'!$AI$25="Leve"),CONCATENATE("R6C",'Mapa final'!$W$25),"")</f>
        <v/>
      </c>
      <c r="K11" s="39" t="str">
        <f ca="1">IF(AND('Mapa final'!$AG$26="Muy Alta",'Mapa final'!$AI$26="Leve"),CONCATENATE("R6C",'Mapa final'!$W$26),"")</f>
        <v/>
      </c>
      <c r="L11" s="39" t="e">
        <f>IF(AND('Mapa final'!#REF!="Muy Alta",'Mapa final'!#REF!="Leve"),CONCATENATE("R6C",'Mapa final'!#REF!),"")</f>
        <v>#REF!</v>
      </c>
      <c r="M11" s="39" t="e">
        <f>IF(AND('Mapa final'!#REF!="Muy Alta",'Mapa final'!#REF!="Leve"),CONCATENATE("R6C",'Mapa final'!#REF!),"")</f>
        <v>#REF!</v>
      </c>
      <c r="N11" s="39" t="e">
        <f>IF(AND('Mapa final'!#REF!="Muy Alta",'Mapa final'!#REF!="Leve"),CONCATENATE("R6C",'Mapa final'!#REF!),"")</f>
        <v>#REF!</v>
      </c>
      <c r="O11" s="40" t="e">
        <f>IF(AND('Mapa final'!#REF!="Muy Alta",'Mapa final'!#REF!="Leve"),CONCATENATE("R6C",'Mapa final'!#REF!),"")</f>
        <v>#REF!</v>
      </c>
      <c r="P11" s="38" t="str">
        <f ca="1">IF(AND('Mapa final'!$AG$25="Muy Alta",'Mapa final'!$AI$25="Menor"),CONCATENATE("R6C",'Mapa final'!$W$25),"")</f>
        <v/>
      </c>
      <c r="Q11" s="39" t="str">
        <f ca="1">IF(AND('Mapa final'!$AG$26="Muy Alta",'Mapa final'!$AI$26="Menor"),CONCATENATE("R6C",'Mapa final'!$W$26),"")</f>
        <v/>
      </c>
      <c r="R11" s="39" t="e">
        <f>IF(AND('Mapa final'!#REF!="Muy Alta",'Mapa final'!#REF!="Menor"),CONCATENATE("R6C",'Mapa final'!#REF!),"")</f>
        <v>#REF!</v>
      </c>
      <c r="S11" s="39" t="e">
        <f>IF(AND('Mapa final'!#REF!="Muy Alta",'Mapa final'!#REF!="Menor"),CONCATENATE("R6C",'Mapa final'!#REF!),"")</f>
        <v>#REF!</v>
      </c>
      <c r="T11" s="39" t="e">
        <f>IF(AND('Mapa final'!#REF!="Muy Alta",'Mapa final'!#REF!="Menor"),CONCATENATE("R6C",'Mapa final'!#REF!),"")</f>
        <v>#REF!</v>
      </c>
      <c r="U11" s="40" t="e">
        <f>IF(AND('Mapa final'!#REF!="Muy Alta",'Mapa final'!#REF!="Menor"),CONCATENATE("R6C",'Mapa final'!#REF!),"")</f>
        <v>#REF!</v>
      </c>
      <c r="V11" s="38" t="str">
        <f ca="1">IF(AND('Mapa final'!$AG$25="Muy Alta",'Mapa final'!$AI$25="Moderado"),CONCATENATE("R6C",'Mapa final'!$W$25),"")</f>
        <v/>
      </c>
      <c r="W11" s="39" t="str">
        <f ca="1">IF(AND('Mapa final'!$AG$26="Muy Alta",'Mapa final'!$AI$26="Moderado"),CONCATENATE("R6C",'Mapa final'!$W$26),"")</f>
        <v/>
      </c>
      <c r="X11" s="39" t="e">
        <f>IF(AND('Mapa final'!#REF!="Muy Alta",'Mapa final'!#REF!="Moderado"),CONCATENATE("R6C",'Mapa final'!#REF!),"")</f>
        <v>#REF!</v>
      </c>
      <c r="Y11" s="39" t="e">
        <f>IF(AND('Mapa final'!#REF!="Muy Alta",'Mapa final'!#REF!="Moderado"),CONCATENATE("R6C",'Mapa final'!#REF!),"")</f>
        <v>#REF!</v>
      </c>
      <c r="Z11" s="39" t="e">
        <f>IF(AND('Mapa final'!#REF!="Muy Alta",'Mapa final'!#REF!="Moderado"),CONCATENATE("R6C",'Mapa final'!#REF!),"")</f>
        <v>#REF!</v>
      </c>
      <c r="AA11" s="40" t="e">
        <f>IF(AND('Mapa final'!#REF!="Muy Alta",'Mapa final'!#REF!="Moderado"),CONCATENATE("R6C",'Mapa final'!#REF!),"")</f>
        <v>#REF!</v>
      </c>
      <c r="AB11" s="38" t="str">
        <f ca="1">IF(AND('Mapa final'!$AG$25="Muy Alta",'Mapa final'!$AI$25="Mayor"),CONCATENATE("R6C",'Mapa final'!$W$25),"")</f>
        <v/>
      </c>
      <c r="AC11" s="39" t="str">
        <f ca="1">IF(AND('Mapa final'!$AG$26="Muy Alta",'Mapa final'!$AI$26="Mayor"),CONCATENATE("R6C",'Mapa final'!$W$26),"")</f>
        <v/>
      </c>
      <c r="AD11" s="39" t="e">
        <f>IF(AND('Mapa final'!#REF!="Muy Alta",'Mapa final'!#REF!="Mayor"),CONCATENATE("R6C",'Mapa final'!#REF!),"")</f>
        <v>#REF!</v>
      </c>
      <c r="AE11" s="39" t="e">
        <f>IF(AND('Mapa final'!#REF!="Muy Alta",'Mapa final'!#REF!="Mayor"),CONCATENATE("R6C",'Mapa final'!#REF!),"")</f>
        <v>#REF!</v>
      </c>
      <c r="AF11" s="39" t="e">
        <f>IF(AND('Mapa final'!#REF!="Muy Alta",'Mapa final'!#REF!="Mayor"),CONCATENATE("R6C",'Mapa final'!#REF!),"")</f>
        <v>#REF!</v>
      </c>
      <c r="AG11" s="40" t="e">
        <f>IF(AND('Mapa final'!#REF!="Muy Alta",'Mapa final'!#REF!="Mayor"),CONCATENATE("R6C",'Mapa final'!#REF!),"")</f>
        <v>#REF!</v>
      </c>
      <c r="AH11" s="41" t="str">
        <f ca="1">IF(AND('Mapa final'!$AG$25="Muy Alta",'Mapa final'!$AI$25="Catastrófico"),CONCATENATE("R6C",'Mapa final'!$W$25),"")</f>
        <v/>
      </c>
      <c r="AI11" s="42" t="str">
        <f ca="1">IF(AND('Mapa final'!$AG$26="Muy Alta",'Mapa final'!$AI$26="Catastrófico"),CONCATENATE("R6C",'Mapa final'!$W$26),"")</f>
        <v/>
      </c>
      <c r="AJ11" s="42" t="e">
        <f>IF(AND('Mapa final'!#REF!="Muy Alta",'Mapa final'!#REF!="Catastrófico"),CONCATENATE("R6C",'Mapa final'!#REF!),"")</f>
        <v>#REF!</v>
      </c>
      <c r="AK11" s="42" t="e">
        <f>IF(AND('Mapa final'!#REF!="Muy Alta",'Mapa final'!#REF!="Catastrófico"),CONCATENATE("R6C",'Mapa final'!#REF!),"")</f>
        <v>#REF!</v>
      </c>
      <c r="AL11" s="42" t="e">
        <f>IF(AND('Mapa final'!#REF!="Muy Alta",'Mapa final'!#REF!="Catastrófico"),CONCATENATE("R6C",'Mapa final'!#REF!),"")</f>
        <v>#REF!</v>
      </c>
      <c r="AM11" s="43" t="e">
        <f>IF(AND('Mapa final'!#REF!="Muy Alta",'Mapa final'!#REF!="Catastrófico"),CONCATENATE("R6C",'Mapa final'!#REF!),"")</f>
        <v>#REF!</v>
      </c>
      <c r="AN11" s="69"/>
      <c r="AO11" s="625"/>
      <c r="AP11" s="626"/>
      <c r="AQ11" s="626"/>
      <c r="AR11" s="626"/>
      <c r="AS11" s="626"/>
      <c r="AT11" s="627"/>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row>
    <row r="12" spans="1:91" ht="15" customHeight="1" x14ac:dyDescent="0.25">
      <c r="A12" s="69"/>
      <c r="B12" s="537"/>
      <c r="C12" s="537"/>
      <c r="D12" s="538"/>
      <c r="E12" s="618"/>
      <c r="F12" s="616"/>
      <c r="G12" s="616"/>
      <c r="H12" s="616"/>
      <c r="I12" s="617"/>
      <c r="J12" s="38" t="str">
        <f ca="1">IF(AND('Mapa final'!$AG$27="Muy Alta",'Mapa final'!$AI$27="Leve"),CONCATENATE("R7C",'Mapa final'!$W$27),"")</f>
        <v/>
      </c>
      <c r="K12" s="39" t="str">
        <f ca="1">IF(AND('Mapa final'!$AG$28="Muy Alta",'Mapa final'!$AI$28="Leve"),CONCATENATE("R7C",'Mapa final'!$W$28),"")</f>
        <v/>
      </c>
      <c r="L12" s="39" t="e">
        <f>IF(AND('Mapa final'!#REF!="Muy Alta",'Mapa final'!#REF!="Leve"),CONCATENATE("R7C",'Mapa final'!#REF!),"")</f>
        <v>#REF!</v>
      </c>
      <c r="M12" s="39" t="e">
        <f>IF(AND('Mapa final'!#REF!="Muy Alta",'Mapa final'!#REF!="Leve"),CONCATENATE("R7C",'Mapa final'!#REF!),"")</f>
        <v>#REF!</v>
      </c>
      <c r="N12" s="39" t="e">
        <f>IF(AND('Mapa final'!#REF!="Muy Alta",'Mapa final'!#REF!="Leve"),CONCATENATE("R7C",'Mapa final'!#REF!),"")</f>
        <v>#REF!</v>
      </c>
      <c r="O12" s="40" t="e">
        <f>IF(AND('Mapa final'!#REF!="Muy Alta",'Mapa final'!#REF!="Leve"),CONCATENATE("R7C",'Mapa final'!#REF!),"")</f>
        <v>#REF!</v>
      </c>
      <c r="P12" s="38" t="str">
        <f ca="1">IF(AND('Mapa final'!$AG$27="Muy Alta",'Mapa final'!$AI$27="Menor"),CONCATENATE("R7C",'Mapa final'!$W$27),"")</f>
        <v/>
      </c>
      <c r="Q12" s="39" t="str">
        <f ca="1">IF(AND('Mapa final'!$AG$28="Muy Alta",'Mapa final'!$AI$28="Menor"),CONCATENATE("R7C",'Mapa final'!$W$28),"")</f>
        <v/>
      </c>
      <c r="R12" s="39" t="e">
        <f>IF(AND('Mapa final'!#REF!="Muy Alta",'Mapa final'!#REF!="Menor"),CONCATENATE("R7C",'Mapa final'!#REF!),"")</f>
        <v>#REF!</v>
      </c>
      <c r="S12" s="39" t="e">
        <f>IF(AND('Mapa final'!#REF!="Muy Alta",'Mapa final'!#REF!="Menor"),CONCATENATE("R7C",'Mapa final'!#REF!),"")</f>
        <v>#REF!</v>
      </c>
      <c r="T12" s="39" t="e">
        <f>IF(AND('Mapa final'!#REF!="Muy Alta",'Mapa final'!#REF!="Menor"),CONCATENATE("R7C",'Mapa final'!#REF!),"")</f>
        <v>#REF!</v>
      </c>
      <c r="U12" s="40" t="e">
        <f>IF(AND('Mapa final'!#REF!="Muy Alta",'Mapa final'!#REF!="Menor"),CONCATENATE("R7C",'Mapa final'!#REF!),"")</f>
        <v>#REF!</v>
      </c>
      <c r="V12" s="38" t="str">
        <f ca="1">IF(AND('Mapa final'!$AG$27="Muy Alta",'Mapa final'!$AI$27="Moderado"),CONCATENATE("R7C",'Mapa final'!$W$27),"")</f>
        <v/>
      </c>
      <c r="W12" s="39" t="str">
        <f ca="1">IF(AND('Mapa final'!$AG$28="Muy Alta",'Mapa final'!$AI$28="Moderado"),CONCATENATE("R7C",'Mapa final'!$W$28),"")</f>
        <v/>
      </c>
      <c r="X12" s="39" t="e">
        <f>IF(AND('Mapa final'!#REF!="Muy Alta",'Mapa final'!#REF!="Moderado"),CONCATENATE("R7C",'Mapa final'!#REF!),"")</f>
        <v>#REF!</v>
      </c>
      <c r="Y12" s="39" t="e">
        <f>IF(AND('Mapa final'!#REF!="Muy Alta",'Mapa final'!#REF!="Moderado"),CONCATENATE("R7C",'Mapa final'!#REF!),"")</f>
        <v>#REF!</v>
      </c>
      <c r="Z12" s="39" t="e">
        <f>IF(AND('Mapa final'!#REF!="Muy Alta",'Mapa final'!#REF!="Moderado"),CONCATENATE("R7C",'Mapa final'!#REF!),"")</f>
        <v>#REF!</v>
      </c>
      <c r="AA12" s="40" t="e">
        <f>IF(AND('Mapa final'!#REF!="Muy Alta",'Mapa final'!#REF!="Moderado"),CONCATENATE("R7C",'Mapa final'!#REF!),"")</f>
        <v>#REF!</v>
      </c>
      <c r="AB12" s="38" t="str">
        <f ca="1">IF(AND('Mapa final'!$AG$27="Muy Alta",'Mapa final'!$AI$27="Mayor"),CONCATENATE("R7C",'Mapa final'!$W$27),"")</f>
        <v/>
      </c>
      <c r="AC12" s="39" t="str">
        <f ca="1">IF(AND('Mapa final'!$AG$28="Muy Alta",'Mapa final'!$AI$28="Mayor"),CONCATENATE("R7C",'Mapa final'!$W$28),"")</f>
        <v/>
      </c>
      <c r="AD12" s="39" t="e">
        <f>IF(AND('Mapa final'!#REF!="Muy Alta",'Mapa final'!#REF!="Mayor"),CONCATENATE("R7C",'Mapa final'!#REF!),"")</f>
        <v>#REF!</v>
      </c>
      <c r="AE12" s="39" t="e">
        <f>IF(AND('Mapa final'!#REF!="Muy Alta",'Mapa final'!#REF!="Mayor"),CONCATENATE("R7C",'Mapa final'!#REF!),"")</f>
        <v>#REF!</v>
      </c>
      <c r="AF12" s="39" t="e">
        <f>IF(AND('Mapa final'!#REF!="Muy Alta",'Mapa final'!#REF!="Mayor"),CONCATENATE("R7C",'Mapa final'!#REF!),"")</f>
        <v>#REF!</v>
      </c>
      <c r="AG12" s="40" t="e">
        <f>IF(AND('Mapa final'!#REF!="Muy Alta",'Mapa final'!#REF!="Mayor"),CONCATENATE("R7C",'Mapa final'!#REF!),"")</f>
        <v>#REF!</v>
      </c>
      <c r="AH12" s="41" t="str">
        <f ca="1">IF(AND('Mapa final'!$AG$27="Muy Alta",'Mapa final'!$AI$27="Catastrófico"),CONCATENATE("R7C",'Mapa final'!$W$27),"")</f>
        <v/>
      </c>
      <c r="AI12" s="42" t="str">
        <f ca="1">IF(AND('Mapa final'!$AG$28="Muy Alta",'Mapa final'!$AI$28="Catastrófico"),CONCATENATE("R7C",'Mapa final'!$W$28),"")</f>
        <v/>
      </c>
      <c r="AJ12" s="42" t="e">
        <f>IF(AND('Mapa final'!#REF!="Muy Alta",'Mapa final'!#REF!="Catastrófico"),CONCATENATE("R7C",'Mapa final'!#REF!),"")</f>
        <v>#REF!</v>
      </c>
      <c r="AK12" s="42" t="e">
        <f>IF(AND('Mapa final'!#REF!="Muy Alta",'Mapa final'!#REF!="Catastrófico"),CONCATENATE("R7C",'Mapa final'!#REF!),"")</f>
        <v>#REF!</v>
      </c>
      <c r="AL12" s="42" t="e">
        <f>IF(AND('Mapa final'!#REF!="Muy Alta",'Mapa final'!#REF!="Catastrófico"),CONCATENATE("R7C",'Mapa final'!#REF!),"")</f>
        <v>#REF!</v>
      </c>
      <c r="AM12" s="43" t="e">
        <f>IF(AND('Mapa final'!#REF!="Muy Alta",'Mapa final'!#REF!="Catastrófico"),CONCATENATE("R7C",'Mapa final'!#REF!),"")</f>
        <v>#REF!</v>
      </c>
      <c r="AN12" s="69"/>
      <c r="AO12" s="625"/>
      <c r="AP12" s="626"/>
      <c r="AQ12" s="626"/>
      <c r="AR12" s="626"/>
      <c r="AS12" s="626"/>
      <c r="AT12" s="627"/>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row>
    <row r="13" spans="1:91" ht="15" customHeight="1" x14ac:dyDescent="0.25">
      <c r="A13" s="69"/>
      <c r="B13" s="537"/>
      <c r="C13" s="537"/>
      <c r="D13" s="538"/>
      <c r="E13" s="618"/>
      <c r="F13" s="616"/>
      <c r="G13" s="616"/>
      <c r="H13" s="616"/>
      <c r="I13" s="617"/>
      <c r="J13" s="38" t="str">
        <f ca="1">IF(AND('Mapa final'!$AG$29="Muy Alta",'Mapa final'!$AI$29="Leve"),CONCATENATE("R8C",'Mapa final'!$W$29),"")</f>
        <v/>
      </c>
      <c r="K13" s="39" t="str">
        <f ca="1">IF(AND('Mapa final'!$AG$30="Muy Alta",'Mapa final'!$AI$30="Leve"),CONCATENATE("R8C",'Mapa final'!$W$30),"")</f>
        <v/>
      </c>
      <c r="L13" s="39" t="str">
        <f ca="1">IF(AND('Mapa final'!$AG$31="Muy Alta",'Mapa final'!$AI$31="Leve"),CONCATENATE("R8C",'Mapa final'!$W$31),"")</f>
        <v/>
      </c>
      <c r="M13" s="39" t="str">
        <f ca="1">IF(AND('Mapa final'!$AG$32="Muy Alta",'Mapa final'!$AI$32="Leve"),CONCATENATE("R8C",'Mapa final'!$W$32),"")</f>
        <v/>
      </c>
      <c r="N13" s="39" t="e">
        <f>IF(AND('Mapa final'!#REF!="Muy Alta",'Mapa final'!#REF!="Leve"),CONCATENATE("R8C",'Mapa final'!#REF!),"")</f>
        <v>#REF!</v>
      </c>
      <c r="O13" s="40" t="e">
        <f>IF(AND('Mapa final'!#REF!="Muy Alta",'Mapa final'!#REF!="Leve"),CONCATENATE("R8C",'Mapa final'!#REF!),"")</f>
        <v>#REF!</v>
      </c>
      <c r="P13" s="38" t="str">
        <f ca="1">IF(AND('Mapa final'!$AG$29="Muy Alta",'Mapa final'!$AI$29="Menor"),CONCATENATE("R8C",'Mapa final'!$W$29),"")</f>
        <v/>
      </c>
      <c r="Q13" s="39" t="str">
        <f ca="1">IF(AND('Mapa final'!$AG$30="Muy Alta",'Mapa final'!$AI$30="Menor"),CONCATENATE("R8C",'Mapa final'!$W$30),"")</f>
        <v/>
      </c>
      <c r="R13" s="39" t="str">
        <f ca="1">IF(AND('Mapa final'!$AG$31="Muy Alta",'Mapa final'!$AI$31="Menor"),CONCATENATE("R8C",'Mapa final'!$W$31),"")</f>
        <v/>
      </c>
      <c r="S13" s="39" t="str">
        <f ca="1">IF(AND('Mapa final'!$AG$32="Muy Alta",'Mapa final'!$AI$32="Menor"),CONCATENATE("R8C",'Mapa final'!$W$32),"")</f>
        <v/>
      </c>
      <c r="T13" s="39" t="e">
        <f>IF(AND('Mapa final'!#REF!="Muy Alta",'Mapa final'!#REF!="Menor"),CONCATENATE("R8C",'Mapa final'!#REF!),"")</f>
        <v>#REF!</v>
      </c>
      <c r="U13" s="40" t="e">
        <f>IF(AND('Mapa final'!#REF!="Muy Alta",'Mapa final'!#REF!="Menor"),CONCATENATE("R8C",'Mapa final'!#REF!),"")</f>
        <v>#REF!</v>
      </c>
      <c r="V13" s="38" t="str">
        <f ca="1">IF(AND('Mapa final'!$AG$29="Muy Alta",'Mapa final'!$AI$29="Moderado"),CONCATENATE("R8C",'Mapa final'!$W$29),"")</f>
        <v/>
      </c>
      <c r="W13" s="39" t="str">
        <f ca="1">IF(AND('Mapa final'!$AG$30="Muy Alta",'Mapa final'!$AI$30="Moderado"),CONCATENATE("R8C",'Mapa final'!$W$30),"")</f>
        <v/>
      </c>
      <c r="X13" s="39" t="str">
        <f ca="1">IF(AND('Mapa final'!$AG$31="Muy Alta",'Mapa final'!$AI$31="Moderado"),CONCATENATE("R8C",'Mapa final'!$W$31),"")</f>
        <v/>
      </c>
      <c r="Y13" s="39" t="str">
        <f ca="1">IF(AND('Mapa final'!$AG$32="Muy Alta",'Mapa final'!$AI$32="Moderado"),CONCATENATE("R8C",'Mapa final'!$W$32),"")</f>
        <v/>
      </c>
      <c r="Z13" s="39" t="e">
        <f>IF(AND('Mapa final'!#REF!="Muy Alta",'Mapa final'!#REF!="Moderado"),CONCATENATE("R8C",'Mapa final'!#REF!),"")</f>
        <v>#REF!</v>
      </c>
      <c r="AA13" s="40" t="e">
        <f>IF(AND('Mapa final'!#REF!="Muy Alta",'Mapa final'!#REF!="Moderado"),CONCATENATE("R8C",'Mapa final'!#REF!),"")</f>
        <v>#REF!</v>
      </c>
      <c r="AB13" s="38" t="str">
        <f ca="1">IF(AND('Mapa final'!$AG$29="Muy Alta",'Mapa final'!$AI$29="Mayor"),CONCATENATE("R8C",'Mapa final'!$W$29),"")</f>
        <v/>
      </c>
      <c r="AC13" s="39" t="str">
        <f ca="1">IF(AND('Mapa final'!$AG$30="Muy Alta",'Mapa final'!$AI$30="Mayor"),CONCATENATE("R8C",'Mapa final'!$W$30),"")</f>
        <v/>
      </c>
      <c r="AD13" s="39" t="str">
        <f ca="1">IF(AND('Mapa final'!$AG$31="Muy Alta",'Mapa final'!$AI$31="Mayor"),CONCATENATE("R8C",'Mapa final'!$W$31),"")</f>
        <v/>
      </c>
      <c r="AE13" s="39" t="str">
        <f ca="1">IF(AND('Mapa final'!$AG$32="Muy Alta",'Mapa final'!$AI$32="Mayor"),CONCATENATE("R8C",'Mapa final'!$W$32),"")</f>
        <v/>
      </c>
      <c r="AF13" s="39" t="e">
        <f>IF(AND('Mapa final'!#REF!="Muy Alta",'Mapa final'!#REF!="Mayor"),CONCATENATE("R8C",'Mapa final'!#REF!),"")</f>
        <v>#REF!</v>
      </c>
      <c r="AG13" s="40" t="e">
        <f>IF(AND('Mapa final'!#REF!="Muy Alta",'Mapa final'!#REF!="Mayor"),CONCATENATE("R8C",'Mapa final'!#REF!),"")</f>
        <v>#REF!</v>
      </c>
      <c r="AH13" s="41" t="str">
        <f ca="1">IF(AND('Mapa final'!$AG$29="Muy Alta",'Mapa final'!$AI$29="Catastrófico"),CONCATENATE("R8C",'Mapa final'!$W$29),"")</f>
        <v/>
      </c>
      <c r="AI13" s="42" t="str">
        <f ca="1">IF(AND('Mapa final'!$AG$30="Muy Alta",'Mapa final'!$AI$30="Catastrófico"),CONCATENATE("R8C",'Mapa final'!$W$30),"")</f>
        <v/>
      </c>
      <c r="AJ13" s="42" t="str">
        <f ca="1">IF(AND('Mapa final'!$AG$31="Muy Alta",'Mapa final'!$AI$31="Catastrófico"),CONCATENATE("R8C",'Mapa final'!$W$31),"")</f>
        <v/>
      </c>
      <c r="AK13" s="42" t="str">
        <f ca="1">IF(AND('Mapa final'!$AG$32="Muy Alta",'Mapa final'!$AI$32="Catastrófico"),CONCATENATE("R8C",'Mapa final'!$W$32),"")</f>
        <v/>
      </c>
      <c r="AL13" s="42" t="e">
        <f>IF(AND('Mapa final'!#REF!="Muy Alta",'Mapa final'!#REF!="Catastrófico"),CONCATENATE("R8C",'Mapa final'!#REF!),"")</f>
        <v>#REF!</v>
      </c>
      <c r="AM13" s="43" t="e">
        <f>IF(AND('Mapa final'!#REF!="Muy Alta",'Mapa final'!#REF!="Catastrófico"),CONCATENATE("R8C",'Mapa final'!#REF!),"")</f>
        <v>#REF!</v>
      </c>
      <c r="AN13" s="69"/>
      <c r="AO13" s="625"/>
      <c r="AP13" s="626"/>
      <c r="AQ13" s="626"/>
      <c r="AR13" s="626"/>
      <c r="AS13" s="626"/>
      <c r="AT13" s="627"/>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row>
    <row r="14" spans="1:91" ht="15" customHeight="1" x14ac:dyDescent="0.25">
      <c r="A14" s="69"/>
      <c r="B14" s="537"/>
      <c r="C14" s="537"/>
      <c r="D14" s="538"/>
      <c r="E14" s="618"/>
      <c r="F14" s="616"/>
      <c r="G14" s="616"/>
      <c r="H14" s="616"/>
      <c r="I14" s="617"/>
      <c r="J14" s="38" t="str">
        <f ca="1">IF(AND('Mapa final'!$AG$33="Muy Alta",'Mapa final'!$AI$33="Leve"),CONCATENATE("R9C",'Mapa final'!$W$33),"")</f>
        <v/>
      </c>
      <c r="K14" s="39" t="str">
        <f ca="1">IF(AND('Mapa final'!$AG$34="Muy Alta",'Mapa final'!$AI$34="Leve"),CONCATENATE("R9C",'Mapa final'!$W$34),"")</f>
        <v/>
      </c>
      <c r="L14" s="39" t="str">
        <f ca="1">IF(AND('Mapa final'!$AG$35="Muy Alta",'Mapa final'!$AI$35="Leve"),CONCATENATE("R9C",'Mapa final'!$W$35),"")</f>
        <v/>
      </c>
      <c r="M14" s="39" t="str">
        <f ca="1">IF(AND('Mapa final'!$AG$36="Muy Alta",'Mapa final'!$AI$36="Leve"),CONCATENATE("R9C",'Mapa final'!$W$36),"")</f>
        <v/>
      </c>
      <c r="N14" s="39" t="str">
        <f ca="1">IF(AND('Mapa final'!$AG$37="Muy Alta",'Mapa final'!$AI$37="Leve"),CONCATENATE("R9C",'Mapa final'!$W$37),"")</f>
        <v/>
      </c>
      <c r="O14" s="40" t="e">
        <f>IF(AND('Mapa final'!#REF!="Muy Alta",'Mapa final'!#REF!="Leve"),CONCATENATE("R9C",'Mapa final'!#REF!),"")</f>
        <v>#REF!</v>
      </c>
      <c r="P14" s="38" t="str">
        <f ca="1">IF(AND('Mapa final'!$AG$33="Muy Alta",'Mapa final'!$AI$33="Menor"),CONCATENATE("R9C",'Mapa final'!$W$33),"")</f>
        <v/>
      </c>
      <c r="Q14" s="39" t="str">
        <f ca="1">IF(AND('Mapa final'!$AG$34="Muy Alta",'Mapa final'!$AI$34="Menor"),CONCATENATE("R9C",'Mapa final'!$W$34),"")</f>
        <v/>
      </c>
      <c r="R14" s="39" t="str">
        <f ca="1">IF(AND('Mapa final'!$AG$35="Muy Alta",'Mapa final'!$AI$35="Menor"),CONCATENATE("R9C",'Mapa final'!$W$35),"")</f>
        <v/>
      </c>
      <c r="S14" s="39" t="str">
        <f ca="1">IF(AND('Mapa final'!$AG$36="Muy Alta",'Mapa final'!$AI$36="Menor"),CONCATENATE("R9C",'Mapa final'!$W$36),"")</f>
        <v/>
      </c>
      <c r="T14" s="39" t="str">
        <f ca="1">IF(AND('Mapa final'!$AG$37="Muy Alta",'Mapa final'!$AI$37="Menor"),CONCATENATE("R9C",'Mapa final'!$W$37),"")</f>
        <v/>
      </c>
      <c r="U14" s="40" t="e">
        <f>IF(AND('Mapa final'!#REF!="Muy Alta",'Mapa final'!#REF!="Menor"),CONCATENATE("R9C",'Mapa final'!#REF!),"")</f>
        <v>#REF!</v>
      </c>
      <c r="V14" s="38" t="str">
        <f ca="1">IF(AND('Mapa final'!$AG$33="Muy Alta",'Mapa final'!$AI$33="Moderado"),CONCATENATE("R9C",'Mapa final'!$W$33),"")</f>
        <v/>
      </c>
      <c r="W14" s="39" t="str">
        <f ca="1">IF(AND('Mapa final'!$AG$34="Muy Alta",'Mapa final'!$AI$34="Moderado"),CONCATENATE("R9C",'Mapa final'!$W$34),"")</f>
        <v/>
      </c>
      <c r="X14" s="39" t="str">
        <f ca="1">IF(AND('Mapa final'!$AG$35="Muy Alta",'Mapa final'!$AI$35="Moderado"),CONCATENATE("R9C",'Mapa final'!$W$35),"")</f>
        <v/>
      </c>
      <c r="Y14" s="39" t="str">
        <f ca="1">IF(AND('Mapa final'!$AG$36="Muy Alta",'Mapa final'!$AI$36="Moderado"),CONCATENATE("R9C",'Mapa final'!$W$36),"")</f>
        <v/>
      </c>
      <c r="Z14" s="39" t="str">
        <f ca="1">IF(AND('Mapa final'!$AG$37="Muy Alta",'Mapa final'!$AI$37="Moderado"),CONCATENATE("R9C",'Mapa final'!$W$37),"")</f>
        <v/>
      </c>
      <c r="AA14" s="40" t="e">
        <f>IF(AND('Mapa final'!#REF!="Muy Alta",'Mapa final'!#REF!="Moderado"),CONCATENATE("R9C",'Mapa final'!#REF!),"")</f>
        <v>#REF!</v>
      </c>
      <c r="AB14" s="38" t="str">
        <f ca="1">IF(AND('Mapa final'!$AG$33="Muy Alta",'Mapa final'!$AI$33="Mayor"),CONCATENATE("R9C",'Mapa final'!$W$33),"")</f>
        <v/>
      </c>
      <c r="AC14" s="39" t="str">
        <f ca="1">IF(AND('Mapa final'!$AG$34="Muy Alta",'Mapa final'!$AI$34="Mayor"),CONCATENATE("R9C",'Mapa final'!$W$34),"")</f>
        <v/>
      </c>
      <c r="AD14" s="39" t="str">
        <f ca="1">IF(AND('Mapa final'!$AG$35="Muy Alta",'Mapa final'!$AI$35="Mayor"),CONCATENATE("R9C",'Mapa final'!$W$35),"")</f>
        <v/>
      </c>
      <c r="AE14" s="39" t="str">
        <f ca="1">IF(AND('Mapa final'!$AG$36="Muy Alta",'Mapa final'!$AI$36="Mayor"),CONCATENATE("R9C",'Mapa final'!$W$36),"")</f>
        <v/>
      </c>
      <c r="AF14" s="39" t="str">
        <f ca="1">IF(AND('Mapa final'!$AG$37="Muy Alta",'Mapa final'!$AI$37="Mayor"),CONCATENATE("R9C",'Mapa final'!$W$37),"")</f>
        <v/>
      </c>
      <c r="AG14" s="40" t="e">
        <f>IF(AND('Mapa final'!#REF!="Muy Alta",'Mapa final'!#REF!="Mayor"),CONCATENATE("R9C",'Mapa final'!#REF!),"")</f>
        <v>#REF!</v>
      </c>
      <c r="AH14" s="41" t="str">
        <f ca="1">IF(AND('Mapa final'!$AG$33="Muy Alta",'Mapa final'!$AI$33="Catastrófico"),CONCATENATE("R9C",'Mapa final'!$W$33),"")</f>
        <v/>
      </c>
      <c r="AI14" s="42" t="str">
        <f ca="1">IF(AND('Mapa final'!$AG$34="Muy Alta",'Mapa final'!$AI$34="Catastrófico"),CONCATENATE("R9C",'Mapa final'!$W$34),"")</f>
        <v/>
      </c>
      <c r="AJ14" s="42" t="str">
        <f ca="1">IF(AND('Mapa final'!$AG$35="Muy Alta",'Mapa final'!$AI$35="Catastrófico"),CONCATENATE("R9C",'Mapa final'!$W$35),"")</f>
        <v/>
      </c>
      <c r="AK14" s="42" t="str">
        <f ca="1">IF(AND('Mapa final'!$AG$36="Muy Alta",'Mapa final'!$AI$36="Catastrófico"),CONCATENATE("R9C",'Mapa final'!$W$36),"")</f>
        <v/>
      </c>
      <c r="AL14" s="42" t="str">
        <f ca="1">IF(AND('Mapa final'!$AG$37="Muy Alta",'Mapa final'!$AI$37="Catastrófico"),CONCATENATE("R9C",'Mapa final'!$W$37),"")</f>
        <v/>
      </c>
      <c r="AM14" s="43" t="e">
        <f>IF(AND('Mapa final'!#REF!="Muy Alta",'Mapa final'!#REF!="Catastrófico"),CONCATENATE("R9C",'Mapa final'!#REF!),"")</f>
        <v>#REF!</v>
      </c>
      <c r="AN14" s="69"/>
      <c r="AO14" s="625"/>
      <c r="AP14" s="626"/>
      <c r="AQ14" s="626"/>
      <c r="AR14" s="626"/>
      <c r="AS14" s="626"/>
      <c r="AT14" s="627"/>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row>
    <row r="15" spans="1:91" ht="15.75" customHeight="1" thickBot="1" x14ac:dyDescent="0.3">
      <c r="A15" s="69"/>
      <c r="B15" s="537"/>
      <c r="C15" s="537"/>
      <c r="D15" s="538"/>
      <c r="E15" s="619"/>
      <c r="F15" s="620"/>
      <c r="G15" s="620"/>
      <c r="H15" s="620"/>
      <c r="I15" s="621"/>
      <c r="J15" s="44" t="str">
        <f ca="1">IF(AND('Mapa final'!$AG$38="Muy Alta",'Mapa final'!$AI$38="Leve"),CONCATENATE("R10C",'Mapa final'!$W$38),"")</f>
        <v/>
      </c>
      <c r="K15" s="45" t="str">
        <f ca="1">IF(AND('Mapa final'!$AG$39="Muy Alta",'Mapa final'!$AI$39="Leve"),CONCATENATE("R10C",'Mapa final'!$W$39),"")</f>
        <v/>
      </c>
      <c r="L15" s="45" t="e">
        <f>IF(AND('Mapa final'!#REF!="Muy Alta",'Mapa final'!#REF!="Leve"),CONCATENATE("R10C",'Mapa final'!#REF!),"")</f>
        <v>#REF!</v>
      </c>
      <c r="M15" s="45" t="e">
        <f>IF(AND('Mapa final'!#REF!="Muy Alta",'Mapa final'!#REF!="Leve"),CONCATENATE("R10C",'Mapa final'!#REF!),"")</f>
        <v>#REF!</v>
      </c>
      <c r="N15" s="45" t="e">
        <f>IF(AND('Mapa final'!#REF!="Muy Alta",'Mapa final'!#REF!="Leve"),CONCATENATE("R10C",'Mapa final'!#REF!),"")</f>
        <v>#REF!</v>
      </c>
      <c r="O15" s="46" t="e">
        <f>IF(AND('Mapa final'!#REF!="Muy Alta",'Mapa final'!#REF!="Leve"),CONCATENATE("R10C",'Mapa final'!#REF!),"")</f>
        <v>#REF!</v>
      </c>
      <c r="P15" s="38" t="str">
        <f ca="1">IF(AND('Mapa final'!$AG$38="Muy Alta",'Mapa final'!$AI$38="Menor"),CONCATENATE("R10C",'Mapa final'!$W$38),"")</f>
        <v/>
      </c>
      <c r="Q15" s="39" t="str">
        <f ca="1">IF(AND('Mapa final'!$AG$39="Muy Alta",'Mapa final'!$AI$39="Menor"),CONCATENATE("R10C",'Mapa final'!$W$39),"")</f>
        <v/>
      </c>
      <c r="R15" s="39" t="e">
        <f>IF(AND('Mapa final'!#REF!="Muy Alta",'Mapa final'!#REF!="Menor"),CONCATENATE("R10C",'Mapa final'!#REF!),"")</f>
        <v>#REF!</v>
      </c>
      <c r="S15" s="39" t="e">
        <f>IF(AND('Mapa final'!#REF!="Muy Alta",'Mapa final'!#REF!="Menor"),CONCATENATE("R10C",'Mapa final'!#REF!),"")</f>
        <v>#REF!</v>
      </c>
      <c r="T15" s="39" t="e">
        <f>IF(AND('Mapa final'!#REF!="Muy Alta",'Mapa final'!#REF!="Menor"),CONCATENATE("R10C",'Mapa final'!#REF!),"")</f>
        <v>#REF!</v>
      </c>
      <c r="U15" s="40" t="e">
        <f>IF(AND('Mapa final'!#REF!="Muy Alta",'Mapa final'!#REF!="Menor"),CONCATENATE("R10C",'Mapa final'!#REF!),"")</f>
        <v>#REF!</v>
      </c>
      <c r="V15" s="44" t="str">
        <f ca="1">IF(AND('Mapa final'!$AG$38="Muy Alta",'Mapa final'!$AI$38="Moderado"),CONCATENATE("R10C",'Mapa final'!$W$38),"")</f>
        <v/>
      </c>
      <c r="W15" s="45" t="str">
        <f ca="1">IF(AND('Mapa final'!$AG$39="Muy Alta",'Mapa final'!$AI$39="Moderado"),CONCATENATE("R10C",'Mapa final'!$W$39),"")</f>
        <v/>
      </c>
      <c r="X15" s="45" t="e">
        <f>IF(AND('Mapa final'!#REF!="Muy Alta",'Mapa final'!#REF!="Moderado"),CONCATENATE("R10C",'Mapa final'!#REF!),"")</f>
        <v>#REF!</v>
      </c>
      <c r="Y15" s="45" t="e">
        <f>IF(AND('Mapa final'!#REF!="Muy Alta",'Mapa final'!#REF!="Moderado"),CONCATENATE("R10C",'Mapa final'!#REF!),"")</f>
        <v>#REF!</v>
      </c>
      <c r="Z15" s="45" t="e">
        <f>IF(AND('Mapa final'!#REF!="Muy Alta",'Mapa final'!#REF!="Moderado"),CONCATENATE("R10C",'Mapa final'!#REF!),"")</f>
        <v>#REF!</v>
      </c>
      <c r="AA15" s="46" t="e">
        <f>IF(AND('Mapa final'!#REF!="Muy Alta",'Mapa final'!#REF!="Moderado"),CONCATENATE("R10C",'Mapa final'!#REF!),"")</f>
        <v>#REF!</v>
      </c>
      <c r="AB15" s="38" t="str">
        <f ca="1">IF(AND('Mapa final'!$AG$38="Muy Alta",'Mapa final'!$AI$38="Mayor"),CONCATENATE("R10C",'Mapa final'!$W$38),"")</f>
        <v/>
      </c>
      <c r="AC15" s="39" t="str">
        <f ca="1">IF(AND('Mapa final'!$AG$39="Muy Alta",'Mapa final'!$AI$39="Mayor"),CONCATENATE("R10C",'Mapa final'!$W$39),"")</f>
        <v/>
      </c>
      <c r="AD15" s="39" t="e">
        <f>IF(AND('Mapa final'!#REF!="Muy Alta",'Mapa final'!#REF!="Mayor"),CONCATENATE("R10C",'Mapa final'!#REF!),"")</f>
        <v>#REF!</v>
      </c>
      <c r="AE15" s="39" t="e">
        <f>IF(AND('Mapa final'!#REF!="Muy Alta",'Mapa final'!#REF!="Mayor"),CONCATENATE("R10C",'Mapa final'!#REF!),"")</f>
        <v>#REF!</v>
      </c>
      <c r="AF15" s="39" t="e">
        <f>IF(AND('Mapa final'!#REF!="Muy Alta",'Mapa final'!#REF!="Mayor"),CONCATENATE("R10C",'Mapa final'!#REF!),"")</f>
        <v>#REF!</v>
      </c>
      <c r="AG15" s="40" t="e">
        <f>IF(AND('Mapa final'!#REF!="Muy Alta",'Mapa final'!#REF!="Mayor"),CONCATENATE("R10C",'Mapa final'!#REF!),"")</f>
        <v>#REF!</v>
      </c>
      <c r="AH15" s="47" t="str">
        <f ca="1">IF(AND('Mapa final'!$AG$38="Muy Alta",'Mapa final'!$AI$38="Catastrófico"),CONCATENATE("R10C",'Mapa final'!$W$38),"")</f>
        <v/>
      </c>
      <c r="AI15" s="48" t="str">
        <f ca="1">IF(AND('Mapa final'!$AG$39="Muy Alta",'Mapa final'!$AI$39="Catastrófico"),CONCATENATE("R10C",'Mapa final'!$W$39),"")</f>
        <v/>
      </c>
      <c r="AJ15" s="48" t="e">
        <f>IF(AND('Mapa final'!#REF!="Muy Alta",'Mapa final'!#REF!="Catastrófico"),CONCATENATE("R10C",'Mapa final'!#REF!),"")</f>
        <v>#REF!</v>
      </c>
      <c r="AK15" s="48" t="e">
        <f>IF(AND('Mapa final'!#REF!="Muy Alta",'Mapa final'!#REF!="Catastrófico"),CONCATENATE("R10C",'Mapa final'!#REF!),"")</f>
        <v>#REF!</v>
      </c>
      <c r="AL15" s="48" t="e">
        <f>IF(AND('Mapa final'!#REF!="Muy Alta",'Mapa final'!#REF!="Catastrófico"),CONCATENATE("R10C",'Mapa final'!#REF!),"")</f>
        <v>#REF!</v>
      </c>
      <c r="AM15" s="49" t="e">
        <f>IF(AND('Mapa final'!#REF!="Muy Alta",'Mapa final'!#REF!="Catastrófico"),CONCATENATE("R10C",'Mapa final'!#REF!),"")</f>
        <v>#REF!</v>
      </c>
      <c r="AN15" s="69"/>
      <c r="AO15" s="628"/>
      <c r="AP15" s="629"/>
      <c r="AQ15" s="629"/>
      <c r="AR15" s="629"/>
      <c r="AS15" s="629"/>
      <c r="AT15" s="630"/>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row>
    <row r="16" spans="1:91" ht="15" customHeight="1" x14ac:dyDescent="0.25">
      <c r="A16" s="69"/>
      <c r="B16" s="537"/>
      <c r="C16" s="537"/>
      <c r="D16" s="538"/>
      <c r="E16" s="612" t="s">
        <v>131</v>
      </c>
      <c r="F16" s="613"/>
      <c r="G16" s="613"/>
      <c r="H16" s="613"/>
      <c r="I16" s="613"/>
      <c r="J16" s="50" t="str">
        <f ca="1">IF(AND('Mapa final'!$AG$13="Alta",'Mapa final'!$AI$13="Leve"),CONCATENATE("R1C",'Mapa final'!$W$13),"")</f>
        <v/>
      </c>
      <c r="K16" s="51" t="str">
        <f ca="1">IF(AND('Mapa final'!$AG$14="Alta",'Mapa final'!$AI$14="Leve"),CONCATENATE("R1C",'Mapa final'!$W$14),"")</f>
        <v/>
      </c>
      <c r="L16" s="51" t="e">
        <f>IF(AND('Mapa final'!#REF!="Alta",'Mapa final'!#REF!="Leve"),CONCATENATE("R1C",'Mapa final'!#REF!),"")</f>
        <v>#REF!</v>
      </c>
      <c r="M16" s="51" t="e">
        <f>IF(AND('Mapa final'!#REF!="Alta",'Mapa final'!#REF!="Leve"),CONCATENATE("R1C",'Mapa final'!#REF!),"")</f>
        <v>#REF!</v>
      </c>
      <c r="N16" s="51" t="e">
        <f>IF(AND('Mapa final'!#REF!="Alta",'Mapa final'!#REF!="Leve"),CONCATENATE("R1C",'Mapa final'!#REF!),"")</f>
        <v>#REF!</v>
      </c>
      <c r="O16" s="52" t="e">
        <f>IF(AND('Mapa final'!#REF!="Alta",'Mapa final'!#REF!="Leve"),CONCATENATE("R1C",'Mapa final'!#REF!),"")</f>
        <v>#REF!</v>
      </c>
      <c r="P16" s="50" t="str">
        <f ca="1">IF(AND('Mapa final'!$AG$13="Alta",'Mapa final'!$AI$13="Menor"),CONCATENATE("R1C",'Mapa final'!$W$13),"")</f>
        <v/>
      </c>
      <c r="Q16" s="51" t="str">
        <f ca="1">IF(AND('Mapa final'!$AG$14="Alta",'Mapa final'!$AI$14="Menor"),CONCATENATE("R1C",'Mapa final'!$W$14),"")</f>
        <v/>
      </c>
      <c r="R16" s="51" t="e">
        <f>IF(AND('Mapa final'!#REF!="Alta",'Mapa final'!#REF!="Menor"),CONCATENATE("R1C",'Mapa final'!#REF!),"")</f>
        <v>#REF!</v>
      </c>
      <c r="S16" s="51" t="e">
        <f>IF(AND('Mapa final'!#REF!="Alta",'Mapa final'!#REF!="Menor"),CONCATENATE("R1C",'Mapa final'!#REF!),"")</f>
        <v>#REF!</v>
      </c>
      <c r="T16" s="51" t="e">
        <f>IF(AND('Mapa final'!#REF!="Alta",'Mapa final'!#REF!="Menor"),CONCATENATE("R1C",'Mapa final'!#REF!),"")</f>
        <v>#REF!</v>
      </c>
      <c r="U16" s="52" t="e">
        <f>IF(AND('Mapa final'!#REF!="Alta",'Mapa final'!#REF!="Menor"),CONCATENATE("R1C",'Mapa final'!#REF!),"")</f>
        <v>#REF!</v>
      </c>
      <c r="V16" s="32" t="str">
        <f ca="1">IF(AND('Mapa final'!$AG$13="Alta",'Mapa final'!$AI$13="Moderado"),CONCATENATE("R1C",'Mapa final'!$W$13),"")</f>
        <v/>
      </c>
      <c r="W16" s="33" t="str">
        <f ca="1">IF(AND('Mapa final'!$AG$14="Alta",'Mapa final'!$AI$14="Moderado"),CONCATENATE("R1C",'Mapa final'!$W$14),"")</f>
        <v/>
      </c>
      <c r="X16" s="33" t="e">
        <f>IF(AND('Mapa final'!#REF!="Alta",'Mapa final'!#REF!="Moderado"),CONCATENATE("R1C",'Mapa final'!#REF!),"")</f>
        <v>#REF!</v>
      </c>
      <c r="Y16" s="33" t="e">
        <f>IF(AND('Mapa final'!#REF!="Alta",'Mapa final'!#REF!="Moderado"),CONCATENATE("R1C",'Mapa final'!#REF!),"")</f>
        <v>#REF!</v>
      </c>
      <c r="Z16" s="33" t="e">
        <f>IF(AND('Mapa final'!#REF!="Alta",'Mapa final'!#REF!="Moderado"),CONCATENATE("R1C",'Mapa final'!#REF!),"")</f>
        <v>#REF!</v>
      </c>
      <c r="AA16" s="34" t="e">
        <f>IF(AND('Mapa final'!#REF!="Alta",'Mapa final'!#REF!="Moderado"),CONCATENATE("R1C",'Mapa final'!#REF!),"")</f>
        <v>#REF!</v>
      </c>
      <c r="AB16" s="32" t="str">
        <f ca="1">IF(AND('Mapa final'!$AG$13="Alta",'Mapa final'!$AI$13="Mayor"),CONCATENATE("R1C",'Mapa final'!$W$13),"")</f>
        <v/>
      </c>
      <c r="AC16" s="33" t="str">
        <f ca="1">IF(AND('Mapa final'!$AG$14="Alta",'Mapa final'!$AI$14="Mayor"),CONCATENATE("R1C",'Mapa final'!$W$14),"")</f>
        <v/>
      </c>
      <c r="AD16" s="33" t="e">
        <f>IF(AND('Mapa final'!#REF!="Alta",'Mapa final'!#REF!="Mayor"),CONCATENATE("R1C",'Mapa final'!#REF!),"")</f>
        <v>#REF!</v>
      </c>
      <c r="AE16" s="33" t="e">
        <f>IF(AND('Mapa final'!#REF!="Alta",'Mapa final'!#REF!="Mayor"),CONCATENATE("R1C",'Mapa final'!#REF!),"")</f>
        <v>#REF!</v>
      </c>
      <c r="AF16" s="33" t="e">
        <f>IF(AND('Mapa final'!#REF!="Alta",'Mapa final'!#REF!="Mayor"),CONCATENATE("R1C",'Mapa final'!#REF!),"")</f>
        <v>#REF!</v>
      </c>
      <c r="AG16" s="34" t="e">
        <f>IF(AND('Mapa final'!#REF!="Alta",'Mapa final'!#REF!="Mayor"),CONCATENATE("R1C",'Mapa final'!#REF!),"")</f>
        <v>#REF!</v>
      </c>
      <c r="AH16" s="35" t="str">
        <f ca="1">IF(AND('Mapa final'!$AG$13="Alta",'Mapa final'!$AI$13="Catastrófico"),CONCATENATE("R1C",'Mapa final'!$W$13),"")</f>
        <v/>
      </c>
      <c r="AI16" s="36" t="str">
        <f ca="1">IF(AND('Mapa final'!$AG$14="Alta",'Mapa final'!$AI$14="Catastrófico"),CONCATENATE("R1C",'Mapa final'!$W$14),"")</f>
        <v/>
      </c>
      <c r="AJ16" s="36" t="e">
        <f>IF(AND('Mapa final'!#REF!="Alta",'Mapa final'!#REF!="Catastrófico"),CONCATENATE("R1C",'Mapa final'!#REF!),"")</f>
        <v>#REF!</v>
      </c>
      <c r="AK16" s="36" t="e">
        <f>IF(AND('Mapa final'!#REF!="Alta",'Mapa final'!#REF!="Catastrófico"),CONCATENATE("R1C",'Mapa final'!#REF!),"")</f>
        <v>#REF!</v>
      </c>
      <c r="AL16" s="36" t="e">
        <f>IF(AND('Mapa final'!#REF!="Alta",'Mapa final'!#REF!="Catastrófico"),CONCATENATE("R1C",'Mapa final'!#REF!),"")</f>
        <v>#REF!</v>
      </c>
      <c r="AM16" s="37" t="e">
        <f>IF(AND('Mapa final'!#REF!="Alta",'Mapa final'!#REF!="Catastrófico"),CONCATENATE("R1C",'Mapa final'!#REF!),"")</f>
        <v>#REF!</v>
      </c>
      <c r="AN16" s="69"/>
      <c r="AO16" s="642" t="s">
        <v>132</v>
      </c>
      <c r="AP16" s="643"/>
      <c r="AQ16" s="643"/>
      <c r="AR16" s="643"/>
      <c r="AS16" s="643"/>
      <c r="AT16" s="644"/>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row>
    <row r="17" spans="1:76" ht="15" customHeight="1" x14ac:dyDescent="0.25">
      <c r="A17" s="69"/>
      <c r="B17" s="537"/>
      <c r="C17" s="537"/>
      <c r="D17" s="538"/>
      <c r="E17" s="615"/>
      <c r="F17" s="616"/>
      <c r="G17" s="616"/>
      <c r="H17" s="616"/>
      <c r="I17" s="616"/>
      <c r="J17" s="53" t="str">
        <f ca="1">IF(AND('Mapa final'!$AG$15="Alta",'Mapa final'!$AI$15="Leve"),CONCATENATE("R2C",'Mapa final'!$W$15),"")</f>
        <v/>
      </c>
      <c r="K17" s="54" t="str">
        <f ca="1">IF(AND('Mapa final'!$AG$16="Alta",'Mapa final'!$AI$16="Leve"),CONCATENATE("R2C",'Mapa final'!$W$16),"")</f>
        <v/>
      </c>
      <c r="L17" s="54" t="e">
        <f>IF(AND('Mapa final'!#REF!="Alta",'Mapa final'!#REF!="Leve"),CONCATENATE("R2C",'Mapa final'!#REF!),"")</f>
        <v>#REF!</v>
      </c>
      <c r="M17" s="54" t="e">
        <f>IF(AND('Mapa final'!#REF!="Alta",'Mapa final'!#REF!="Leve"),CONCATENATE("R2C",'Mapa final'!#REF!),"")</f>
        <v>#REF!</v>
      </c>
      <c r="N17" s="54" t="e">
        <f>IF(AND('Mapa final'!#REF!="Alta",'Mapa final'!#REF!="Leve"),CONCATENATE("R2C",'Mapa final'!#REF!),"")</f>
        <v>#REF!</v>
      </c>
      <c r="O17" s="55" t="e">
        <f>IF(AND('Mapa final'!#REF!="Alta",'Mapa final'!#REF!="Leve"),CONCATENATE("R2C",'Mapa final'!#REF!),"")</f>
        <v>#REF!</v>
      </c>
      <c r="P17" s="53" t="str">
        <f ca="1">IF(AND('Mapa final'!$AG$15="Alta",'Mapa final'!$AI$15="Menor"),CONCATENATE("R2C",'Mapa final'!$W$15),"")</f>
        <v/>
      </c>
      <c r="Q17" s="54" t="str">
        <f ca="1">IF(AND('Mapa final'!$AG$16="Alta",'Mapa final'!$AI$16="Menor"),CONCATENATE("R2C",'Mapa final'!$W$16),"")</f>
        <v/>
      </c>
      <c r="R17" s="54" t="e">
        <f>IF(AND('Mapa final'!#REF!="Alta",'Mapa final'!#REF!="Menor"),CONCATENATE("R2C",'Mapa final'!#REF!),"")</f>
        <v>#REF!</v>
      </c>
      <c r="S17" s="54" t="e">
        <f>IF(AND('Mapa final'!#REF!="Alta",'Mapa final'!#REF!="Menor"),CONCATENATE("R2C",'Mapa final'!#REF!),"")</f>
        <v>#REF!</v>
      </c>
      <c r="T17" s="54" t="e">
        <f>IF(AND('Mapa final'!#REF!="Alta",'Mapa final'!#REF!="Menor"),CONCATENATE("R2C",'Mapa final'!#REF!),"")</f>
        <v>#REF!</v>
      </c>
      <c r="U17" s="55" t="e">
        <f>IF(AND('Mapa final'!#REF!="Alta",'Mapa final'!#REF!="Menor"),CONCATENATE("R2C",'Mapa final'!#REF!),"")</f>
        <v>#REF!</v>
      </c>
      <c r="V17" s="38" t="str">
        <f ca="1">IF(AND('Mapa final'!$AG$15="Alta",'Mapa final'!$AI$15="Moderado"),CONCATENATE("R2C",'Mapa final'!$W$15),"")</f>
        <v/>
      </c>
      <c r="W17" s="39" t="str">
        <f ca="1">IF(AND('Mapa final'!$AG$16="Alta",'Mapa final'!$AI$16="Moderado"),CONCATENATE("R2C",'Mapa final'!$W$16),"")</f>
        <v/>
      </c>
      <c r="X17" s="39" t="e">
        <f>IF(AND('Mapa final'!#REF!="Alta",'Mapa final'!#REF!="Moderado"),CONCATENATE("R2C",'Mapa final'!#REF!),"")</f>
        <v>#REF!</v>
      </c>
      <c r="Y17" s="39" t="e">
        <f>IF(AND('Mapa final'!#REF!="Alta",'Mapa final'!#REF!="Moderado"),CONCATENATE("R2C",'Mapa final'!#REF!),"")</f>
        <v>#REF!</v>
      </c>
      <c r="Z17" s="39" t="e">
        <f>IF(AND('Mapa final'!#REF!="Alta",'Mapa final'!#REF!="Moderado"),CONCATENATE("R2C",'Mapa final'!#REF!),"")</f>
        <v>#REF!</v>
      </c>
      <c r="AA17" s="40" t="e">
        <f>IF(AND('Mapa final'!#REF!="Alta",'Mapa final'!#REF!="Moderado"),CONCATENATE("R2C",'Mapa final'!#REF!),"")</f>
        <v>#REF!</v>
      </c>
      <c r="AB17" s="38" t="str">
        <f ca="1">IF(AND('Mapa final'!$AG$15="Alta",'Mapa final'!$AI$15="Mayor"),CONCATENATE("R2C",'Mapa final'!$W$15),"")</f>
        <v/>
      </c>
      <c r="AC17" s="39" t="str">
        <f ca="1">IF(AND('Mapa final'!$AG$16="Alta",'Mapa final'!$AI$16="Mayor"),CONCATENATE("R2C",'Mapa final'!$W$16),"")</f>
        <v/>
      </c>
      <c r="AD17" s="39" t="e">
        <f>IF(AND('Mapa final'!#REF!="Alta",'Mapa final'!#REF!="Mayor"),CONCATENATE("R2C",'Mapa final'!#REF!),"")</f>
        <v>#REF!</v>
      </c>
      <c r="AE17" s="39" t="e">
        <f>IF(AND('Mapa final'!#REF!="Alta",'Mapa final'!#REF!="Mayor"),CONCATENATE("R2C",'Mapa final'!#REF!),"")</f>
        <v>#REF!</v>
      </c>
      <c r="AF17" s="39" t="e">
        <f>IF(AND('Mapa final'!#REF!="Alta",'Mapa final'!#REF!="Mayor"),CONCATENATE("R2C",'Mapa final'!#REF!),"")</f>
        <v>#REF!</v>
      </c>
      <c r="AG17" s="40" t="e">
        <f>IF(AND('Mapa final'!#REF!="Alta",'Mapa final'!#REF!="Mayor"),CONCATENATE("R2C",'Mapa final'!#REF!),"")</f>
        <v>#REF!</v>
      </c>
      <c r="AH17" s="41" t="str">
        <f ca="1">IF(AND('Mapa final'!$AG$15="Alta",'Mapa final'!$AI$15="Catastrófico"),CONCATENATE("R2C",'Mapa final'!$W$15),"")</f>
        <v/>
      </c>
      <c r="AI17" s="42" t="str">
        <f ca="1">IF(AND('Mapa final'!$AG$16="Alta",'Mapa final'!$AI$16="Catastrófico"),CONCATENATE("R2C",'Mapa final'!$W$16),"")</f>
        <v/>
      </c>
      <c r="AJ17" s="42" t="e">
        <f>IF(AND('Mapa final'!#REF!="Alta",'Mapa final'!#REF!="Catastrófico"),CONCATENATE("R2C",'Mapa final'!#REF!),"")</f>
        <v>#REF!</v>
      </c>
      <c r="AK17" s="42" t="e">
        <f>IF(AND('Mapa final'!#REF!="Alta",'Mapa final'!#REF!="Catastrófico"),CONCATENATE("R2C",'Mapa final'!#REF!),"")</f>
        <v>#REF!</v>
      </c>
      <c r="AL17" s="42" t="e">
        <f>IF(AND('Mapa final'!#REF!="Alta",'Mapa final'!#REF!="Catastrófico"),CONCATENATE("R2C",'Mapa final'!#REF!),"")</f>
        <v>#REF!</v>
      </c>
      <c r="AM17" s="43" t="e">
        <f>IF(AND('Mapa final'!#REF!="Alta",'Mapa final'!#REF!="Catastrófico"),CONCATENATE("R2C",'Mapa final'!#REF!),"")</f>
        <v>#REF!</v>
      </c>
      <c r="AN17" s="69"/>
      <c r="AO17" s="645"/>
      <c r="AP17" s="646"/>
      <c r="AQ17" s="646"/>
      <c r="AR17" s="646"/>
      <c r="AS17" s="646"/>
      <c r="AT17" s="647"/>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row>
    <row r="18" spans="1:76" ht="15" customHeight="1" x14ac:dyDescent="0.25">
      <c r="A18" s="69"/>
      <c r="B18" s="537"/>
      <c r="C18" s="537"/>
      <c r="D18" s="538"/>
      <c r="E18" s="618"/>
      <c r="F18" s="616"/>
      <c r="G18" s="616"/>
      <c r="H18" s="616"/>
      <c r="I18" s="616"/>
      <c r="J18" s="53" t="str">
        <f ca="1">IF(AND('Mapa final'!$AG$17="Alta",'Mapa final'!$AI$17="Leve"),CONCATENATE("R3C",'Mapa final'!$W$17),"")</f>
        <v/>
      </c>
      <c r="K18" s="54" t="str">
        <f ca="1">IF(AND('Mapa final'!$AG$18="Alta",'Mapa final'!$AI$18="Leve"),CONCATENATE("R3C",'Mapa final'!$W$18),"")</f>
        <v/>
      </c>
      <c r="L18" s="54" t="str">
        <f ca="1">IF(AND('Mapa final'!$AG$19="Alta",'Mapa final'!$AI$19="Leve"),CONCATENATE("R3C",'Mapa final'!$W$19),"")</f>
        <v/>
      </c>
      <c r="M18" s="54" t="e">
        <f>IF(AND('Mapa final'!#REF!="Alta",'Mapa final'!#REF!="Leve"),CONCATENATE("R3C",'Mapa final'!#REF!),"")</f>
        <v>#REF!</v>
      </c>
      <c r="N18" s="54" t="e">
        <f>IF(AND('Mapa final'!#REF!="Alta",'Mapa final'!#REF!="Leve"),CONCATENATE("R3C",'Mapa final'!#REF!),"")</f>
        <v>#REF!</v>
      </c>
      <c r="O18" s="55" t="e">
        <f>IF(AND('Mapa final'!#REF!="Alta",'Mapa final'!#REF!="Leve"),CONCATENATE("R3C",'Mapa final'!#REF!),"")</f>
        <v>#REF!</v>
      </c>
      <c r="P18" s="53" t="str">
        <f ca="1">IF(AND('Mapa final'!$AG$17="Alta",'Mapa final'!$AI$17="Menor"),CONCATENATE("R3C",'Mapa final'!$W$17),"")</f>
        <v/>
      </c>
      <c r="Q18" s="54" t="str">
        <f ca="1">IF(AND('Mapa final'!$AG$18="Alta",'Mapa final'!$AI$18="Menor"),CONCATENATE("R3C",'Mapa final'!$W$18),"")</f>
        <v/>
      </c>
      <c r="R18" s="54" t="str">
        <f ca="1">IF(AND('Mapa final'!$AG$19="Alta",'Mapa final'!$AI$19="Menor"),CONCATENATE("R3C",'Mapa final'!$W$19),"")</f>
        <v/>
      </c>
      <c r="S18" s="54" t="e">
        <f>IF(AND('Mapa final'!#REF!="Alta",'Mapa final'!#REF!="Menor"),CONCATENATE("R3C",'Mapa final'!#REF!),"")</f>
        <v>#REF!</v>
      </c>
      <c r="T18" s="54" t="e">
        <f>IF(AND('Mapa final'!#REF!="Alta",'Mapa final'!#REF!="Menor"),CONCATENATE("R3C",'Mapa final'!#REF!),"")</f>
        <v>#REF!</v>
      </c>
      <c r="U18" s="55" t="e">
        <f>IF(AND('Mapa final'!#REF!="Alta",'Mapa final'!#REF!="Menor"),CONCATENATE("R3C",'Mapa final'!#REF!),"")</f>
        <v>#REF!</v>
      </c>
      <c r="V18" s="38" t="str">
        <f ca="1">IF(AND('Mapa final'!$AG$17="Alta",'Mapa final'!$AI$17="Moderado"),CONCATENATE("R3C",'Mapa final'!$W$17),"")</f>
        <v/>
      </c>
      <c r="W18" s="39" t="str">
        <f ca="1">IF(AND('Mapa final'!$AG$18="Alta",'Mapa final'!$AI$18="Moderado"),CONCATENATE("R3C",'Mapa final'!$W$18),"")</f>
        <v/>
      </c>
      <c r="X18" s="39" t="str">
        <f ca="1">IF(AND('Mapa final'!$AG$19="Alta",'Mapa final'!$AI$19="Moderado"),CONCATENATE("R3C",'Mapa final'!$W$19),"")</f>
        <v/>
      </c>
      <c r="Y18" s="39" t="e">
        <f>IF(AND('Mapa final'!#REF!="Alta",'Mapa final'!#REF!="Moderado"),CONCATENATE("R3C",'Mapa final'!#REF!),"")</f>
        <v>#REF!</v>
      </c>
      <c r="Z18" s="39" t="e">
        <f>IF(AND('Mapa final'!#REF!="Alta",'Mapa final'!#REF!="Moderado"),CONCATENATE("R3C",'Mapa final'!#REF!),"")</f>
        <v>#REF!</v>
      </c>
      <c r="AA18" s="40" t="e">
        <f>IF(AND('Mapa final'!#REF!="Alta",'Mapa final'!#REF!="Moderado"),CONCATENATE("R3C",'Mapa final'!#REF!),"")</f>
        <v>#REF!</v>
      </c>
      <c r="AB18" s="38" t="str">
        <f ca="1">IF(AND('Mapa final'!$AG$17="Alta",'Mapa final'!$AI$17="Mayor"),CONCATENATE("R3C",'Mapa final'!$W$17),"")</f>
        <v/>
      </c>
      <c r="AC18" s="39" t="str">
        <f ca="1">IF(AND('Mapa final'!$AG$18="Alta",'Mapa final'!$AI$18="Mayor"),CONCATENATE("R3C",'Mapa final'!$W$18),"")</f>
        <v/>
      </c>
      <c r="AD18" s="39" t="str">
        <f ca="1">IF(AND('Mapa final'!$AG$19="Alta",'Mapa final'!$AI$19="Mayor"),CONCATENATE("R3C",'Mapa final'!$W$19),"")</f>
        <v/>
      </c>
      <c r="AE18" s="39" t="e">
        <f>IF(AND('Mapa final'!#REF!="Alta",'Mapa final'!#REF!="Mayor"),CONCATENATE("R3C",'Mapa final'!#REF!),"")</f>
        <v>#REF!</v>
      </c>
      <c r="AF18" s="39" t="e">
        <f>IF(AND('Mapa final'!#REF!="Alta",'Mapa final'!#REF!="Mayor"),CONCATENATE("R3C",'Mapa final'!#REF!),"")</f>
        <v>#REF!</v>
      </c>
      <c r="AG18" s="40" t="e">
        <f>IF(AND('Mapa final'!#REF!="Alta",'Mapa final'!#REF!="Mayor"),CONCATENATE("R3C",'Mapa final'!#REF!),"")</f>
        <v>#REF!</v>
      </c>
      <c r="AH18" s="41" t="str">
        <f ca="1">IF(AND('Mapa final'!$AG$17="Alta",'Mapa final'!$AI$17="Catastrófico"),CONCATENATE("R3C",'Mapa final'!$W$17),"")</f>
        <v/>
      </c>
      <c r="AI18" s="42" t="str">
        <f ca="1">IF(AND('Mapa final'!$AG$18="Alta",'Mapa final'!$AI$18="Catastrófico"),CONCATENATE("R3C",'Mapa final'!$W$18),"")</f>
        <v/>
      </c>
      <c r="AJ18" s="42" t="str">
        <f ca="1">IF(AND('Mapa final'!$AG$19="Alta",'Mapa final'!$AI$19="Catastrófico"),CONCATENATE("R3C",'Mapa final'!$W$19),"")</f>
        <v/>
      </c>
      <c r="AK18" s="42" t="e">
        <f>IF(AND('Mapa final'!#REF!="Alta",'Mapa final'!#REF!="Catastrófico"),CONCATENATE("R3C",'Mapa final'!#REF!),"")</f>
        <v>#REF!</v>
      </c>
      <c r="AL18" s="42" t="e">
        <f>IF(AND('Mapa final'!#REF!="Alta",'Mapa final'!#REF!="Catastrófico"),CONCATENATE("R3C",'Mapa final'!#REF!),"")</f>
        <v>#REF!</v>
      </c>
      <c r="AM18" s="43" t="e">
        <f>IF(AND('Mapa final'!#REF!="Alta",'Mapa final'!#REF!="Catastrófico"),CONCATENATE("R3C",'Mapa final'!#REF!),"")</f>
        <v>#REF!</v>
      </c>
      <c r="AN18" s="69"/>
      <c r="AO18" s="645"/>
      <c r="AP18" s="646"/>
      <c r="AQ18" s="646"/>
      <c r="AR18" s="646"/>
      <c r="AS18" s="646"/>
      <c r="AT18" s="647"/>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row>
    <row r="19" spans="1:76" ht="15" customHeight="1" x14ac:dyDescent="0.25">
      <c r="A19" s="69"/>
      <c r="B19" s="537"/>
      <c r="C19" s="537"/>
      <c r="D19" s="538"/>
      <c r="E19" s="618"/>
      <c r="F19" s="616"/>
      <c r="G19" s="616"/>
      <c r="H19" s="616"/>
      <c r="I19" s="616"/>
      <c r="J19" s="53" t="str">
        <f ca="1">IF(AND('Mapa final'!$AG$20="Alta",'Mapa final'!$AI$20="Leve"),CONCATENATE("R4C",'Mapa final'!$W$20),"")</f>
        <v/>
      </c>
      <c r="K19" s="54" t="str">
        <f ca="1">IF(AND('Mapa final'!$AG$21="Alta",'Mapa final'!$AI$21="Leve"),CONCATENATE("R4C",'Mapa final'!$W$21),"")</f>
        <v/>
      </c>
      <c r="L19" s="54" t="e">
        <f>IF(AND('Mapa final'!#REF!="Alta",'Mapa final'!#REF!="Leve"),CONCATENATE("R4C",'Mapa final'!#REF!),"")</f>
        <v>#REF!</v>
      </c>
      <c r="M19" s="54" t="e">
        <f>IF(AND('Mapa final'!#REF!="Alta",'Mapa final'!#REF!="Leve"),CONCATENATE("R4C",'Mapa final'!#REF!),"")</f>
        <v>#REF!</v>
      </c>
      <c r="N19" s="54" t="e">
        <f>IF(AND('Mapa final'!#REF!="Alta",'Mapa final'!#REF!="Leve"),CONCATENATE("R4C",'Mapa final'!#REF!),"")</f>
        <v>#REF!</v>
      </c>
      <c r="O19" s="55" t="e">
        <f>IF(AND('Mapa final'!#REF!="Alta",'Mapa final'!#REF!="Leve"),CONCATENATE("R4C",'Mapa final'!#REF!),"")</f>
        <v>#REF!</v>
      </c>
      <c r="P19" s="53" t="str">
        <f ca="1">IF(AND('Mapa final'!$AG$20="Alta",'Mapa final'!$AI$20="Menor"),CONCATENATE("R4C",'Mapa final'!$W$20),"")</f>
        <v/>
      </c>
      <c r="Q19" s="54" t="str">
        <f ca="1">IF(AND('Mapa final'!$AG$21="Alta",'Mapa final'!$AI$21="Menor"),CONCATENATE("R4C",'Mapa final'!$W$21),"")</f>
        <v/>
      </c>
      <c r="R19" s="54" t="e">
        <f>IF(AND('Mapa final'!#REF!="Alta",'Mapa final'!#REF!="Menor"),CONCATENATE("R4C",'Mapa final'!#REF!),"")</f>
        <v>#REF!</v>
      </c>
      <c r="S19" s="54" t="e">
        <f>IF(AND('Mapa final'!#REF!="Alta",'Mapa final'!#REF!="Menor"),CONCATENATE("R4C",'Mapa final'!#REF!),"")</f>
        <v>#REF!</v>
      </c>
      <c r="T19" s="54" t="e">
        <f>IF(AND('Mapa final'!#REF!="Alta",'Mapa final'!#REF!="Menor"),CONCATENATE("R4C",'Mapa final'!#REF!),"")</f>
        <v>#REF!</v>
      </c>
      <c r="U19" s="55" t="e">
        <f>IF(AND('Mapa final'!#REF!="Alta",'Mapa final'!#REF!="Menor"),CONCATENATE("R4C",'Mapa final'!#REF!),"")</f>
        <v>#REF!</v>
      </c>
      <c r="V19" s="38" t="str">
        <f ca="1">IF(AND('Mapa final'!$AG$20="Alta",'Mapa final'!$AI$20="Moderado"),CONCATENATE("R4C",'Mapa final'!$W$20),"")</f>
        <v/>
      </c>
      <c r="W19" s="39" t="str">
        <f ca="1">IF(AND('Mapa final'!$AG$21="Alta",'Mapa final'!$AI$21="Moderado"),CONCATENATE("R4C",'Mapa final'!$W$21),"")</f>
        <v/>
      </c>
      <c r="X19" s="39" t="e">
        <f>IF(AND('Mapa final'!#REF!="Alta",'Mapa final'!#REF!="Moderado"),CONCATENATE("R4C",'Mapa final'!#REF!),"")</f>
        <v>#REF!</v>
      </c>
      <c r="Y19" s="39" t="e">
        <f>IF(AND('Mapa final'!#REF!="Alta",'Mapa final'!#REF!="Moderado"),CONCATENATE("R4C",'Mapa final'!#REF!),"")</f>
        <v>#REF!</v>
      </c>
      <c r="Z19" s="39" t="e">
        <f>IF(AND('Mapa final'!#REF!="Alta",'Mapa final'!#REF!="Moderado"),CONCATENATE("R4C",'Mapa final'!#REF!),"")</f>
        <v>#REF!</v>
      </c>
      <c r="AA19" s="40" t="e">
        <f>IF(AND('Mapa final'!#REF!="Alta",'Mapa final'!#REF!="Moderado"),CONCATENATE("R4C",'Mapa final'!#REF!),"")</f>
        <v>#REF!</v>
      </c>
      <c r="AB19" s="38" t="str">
        <f ca="1">IF(AND('Mapa final'!$AG$20="Alta",'Mapa final'!$AI$20="Mayor"),CONCATENATE("R4C",'Mapa final'!$W$20),"")</f>
        <v/>
      </c>
      <c r="AC19" s="39" t="str">
        <f ca="1">IF(AND('Mapa final'!$AG$21="Alta",'Mapa final'!$AI$21="Mayor"),CONCATENATE("R4C",'Mapa final'!$W$21),"")</f>
        <v/>
      </c>
      <c r="AD19" s="39" t="e">
        <f>IF(AND('Mapa final'!#REF!="Alta",'Mapa final'!#REF!="Mayor"),CONCATENATE("R4C",'Mapa final'!#REF!),"")</f>
        <v>#REF!</v>
      </c>
      <c r="AE19" s="39" t="e">
        <f>IF(AND('Mapa final'!#REF!="Alta",'Mapa final'!#REF!="Mayor"),CONCATENATE("R4C",'Mapa final'!#REF!),"")</f>
        <v>#REF!</v>
      </c>
      <c r="AF19" s="39" t="e">
        <f>IF(AND('Mapa final'!#REF!="Alta",'Mapa final'!#REF!="Mayor"),CONCATENATE("R4C",'Mapa final'!#REF!),"")</f>
        <v>#REF!</v>
      </c>
      <c r="AG19" s="40" t="e">
        <f>IF(AND('Mapa final'!#REF!="Alta",'Mapa final'!#REF!="Mayor"),CONCATENATE("R4C",'Mapa final'!#REF!),"")</f>
        <v>#REF!</v>
      </c>
      <c r="AH19" s="41" t="str">
        <f ca="1">IF(AND('Mapa final'!$AG$20="Alta",'Mapa final'!$AI$20="Catastrófico"),CONCATENATE("R4C",'Mapa final'!$W$20),"")</f>
        <v/>
      </c>
      <c r="AI19" s="42" t="str">
        <f ca="1">IF(AND('Mapa final'!$AG$21="Alta",'Mapa final'!$AI$21="Catastrófico"),CONCATENATE("R4C",'Mapa final'!$W$21),"")</f>
        <v/>
      </c>
      <c r="AJ19" s="42" t="e">
        <f>IF(AND('Mapa final'!#REF!="Alta",'Mapa final'!#REF!="Catastrófico"),CONCATENATE("R4C",'Mapa final'!#REF!),"")</f>
        <v>#REF!</v>
      </c>
      <c r="AK19" s="42" t="e">
        <f>IF(AND('Mapa final'!#REF!="Alta",'Mapa final'!#REF!="Catastrófico"),CONCATENATE("R4C",'Mapa final'!#REF!),"")</f>
        <v>#REF!</v>
      </c>
      <c r="AL19" s="42" t="e">
        <f>IF(AND('Mapa final'!#REF!="Alta",'Mapa final'!#REF!="Catastrófico"),CONCATENATE("R4C",'Mapa final'!#REF!),"")</f>
        <v>#REF!</v>
      </c>
      <c r="AM19" s="43" t="e">
        <f>IF(AND('Mapa final'!#REF!="Alta",'Mapa final'!#REF!="Catastrófico"),CONCATENATE("R4C",'Mapa final'!#REF!),"")</f>
        <v>#REF!</v>
      </c>
      <c r="AN19" s="69"/>
      <c r="AO19" s="645"/>
      <c r="AP19" s="646"/>
      <c r="AQ19" s="646"/>
      <c r="AR19" s="646"/>
      <c r="AS19" s="646"/>
      <c r="AT19" s="647"/>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row>
    <row r="20" spans="1:76" ht="15" customHeight="1" x14ac:dyDescent="0.25">
      <c r="A20" s="69"/>
      <c r="B20" s="537"/>
      <c r="C20" s="537"/>
      <c r="D20" s="538"/>
      <c r="E20" s="618"/>
      <c r="F20" s="616"/>
      <c r="G20" s="616"/>
      <c r="H20" s="616"/>
      <c r="I20" s="616"/>
      <c r="J20" s="53" t="str">
        <f ca="1">IF(AND('Mapa final'!$AG$22="Alta",'Mapa final'!$AI$22="Leve"),CONCATENATE("R5C",'Mapa final'!$W$22),"")</f>
        <v/>
      </c>
      <c r="K20" s="54" t="str">
        <f ca="1">IF(AND('Mapa final'!$AG$23="Alta",'Mapa final'!$AI$23="Leve"),CONCATENATE("R5C",'Mapa final'!$W$23),"")</f>
        <v/>
      </c>
      <c r="L20" s="54" t="str">
        <f ca="1">IF(AND('Mapa final'!$AG$24="Alta",'Mapa final'!$AI$24="Leve"),CONCATENATE("R5C",'Mapa final'!$W$24),"")</f>
        <v/>
      </c>
      <c r="M20" s="54" t="e">
        <f>IF(AND('Mapa final'!#REF!="Alta",'Mapa final'!#REF!="Leve"),CONCATENATE("R5C",'Mapa final'!#REF!),"")</f>
        <v>#REF!</v>
      </c>
      <c r="N20" s="54" t="e">
        <f>IF(AND('Mapa final'!#REF!="Alta",'Mapa final'!#REF!="Leve"),CONCATENATE("R5C",'Mapa final'!#REF!),"")</f>
        <v>#REF!</v>
      </c>
      <c r="O20" s="55" t="e">
        <f>IF(AND('Mapa final'!#REF!="Alta",'Mapa final'!#REF!="Leve"),CONCATENATE("R5C",'Mapa final'!#REF!),"")</f>
        <v>#REF!</v>
      </c>
      <c r="P20" s="53" t="str">
        <f ca="1">IF(AND('Mapa final'!$AG$22="Alta",'Mapa final'!$AI$22="Menor"),CONCATENATE("R5C",'Mapa final'!$W$22),"")</f>
        <v/>
      </c>
      <c r="Q20" s="54" t="str">
        <f ca="1">IF(AND('Mapa final'!$AG$23="Alta",'Mapa final'!$AI$23="Menor"),CONCATENATE("R5C",'Mapa final'!$W$23),"")</f>
        <v/>
      </c>
      <c r="R20" s="54" t="str">
        <f ca="1">IF(AND('Mapa final'!$AG$24="Alta",'Mapa final'!$AI$24="Menor"),CONCATENATE("R5C",'Mapa final'!$W$24),"")</f>
        <v/>
      </c>
      <c r="S20" s="54" t="e">
        <f>IF(AND('Mapa final'!#REF!="Alta",'Mapa final'!#REF!="Menor"),CONCATENATE("R5C",'Mapa final'!#REF!),"")</f>
        <v>#REF!</v>
      </c>
      <c r="T20" s="54" t="e">
        <f>IF(AND('Mapa final'!#REF!="Alta",'Mapa final'!#REF!="Menor"),CONCATENATE("R5C",'Mapa final'!#REF!),"")</f>
        <v>#REF!</v>
      </c>
      <c r="U20" s="55" t="e">
        <f>IF(AND('Mapa final'!#REF!="Alta",'Mapa final'!#REF!="Menor"),CONCATENATE("R5C",'Mapa final'!#REF!),"")</f>
        <v>#REF!</v>
      </c>
      <c r="V20" s="38" t="str">
        <f ca="1">IF(AND('Mapa final'!$AG$22="Alta",'Mapa final'!$AI$22="Moderado"),CONCATENATE("R5C",'Mapa final'!$W$22),"")</f>
        <v/>
      </c>
      <c r="W20" s="39" t="str">
        <f ca="1">IF(AND('Mapa final'!$AG$23="Alta",'Mapa final'!$AI$23="Moderado"),CONCATENATE("R5C",'Mapa final'!$W$23),"")</f>
        <v/>
      </c>
      <c r="X20" s="39" t="str">
        <f ca="1">IF(AND('Mapa final'!$AG$24="Alta",'Mapa final'!$AI$24="Moderado"),CONCATENATE("R5C",'Mapa final'!$W$24),"")</f>
        <v/>
      </c>
      <c r="Y20" s="39" t="e">
        <f>IF(AND('Mapa final'!#REF!="Alta",'Mapa final'!#REF!="Moderado"),CONCATENATE("R5C",'Mapa final'!#REF!),"")</f>
        <v>#REF!</v>
      </c>
      <c r="Z20" s="39" t="e">
        <f>IF(AND('Mapa final'!#REF!="Alta",'Mapa final'!#REF!="Moderado"),CONCATENATE("R5C",'Mapa final'!#REF!),"")</f>
        <v>#REF!</v>
      </c>
      <c r="AA20" s="40" t="e">
        <f>IF(AND('Mapa final'!#REF!="Alta",'Mapa final'!#REF!="Moderado"),CONCATENATE("R5C",'Mapa final'!#REF!),"")</f>
        <v>#REF!</v>
      </c>
      <c r="AB20" s="38" t="str">
        <f ca="1">IF(AND('Mapa final'!$AG$22="Alta",'Mapa final'!$AI$22="Mayor"),CONCATENATE("R5C",'Mapa final'!$W$22),"")</f>
        <v/>
      </c>
      <c r="AC20" s="39" t="str">
        <f ca="1">IF(AND('Mapa final'!$AG$23="Alta",'Mapa final'!$AI$23="Mayor"),CONCATENATE("R5C",'Mapa final'!$W$23),"")</f>
        <v/>
      </c>
      <c r="AD20" s="39" t="str">
        <f ca="1">IF(AND('Mapa final'!$AG$24="Alta",'Mapa final'!$AI$24="Mayor"),CONCATENATE("R5C",'Mapa final'!$W$24),"")</f>
        <v/>
      </c>
      <c r="AE20" s="39" t="e">
        <f>IF(AND('Mapa final'!#REF!="Alta",'Mapa final'!#REF!="Mayor"),CONCATENATE("R5C",'Mapa final'!#REF!),"")</f>
        <v>#REF!</v>
      </c>
      <c r="AF20" s="39" t="e">
        <f>IF(AND('Mapa final'!#REF!="Alta",'Mapa final'!#REF!="Mayor"),CONCATENATE("R5C",'Mapa final'!#REF!),"")</f>
        <v>#REF!</v>
      </c>
      <c r="AG20" s="40" t="e">
        <f>IF(AND('Mapa final'!#REF!="Alta",'Mapa final'!#REF!="Mayor"),CONCATENATE("R5C",'Mapa final'!#REF!),"")</f>
        <v>#REF!</v>
      </c>
      <c r="AH20" s="41" t="str">
        <f ca="1">IF(AND('Mapa final'!$AG$22="Alta",'Mapa final'!$AI$22="Catastrófico"),CONCATENATE("R5C",'Mapa final'!$W$22),"")</f>
        <v/>
      </c>
      <c r="AI20" s="42" t="str">
        <f ca="1">IF(AND('Mapa final'!$AG$23="Alta",'Mapa final'!$AI$23="Catastrófico"),CONCATENATE("R5C",'Mapa final'!$W$23),"")</f>
        <v/>
      </c>
      <c r="AJ20" s="42" t="str">
        <f ca="1">IF(AND('Mapa final'!$AG$24="Alta",'Mapa final'!$AI$24="Catastrófico"),CONCATENATE("R5C",'Mapa final'!$W$24),"")</f>
        <v/>
      </c>
      <c r="AK20" s="42" t="e">
        <f>IF(AND('Mapa final'!#REF!="Alta",'Mapa final'!#REF!="Catastrófico"),CONCATENATE("R5C",'Mapa final'!#REF!),"")</f>
        <v>#REF!</v>
      </c>
      <c r="AL20" s="42" t="e">
        <f>IF(AND('Mapa final'!#REF!="Alta",'Mapa final'!#REF!="Catastrófico"),CONCATENATE("R5C",'Mapa final'!#REF!),"")</f>
        <v>#REF!</v>
      </c>
      <c r="AM20" s="43" t="e">
        <f>IF(AND('Mapa final'!#REF!="Alta",'Mapa final'!#REF!="Catastrófico"),CONCATENATE("R5C",'Mapa final'!#REF!),"")</f>
        <v>#REF!</v>
      </c>
      <c r="AN20" s="69"/>
      <c r="AO20" s="645"/>
      <c r="AP20" s="646"/>
      <c r="AQ20" s="646"/>
      <c r="AR20" s="646"/>
      <c r="AS20" s="646"/>
      <c r="AT20" s="647"/>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row>
    <row r="21" spans="1:76" ht="15" customHeight="1" x14ac:dyDescent="0.25">
      <c r="A21" s="69"/>
      <c r="B21" s="537"/>
      <c r="C21" s="537"/>
      <c r="D21" s="538"/>
      <c r="E21" s="618"/>
      <c r="F21" s="616"/>
      <c r="G21" s="616"/>
      <c r="H21" s="616"/>
      <c r="I21" s="616"/>
      <c r="J21" s="53" t="str">
        <f ca="1">IF(AND('Mapa final'!$AG$25="Alta",'Mapa final'!$AI$25="Leve"),CONCATENATE("R6C",'Mapa final'!$W$25),"")</f>
        <v/>
      </c>
      <c r="K21" s="54" t="str">
        <f ca="1">IF(AND('Mapa final'!$AG$26="Alta",'Mapa final'!$AI$26="Leve"),CONCATENATE("R6C",'Mapa final'!$W$26),"")</f>
        <v/>
      </c>
      <c r="L21" s="54" t="e">
        <f>IF(AND('Mapa final'!#REF!="Alta",'Mapa final'!#REF!="Leve"),CONCATENATE("R6C",'Mapa final'!#REF!),"")</f>
        <v>#REF!</v>
      </c>
      <c r="M21" s="54" t="e">
        <f>IF(AND('Mapa final'!#REF!="Alta",'Mapa final'!#REF!="Leve"),CONCATENATE("R6C",'Mapa final'!#REF!),"")</f>
        <v>#REF!</v>
      </c>
      <c r="N21" s="54" t="e">
        <f>IF(AND('Mapa final'!#REF!="Alta",'Mapa final'!#REF!="Leve"),CONCATENATE("R6C",'Mapa final'!#REF!),"")</f>
        <v>#REF!</v>
      </c>
      <c r="O21" s="55" t="e">
        <f>IF(AND('Mapa final'!#REF!="Alta",'Mapa final'!#REF!="Leve"),CONCATENATE("R6C",'Mapa final'!#REF!),"")</f>
        <v>#REF!</v>
      </c>
      <c r="P21" s="53" t="str">
        <f ca="1">IF(AND('Mapa final'!$AG$25="Alta",'Mapa final'!$AI$25="Menor"),CONCATENATE("R6C",'Mapa final'!$W$25),"")</f>
        <v/>
      </c>
      <c r="Q21" s="54" t="str">
        <f ca="1">IF(AND('Mapa final'!$AG$26="Alta",'Mapa final'!$AI$26="Menor"),CONCATENATE("R6C",'Mapa final'!$W$26),"")</f>
        <v/>
      </c>
      <c r="R21" s="54" t="e">
        <f>IF(AND('Mapa final'!#REF!="Alta",'Mapa final'!#REF!="Menor"),CONCATENATE("R6C",'Mapa final'!#REF!),"")</f>
        <v>#REF!</v>
      </c>
      <c r="S21" s="54" t="e">
        <f>IF(AND('Mapa final'!#REF!="Alta",'Mapa final'!#REF!="Menor"),CONCATENATE("R6C",'Mapa final'!#REF!),"")</f>
        <v>#REF!</v>
      </c>
      <c r="T21" s="54" t="e">
        <f>IF(AND('Mapa final'!#REF!="Alta",'Mapa final'!#REF!="Menor"),CONCATENATE("R6C",'Mapa final'!#REF!),"")</f>
        <v>#REF!</v>
      </c>
      <c r="U21" s="55" t="e">
        <f>IF(AND('Mapa final'!#REF!="Alta",'Mapa final'!#REF!="Menor"),CONCATENATE("R6C",'Mapa final'!#REF!),"")</f>
        <v>#REF!</v>
      </c>
      <c r="V21" s="38" t="str">
        <f ca="1">IF(AND('Mapa final'!$AG$25="Alta",'Mapa final'!$AI$25="Moderado"),CONCATENATE("R6C",'Mapa final'!$W$25),"")</f>
        <v/>
      </c>
      <c r="W21" s="39" t="str">
        <f ca="1">IF(AND('Mapa final'!$AG$26="Alta",'Mapa final'!$AI$26="Moderado"),CONCATENATE("R6C",'Mapa final'!$W$26),"")</f>
        <v/>
      </c>
      <c r="X21" s="39" t="e">
        <f>IF(AND('Mapa final'!#REF!="Alta",'Mapa final'!#REF!="Moderado"),CONCATENATE("R6C",'Mapa final'!#REF!),"")</f>
        <v>#REF!</v>
      </c>
      <c r="Y21" s="39" t="e">
        <f>IF(AND('Mapa final'!#REF!="Alta",'Mapa final'!#REF!="Moderado"),CONCATENATE("R6C",'Mapa final'!#REF!),"")</f>
        <v>#REF!</v>
      </c>
      <c r="Z21" s="39" t="e">
        <f>IF(AND('Mapa final'!#REF!="Alta",'Mapa final'!#REF!="Moderado"),CONCATENATE("R6C",'Mapa final'!#REF!),"")</f>
        <v>#REF!</v>
      </c>
      <c r="AA21" s="40" t="e">
        <f>IF(AND('Mapa final'!#REF!="Alta",'Mapa final'!#REF!="Moderado"),CONCATENATE("R6C",'Mapa final'!#REF!),"")</f>
        <v>#REF!</v>
      </c>
      <c r="AB21" s="38" t="str">
        <f ca="1">IF(AND('Mapa final'!$AG$25="Alta",'Mapa final'!$AI$25="Mayor"),CONCATENATE("R6C",'Mapa final'!$W$25),"")</f>
        <v/>
      </c>
      <c r="AC21" s="39" t="str">
        <f ca="1">IF(AND('Mapa final'!$AG$26="Alta",'Mapa final'!$AI$26="Mayor"),CONCATENATE("R6C",'Mapa final'!$W$26),"")</f>
        <v/>
      </c>
      <c r="AD21" s="39" t="e">
        <f>IF(AND('Mapa final'!#REF!="Alta",'Mapa final'!#REF!="Mayor"),CONCATENATE("R6C",'Mapa final'!#REF!),"")</f>
        <v>#REF!</v>
      </c>
      <c r="AE21" s="39" t="e">
        <f>IF(AND('Mapa final'!#REF!="Alta",'Mapa final'!#REF!="Mayor"),CONCATENATE("R6C",'Mapa final'!#REF!),"")</f>
        <v>#REF!</v>
      </c>
      <c r="AF21" s="39" t="e">
        <f>IF(AND('Mapa final'!#REF!="Alta",'Mapa final'!#REF!="Mayor"),CONCATENATE("R6C",'Mapa final'!#REF!),"")</f>
        <v>#REF!</v>
      </c>
      <c r="AG21" s="40" t="e">
        <f>IF(AND('Mapa final'!#REF!="Alta",'Mapa final'!#REF!="Mayor"),CONCATENATE("R6C",'Mapa final'!#REF!),"")</f>
        <v>#REF!</v>
      </c>
      <c r="AH21" s="41" t="str">
        <f ca="1">IF(AND('Mapa final'!$AG$25="Alta",'Mapa final'!$AI$25="Catastrófico"),CONCATENATE("R6C",'Mapa final'!$W$25),"")</f>
        <v/>
      </c>
      <c r="AI21" s="42" t="str">
        <f ca="1">IF(AND('Mapa final'!$AG$26="Alta",'Mapa final'!$AI$26="Catastrófico"),CONCATENATE("R6C",'Mapa final'!$W$26),"")</f>
        <v/>
      </c>
      <c r="AJ21" s="42" t="e">
        <f>IF(AND('Mapa final'!#REF!="Alta",'Mapa final'!#REF!="Catastrófico"),CONCATENATE("R6C",'Mapa final'!#REF!),"")</f>
        <v>#REF!</v>
      </c>
      <c r="AK21" s="42" t="e">
        <f>IF(AND('Mapa final'!#REF!="Alta",'Mapa final'!#REF!="Catastrófico"),CONCATENATE("R6C",'Mapa final'!#REF!),"")</f>
        <v>#REF!</v>
      </c>
      <c r="AL21" s="42" t="e">
        <f>IF(AND('Mapa final'!#REF!="Alta",'Mapa final'!#REF!="Catastrófico"),CONCATENATE("R6C",'Mapa final'!#REF!),"")</f>
        <v>#REF!</v>
      </c>
      <c r="AM21" s="43" t="e">
        <f>IF(AND('Mapa final'!#REF!="Alta",'Mapa final'!#REF!="Catastrófico"),CONCATENATE("R6C",'Mapa final'!#REF!),"")</f>
        <v>#REF!</v>
      </c>
      <c r="AN21" s="69"/>
      <c r="AO21" s="645"/>
      <c r="AP21" s="646"/>
      <c r="AQ21" s="646"/>
      <c r="AR21" s="646"/>
      <c r="AS21" s="646"/>
      <c r="AT21" s="647"/>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row>
    <row r="22" spans="1:76" ht="15" customHeight="1" x14ac:dyDescent="0.25">
      <c r="A22" s="69"/>
      <c r="B22" s="537"/>
      <c r="C22" s="537"/>
      <c r="D22" s="538"/>
      <c r="E22" s="618"/>
      <c r="F22" s="616"/>
      <c r="G22" s="616"/>
      <c r="H22" s="616"/>
      <c r="I22" s="616"/>
      <c r="J22" s="53" t="str">
        <f ca="1">IF(AND('Mapa final'!$AG$27="Alta",'Mapa final'!$AI$27="Leve"),CONCATENATE("R7C",'Mapa final'!$W$27),"")</f>
        <v/>
      </c>
      <c r="K22" s="54" t="str">
        <f ca="1">IF(AND('Mapa final'!$AG$28="Alta",'Mapa final'!$AI$28="Leve"),CONCATENATE("R7C",'Mapa final'!$W$28),"")</f>
        <v/>
      </c>
      <c r="L22" s="54" t="e">
        <f>IF(AND('Mapa final'!#REF!="Alta",'Mapa final'!#REF!="Leve"),CONCATENATE("R7C",'Mapa final'!#REF!),"")</f>
        <v>#REF!</v>
      </c>
      <c r="M22" s="54" t="e">
        <f>IF(AND('Mapa final'!#REF!="Alta",'Mapa final'!#REF!="Leve"),CONCATENATE("R7C",'Mapa final'!#REF!),"")</f>
        <v>#REF!</v>
      </c>
      <c r="N22" s="54" t="e">
        <f>IF(AND('Mapa final'!#REF!="Alta",'Mapa final'!#REF!="Leve"),CONCATENATE("R7C",'Mapa final'!#REF!),"")</f>
        <v>#REF!</v>
      </c>
      <c r="O22" s="55" t="e">
        <f>IF(AND('Mapa final'!#REF!="Alta",'Mapa final'!#REF!="Leve"),CONCATENATE("R7C",'Mapa final'!#REF!),"")</f>
        <v>#REF!</v>
      </c>
      <c r="P22" s="53" t="str">
        <f ca="1">IF(AND('Mapa final'!$AG$27="Alta",'Mapa final'!$AI$27="Menor"),CONCATENATE("R7C",'Mapa final'!$W$27),"")</f>
        <v/>
      </c>
      <c r="Q22" s="54" t="str">
        <f ca="1">IF(AND('Mapa final'!$AG$28="Alta",'Mapa final'!$AI$28="Menor"),CONCATENATE("R7C",'Mapa final'!$W$28),"")</f>
        <v/>
      </c>
      <c r="R22" s="54" t="e">
        <f>IF(AND('Mapa final'!#REF!="Alta",'Mapa final'!#REF!="Menor"),CONCATENATE("R7C",'Mapa final'!#REF!),"")</f>
        <v>#REF!</v>
      </c>
      <c r="S22" s="54" t="e">
        <f>IF(AND('Mapa final'!#REF!="Alta",'Mapa final'!#REF!="Menor"),CONCATENATE("R7C",'Mapa final'!#REF!),"")</f>
        <v>#REF!</v>
      </c>
      <c r="T22" s="54" t="e">
        <f>IF(AND('Mapa final'!#REF!="Alta",'Mapa final'!#REF!="Menor"),CONCATENATE("R7C",'Mapa final'!#REF!),"")</f>
        <v>#REF!</v>
      </c>
      <c r="U22" s="55" t="e">
        <f>IF(AND('Mapa final'!#REF!="Alta",'Mapa final'!#REF!="Menor"),CONCATENATE("R7C",'Mapa final'!#REF!),"")</f>
        <v>#REF!</v>
      </c>
      <c r="V22" s="38" t="str">
        <f ca="1">IF(AND('Mapa final'!$AG$27="Alta",'Mapa final'!$AI$27="Moderado"),CONCATENATE("R7C",'Mapa final'!$W$27),"")</f>
        <v/>
      </c>
      <c r="W22" s="39" t="str">
        <f ca="1">IF(AND('Mapa final'!$AG$28="Alta",'Mapa final'!$AI$28="Moderado"),CONCATENATE("R7C",'Mapa final'!$W$28),"")</f>
        <v/>
      </c>
      <c r="X22" s="39" t="e">
        <f>IF(AND('Mapa final'!#REF!="Alta",'Mapa final'!#REF!="Moderado"),CONCATENATE("R7C",'Mapa final'!#REF!),"")</f>
        <v>#REF!</v>
      </c>
      <c r="Y22" s="39" t="e">
        <f>IF(AND('Mapa final'!#REF!="Alta",'Mapa final'!#REF!="Moderado"),CONCATENATE("R7C",'Mapa final'!#REF!),"")</f>
        <v>#REF!</v>
      </c>
      <c r="Z22" s="39" t="e">
        <f>IF(AND('Mapa final'!#REF!="Alta",'Mapa final'!#REF!="Moderado"),CONCATENATE("R7C",'Mapa final'!#REF!),"")</f>
        <v>#REF!</v>
      </c>
      <c r="AA22" s="40" t="e">
        <f>IF(AND('Mapa final'!#REF!="Alta",'Mapa final'!#REF!="Moderado"),CONCATENATE("R7C",'Mapa final'!#REF!),"")</f>
        <v>#REF!</v>
      </c>
      <c r="AB22" s="38" t="str">
        <f ca="1">IF(AND('Mapa final'!$AG$27="Alta",'Mapa final'!$AI$27="Mayor"),CONCATENATE("R7C",'Mapa final'!$W$27),"")</f>
        <v/>
      </c>
      <c r="AC22" s="39" t="str">
        <f ca="1">IF(AND('Mapa final'!$AG$28="Alta",'Mapa final'!$AI$28="Mayor"),CONCATENATE("R7C",'Mapa final'!$W$28),"")</f>
        <v/>
      </c>
      <c r="AD22" s="39" t="e">
        <f>IF(AND('Mapa final'!#REF!="Alta",'Mapa final'!#REF!="Mayor"),CONCATENATE("R7C",'Mapa final'!#REF!),"")</f>
        <v>#REF!</v>
      </c>
      <c r="AE22" s="39" t="e">
        <f>IF(AND('Mapa final'!#REF!="Alta",'Mapa final'!#REF!="Mayor"),CONCATENATE("R7C",'Mapa final'!#REF!),"")</f>
        <v>#REF!</v>
      </c>
      <c r="AF22" s="39" t="e">
        <f>IF(AND('Mapa final'!#REF!="Alta",'Mapa final'!#REF!="Mayor"),CONCATENATE("R7C",'Mapa final'!#REF!),"")</f>
        <v>#REF!</v>
      </c>
      <c r="AG22" s="40" t="e">
        <f>IF(AND('Mapa final'!#REF!="Alta",'Mapa final'!#REF!="Mayor"),CONCATENATE("R7C",'Mapa final'!#REF!),"")</f>
        <v>#REF!</v>
      </c>
      <c r="AH22" s="41" t="str">
        <f ca="1">IF(AND('Mapa final'!$AG$27="Alta",'Mapa final'!$AI$27="Catastrófico"),CONCATENATE("R7C",'Mapa final'!$W$27),"")</f>
        <v/>
      </c>
      <c r="AI22" s="42" t="str">
        <f ca="1">IF(AND('Mapa final'!$AG$28="Alta",'Mapa final'!$AI$28="Catastrófico"),CONCATENATE("R7C",'Mapa final'!$W$28),"")</f>
        <v/>
      </c>
      <c r="AJ22" s="42" t="e">
        <f>IF(AND('Mapa final'!#REF!="Alta",'Mapa final'!#REF!="Catastrófico"),CONCATENATE("R7C",'Mapa final'!#REF!),"")</f>
        <v>#REF!</v>
      </c>
      <c r="AK22" s="42" t="e">
        <f>IF(AND('Mapa final'!#REF!="Alta",'Mapa final'!#REF!="Catastrófico"),CONCATENATE("R7C",'Mapa final'!#REF!),"")</f>
        <v>#REF!</v>
      </c>
      <c r="AL22" s="42" t="e">
        <f>IF(AND('Mapa final'!#REF!="Alta",'Mapa final'!#REF!="Catastrófico"),CONCATENATE("R7C",'Mapa final'!#REF!),"")</f>
        <v>#REF!</v>
      </c>
      <c r="AM22" s="43" t="e">
        <f>IF(AND('Mapa final'!#REF!="Alta",'Mapa final'!#REF!="Catastrófico"),CONCATENATE("R7C",'Mapa final'!#REF!),"")</f>
        <v>#REF!</v>
      </c>
      <c r="AN22" s="69"/>
      <c r="AO22" s="645"/>
      <c r="AP22" s="646"/>
      <c r="AQ22" s="646"/>
      <c r="AR22" s="646"/>
      <c r="AS22" s="646"/>
      <c r="AT22" s="647"/>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row>
    <row r="23" spans="1:76" ht="15" customHeight="1" x14ac:dyDescent="0.25">
      <c r="A23" s="69"/>
      <c r="B23" s="537"/>
      <c r="C23" s="537"/>
      <c r="D23" s="538"/>
      <c r="E23" s="618"/>
      <c r="F23" s="616"/>
      <c r="G23" s="616"/>
      <c r="H23" s="616"/>
      <c r="I23" s="616"/>
      <c r="J23" s="53" t="str">
        <f ca="1">IF(AND('Mapa final'!$AG$29="Alta",'Mapa final'!$AI$29="Leve"),CONCATENATE("R8C",'Mapa final'!$W$29),"")</f>
        <v/>
      </c>
      <c r="K23" s="54" t="str">
        <f ca="1">IF(AND('Mapa final'!$AG$30="Alta",'Mapa final'!$AI$30="Leve"),CONCATENATE("R8C",'Mapa final'!$W$30),"")</f>
        <v/>
      </c>
      <c r="L23" s="54" t="str">
        <f ca="1">IF(AND('Mapa final'!$AG$31="Alta",'Mapa final'!$AI$31="Leve"),CONCATENATE("R8C",'Mapa final'!$W$31),"")</f>
        <v/>
      </c>
      <c r="M23" s="54" t="str">
        <f ca="1">IF(AND('Mapa final'!$AG$32="Alta",'Mapa final'!$AI$32="Leve"),CONCATENATE("R8C",'Mapa final'!$W$32),"")</f>
        <v/>
      </c>
      <c r="N23" s="54" t="e">
        <f>IF(AND('Mapa final'!#REF!="Alta",'Mapa final'!#REF!="Leve"),CONCATENATE("R8C",'Mapa final'!#REF!),"")</f>
        <v>#REF!</v>
      </c>
      <c r="O23" s="55" t="e">
        <f>IF(AND('Mapa final'!#REF!="Alta",'Mapa final'!#REF!="Leve"),CONCATENATE("R8C",'Mapa final'!#REF!),"")</f>
        <v>#REF!</v>
      </c>
      <c r="P23" s="53" t="str">
        <f ca="1">IF(AND('Mapa final'!$AG$29="Alta",'Mapa final'!$AI$29="Menor"),CONCATENATE("R8C",'Mapa final'!$W$29),"")</f>
        <v/>
      </c>
      <c r="Q23" s="54" t="str">
        <f ca="1">IF(AND('Mapa final'!$AG$30="Alta",'Mapa final'!$AI$30="Menor"),CONCATENATE("R8C",'Mapa final'!$W$30),"")</f>
        <v/>
      </c>
      <c r="R23" s="54" t="str">
        <f ca="1">IF(AND('Mapa final'!$AG$31="Alta",'Mapa final'!$AI$31="Menor"),CONCATENATE("R8C",'Mapa final'!$W$31),"")</f>
        <v/>
      </c>
      <c r="S23" s="54" t="str">
        <f ca="1">IF(AND('Mapa final'!$AG$32="Alta",'Mapa final'!$AI$32="Menor"),CONCATENATE("R8C",'Mapa final'!$W$32),"")</f>
        <v/>
      </c>
      <c r="T23" s="54" t="e">
        <f>IF(AND('Mapa final'!#REF!="Alta",'Mapa final'!#REF!="Menor"),CONCATENATE("R8C",'Mapa final'!#REF!),"")</f>
        <v>#REF!</v>
      </c>
      <c r="U23" s="55" t="e">
        <f>IF(AND('Mapa final'!#REF!="Alta",'Mapa final'!#REF!="Menor"),CONCATENATE("R8C",'Mapa final'!#REF!),"")</f>
        <v>#REF!</v>
      </c>
      <c r="V23" s="38" t="str">
        <f ca="1">IF(AND('Mapa final'!$AG$29="Alta",'Mapa final'!$AI$29="Moderado"),CONCATENATE("R8C",'Mapa final'!$W$29),"")</f>
        <v/>
      </c>
      <c r="W23" s="39" t="str">
        <f ca="1">IF(AND('Mapa final'!$AG$30="Alta",'Mapa final'!$AI$30="Moderado"),CONCATENATE("R8C",'Mapa final'!$W$30),"")</f>
        <v/>
      </c>
      <c r="X23" s="39" t="str">
        <f ca="1">IF(AND('Mapa final'!$AG$31="Alta",'Mapa final'!$AI$31="Moderado"),CONCATENATE("R8C",'Mapa final'!$W$31),"")</f>
        <v/>
      </c>
      <c r="Y23" s="39" t="str">
        <f ca="1">IF(AND('Mapa final'!$AG$32="Alta",'Mapa final'!$AI$32="Moderado"),CONCATENATE("R8C",'Mapa final'!$W$32),"")</f>
        <v/>
      </c>
      <c r="Z23" s="39" t="e">
        <f>IF(AND('Mapa final'!#REF!="Alta",'Mapa final'!#REF!="Moderado"),CONCATENATE("R8C",'Mapa final'!#REF!),"")</f>
        <v>#REF!</v>
      </c>
      <c r="AA23" s="40" t="e">
        <f>IF(AND('Mapa final'!#REF!="Alta",'Mapa final'!#REF!="Moderado"),CONCATENATE("R8C",'Mapa final'!#REF!),"")</f>
        <v>#REF!</v>
      </c>
      <c r="AB23" s="38" t="str">
        <f ca="1">IF(AND('Mapa final'!$AG$29="Alta",'Mapa final'!$AI$29="Mayor"),CONCATENATE("R8C",'Mapa final'!$W$29),"")</f>
        <v/>
      </c>
      <c r="AC23" s="39" t="str">
        <f ca="1">IF(AND('Mapa final'!$AG$30="Alta",'Mapa final'!$AI$30="Mayor"),CONCATENATE("R8C",'Mapa final'!$W$30),"")</f>
        <v/>
      </c>
      <c r="AD23" s="39" t="str">
        <f ca="1">IF(AND('Mapa final'!$AG$31="Alta",'Mapa final'!$AI$31="Mayor"),CONCATENATE("R8C",'Mapa final'!$W$31),"")</f>
        <v/>
      </c>
      <c r="AE23" s="39" t="str">
        <f ca="1">IF(AND('Mapa final'!$AG$32="Alta",'Mapa final'!$AI$32="Mayor"),CONCATENATE("R8C",'Mapa final'!$W$32),"")</f>
        <v/>
      </c>
      <c r="AF23" s="39" t="e">
        <f>IF(AND('Mapa final'!#REF!="Alta",'Mapa final'!#REF!="Mayor"),CONCATENATE("R8C",'Mapa final'!#REF!),"")</f>
        <v>#REF!</v>
      </c>
      <c r="AG23" s="40" t="e">
        <f>IF(AND('Mapa final'!#REF!="Alta",'Mapa final'!#REF!="Mayor"),CONCATENATE("R8C",'Mapa final'!#REF!),"")</f>
        <v>#REF!</v>
      </c>
      <c r="AH23" s="41" t="str">
        <f ca="1">IF(AND('Mapa final'!$AG$29="Alta",'Mapa final'!$AI$29="Catastrófico"),CONCATENATE("R8C",'Mapa final'!$W$29),"")</f>
        <v/>
      </c>
      <c r="AI23" s="42" t="str">
        <f ca="1">IF(AND('Mapa final'!$AG$30="Alta",'Mapa final'!$AI$30="Catastrófico"),CONCATENATE("R8C",'Mapa final'!$W$30),"")</f>
        <v/>
      </c>
      <c r="AJ23" s="42" t="str">
        <f ca="1">IF(AND('Mapa final'!$AG$31="Alta",'Mapa final'!$AI$31="Catastrófico"),CONCATENATE("R8C",'Mapa final'!$W$31),"")</f>
        <v/>
      </c>
      <c r="AK23" s="42" t="str">
        <f ca="1">IF(AND('Mapa final'!$AG$32="Alta",'Mapa final'!$AI$32="Catastrófico"),CONCATENATE("R8C",'Mapa final'!$W$32),"")</f>
        <v/>
      </c>
      <c r="AL23" s="42" t="e">
        <f>IF(AND('Mapa final'!#REF!="Alta",'Mapa final'!#REF!="Catastrófico"),CONCATENATE("R8C",'Mapa final'!#REF!),"")</f>
        <v>#REF!</v>
      </c>
      <c r="AM23" s="43" t="e">
        <f>IF(AND('Mapa final'!#REF!="Alta",'Mapa final'!#REF!="Catastrófico"),CONCATENATE("R8C",'Mapa final'!#REF!),"")</f>
        <v>#REF!</v>
      </c>
      <c r="AN23" s="69"/>
      <c r="AO23" s="645"/>
      <c r="AP23" s="646"/>
      <c r="AQ23" s="646"/>
      <c r="AR23" s="646"/>
      <c r="AS23" s="646"/>
      <c r="AT23" s="647"/>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row>
    <row r="24" spans="1:76" ht="15" customHeight="1" x14ac:dyDescent="0.25">
      <c r="A24" s="69"/>
      <c r="B24" s="537"/>
      <c r="C24" s="537"/>
      <c r="D24" s="538"/>
      <c r="E24" s="618"/>
      <c r="F24" s="616"/>
      <c r="G24" s="616"/>
      <c r="H24" s="616"/>
      <c r="I24" s="616"/>
      <c r="J24" s="53" t="str">
        <f ca="1">IF(AND('Mapa final'!$AG$33="Alta",'Mapa final'!$AI$33="Leve"),CONCATENATE("R9C",'Mapa final'!$W$33),"")</f>
        <v/>
      </c>
      <c r="K24" s="54" t="str">
        <f ca="1">IF(AND('Mapa final'!$AG$34="Alta",'Mapa final'!$AI$34="Leve"),CONCATENATE("R9C",'Mapa final'!$W$34),"")</f>
        <v/>
      </c>
      <c r="L24" s="54" t="str">
        <f ca="1">IF(AND('Mapa final'!$AG$35="Alta",'Mapa final'!$AI$35="Leve"),CONCATENATE("R9C",'Mapa final'!$W$35),"")</f>
        <v/>
      </c>
      <c r="M24" s="54" t="str">
        <f ca="1">IF(AND('Mapa final'!$AG$36="Alta",'Mapa final'!$AI$36="Leve"),CONCATENATE("R9C",'Mapa final'!$W$36),"")</f>
        <v/>
      </c>
      <c r="N24" s="54" t="str">
        <f ca="1">IF(AND('Mapa final'!$AG$37="Alta",'Mapa final'!$AI$37="Leve"),CONCATENATE("R9C",'Mapa final'!$W$37),"")</f>
        <v/>
      </c>
      <c r="O24" s="55" t="e">
        <f>IF(AND('Mapa final'!#REF!="Alta",'Mapa final'!#REF!="Leve"),CONCATENATE("R9C",'Mapa final'!#REF!),"")</f>
        <v>#REF!</v>
      </c>
      <c r="P24" s="53" t="str">
        <f ca="1">IF(AND('Mapa final'!$AG$33="Alta",'Mapa final'!$AI$33="Menor"),CONCATENATE("R9C",'Mapa final'!$W$33),"")</f>
        <v/>
      </c>
      <c r="Q24" s="54" t="str">
        <f ca="1">IF(AND('Mapa final'!$AG$34="Alta",'Mapa final'!$AI$34="Menor"),CONCATENATE("R9C",'Mapa final'!$W$34),"")</f>
        <v/>
      </c>
      <c r="R24" s="54" t="str">
        <f ca="1">IF(AND('Mapa final'!$AG$35="Alta",'Mapa final'!$AI$35="Menor"),CONCATENATE("R9C",'Mapa final'!$W$35),"")</f>
        <v/>
      </c>
      <c r="S24" s="54" t="str">
        <f ca="1">IF(AND('Mapa final'!$AG$36="Alta",'Mapa final'!$AI$36="Menor"),CONCATENATE("R9C",'Mapa final'!$W$36),"")</f>
        <v/>
      </c>
      <c r="T24" s="54" t="str">
        <f ca="1">IF(AND('Mapa final'!$AG$37="Alta",'Mapa final'!$AI$37="Menor"),CONCATENATE("R9C",'Mapa final'!$W$37),"")</f>
        <v/>
      </c>
      <c r="U24" s="55" t="e">
        <f>IF(AND('Mapa final'!#REF!="Alta",'Mapa final'!#REF!="Menor"),CONCATENATE("R9C",'Mapa final'!#REF!),"")</f>
        <v>#REF!</v>
      </c>
      <c r="V24" s="38" t="str">
        <f ca="1">IF(AND('Mapa final'!$AG$33="Alta",'Mapa final'!$AI$33="Moderado"),CONCATENATE("R9C",'Mapa final'!$W$33),"")</f>
        <v/>
      </c>
      <c r="W24" s="39" t="str">
        <f ca="1">IF(AND('Mapa final'!$AG$34="Alta",'Mapa final'!$AI$34="Moderado"),CONCATENATE("R9C",'Mapa final'!$W$34),"")</f>
        <v/>
      </c>
      <c r="X24" s="39" t="str">
        <f ca="1">IF(AND('Mapa final'!$AG$35="Alta",'Mapa final'!$AI$35="Moderado"),CONCATENATE("R9C",'Mapa final'!$W$35),"")</f>
        <v/>
      </c>
      <c r="Y24" s="39" t="str">
        <f ca="1">IF(AND('Mapa final'!$AG$36="Alta",'Mapa final'!$AI$36="Moderado"),CONCATENATE("R9C",'Mapa final'!$W$36),"")</f>
        <v/>
      </c>
      <c r="Z24" s="39" t="str">
        <f ca="1">IF(AND('Mapa final'!$AG$37="Alta",'Mapa final'!$AI$37="Moderado"),CONCATENATE("R9C",'Mapa final'!$W$37),"")</f>
        <v/>
      </c>
      <c r="AA24" s="40" t="e">
        <f>IF(AND('Mapa final'!#REF!="Alta",'Mapa final'!#REF!="Moderado"),CONCATENATE("R9C",'Mapa final'!#REF!),"")</f>
        <v>#REF!</v>
      </c>
      <c r="AB24" s="38" t="str">
        <f ca="1">IF(AND('Mapa final'!$AG$33="Alta",'Mapa final'!$AI$33="Mayor"),CONCATENATE("R9C",'Mapa final'!$W$33),"")</f>
        <v/>
      </c>
      <c r="AC24" s="39" t="str">
        <f ca="1">IF(AND('Mapa final'!$AG$34="Alta",'Mapa final'!$AI$34="Mayor"),CONCATENATE("R9C",'Mapa final'!$W$34),"")</f>
        <v/>
      </c>
      <c r="AD24" s="39" t="str">
        <f ca="1">IF(AND('Mapa final'!$AG$35="Alta",'Mapa final'!$AI$35="Mayor"),CONCATENATE("R9C",'Mapa final'!$W$35),"")</f>
        <v/>
      </c>
      <c r="AE24" s="39" t="str">
        <f ca="1">IF(AND('Mapa final'!$AG$36="Alta",'Mapa final'!$AI$36="Mayor"),CONCATENATE("R9C",'Mapa final'!$W$36),"")</f>
        <v/>
      </c>
      <c r="AF24" s="39" t="str">
        <f ca="1">IF(AND('Mapa final'!$AG$37="Alta",'Mapa final'!$AI$37="Mayor"),CONCATENATE("R9C",'Mapa final'!$W$37),"")</f>
        <v/>
      </c>
      <c r="AG24" s="40" t="e">
        <f>IF(AND('Mapa final'!#REF!="Alta",'Mapa final'!#REF!="Mayor"),CONCATENATE("R9C",'Mapa final'!#REF!),"")</f>
        <v>#REF!</v>
      </c>
      <c r="AH24" s="41" t="str">
        <f ca="1">IF(AND('Mapa final'!$AG$33="Alta",'Mapa final'!$AI$33="Catastrófico"),CONCATENATE("R9C",'Mapa final'!$W$33),"")</f>
        <v/>
      </c>
      <c r="AI24" s="42" t="str">
        <f ca="1">IF(AND('Mapa final'!$AG$34="Alta",'Mapa final'!$AI$34="Catastrófico"),CONCATENATE("R9C",'Mapa final'!$W$34),"")</f>
        <v/>
      </c>
      <c r="AJ24" s="42" t="str">
        <f ca="1">IF(AND('Mapa final'!$AG$35="Alta",'Mapa final'!$AI$35="Catastrófico"),CONCATENATE("R9C",'Mapa final'!$W$35),"")</f>
        <v/>
      </c>
      <c r="AK24" s="42" t="str">
        <f ca="1">IF(AND('Mapa final'!$AG$36="Alta",'Mapa final'!$AI$36="Catastrófico"),CONCATENATE("R9C",'Mapa final'!$W$36),"")</f>
        <v/>
      </c>
      <c r="AL24" s="42" t="str">
        <f ca="1">IF(AND('Mapa final'!$AG$37="Alta",'Mapa final'!$AI$37="Catastrófico"),CONCATENATE("R9C",'Mapa final'!$W$37),"")</f>
        <v/>
      </c>
      <c r="AM24" s="43" t="e">
        <f>IF(AND('Mapa final'!#REF!="Alta",'Mapa final'!#REF!="Catastrófico"),CONCATENATE("R9C",'Mapa final'!#REF!),"")</f>
        <v>#REF!</v>
      </c>
      <c r="AN24" s="69"/>
      <c r="AO24" s="645"/>
      <c r="AP24" s="646"/>
      <c r="AQ24" s="646"/>
      <c r="AR24" s="646"/>
      <c r="AS24" s="646"/>
      <c r="AT24" s="647"/>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row>
    <row r="25" spans="1:76" ht="15.75" customHeight="1" thickBot="1" x14ac:dyDescent="0.3">
      <c r="A25" s="69"/>
      <c r="B25" s="537"/>
      <c r="C25" s="537"/>
      <c r="D25" s="538"/>
      <c r="E25" s="619"/>
      <c r="F25" s="620"/>
      <c r="G25" s="620"/>
      <c r="H25" s="620"/>
      <c r="I25" s="620"/>
      <c r="J25" s="56" t="str">
        <f ca="1">IF(AND('Mapa final'!$AG$38="Alta",'Mapa final'!$AI$38="Leve"),CONCATENATE("R10C",'Mapa final'!$W$38),"")</f>
        <v/>
      </c>
      <c r="K25" s="57" t="str">
        <f ca="1">IF(AND('Mapa final'!$AG$39="Alta",'Mapa final'!$AI$39="Leve"),CONCATENATE("R10C",'Mapa final'!$W$39),"")</f>
        <v/>
      </c>
      <c r="L25" s="57" t="e">
        <f>IF(AND('Mapa final'!#REF!="Alta",'Mapa final'!#REF!="Leve"),CONCATENATE("R10C",'Mapa final'!#REF!),"")</f>
        <v>#REF!</v>
      </c>
      <c r="M25" s="57" t="e">
        <f>IF(AND('Mapa final'!#REF!="Alta",'Mapa final'!#REF!="Leve"),CONCATENATE("R10C",'Mapa final'!#REF!),"")</f>
        <v>#REF!</v>
      </c>
      <c r="N25" s="57" t="e">
        <f>IF(AND('Mapa final'!#REF!="Alta",'Mapa final'!#REF!="Leve"),CONCATENATE("R10C",'Mapa final'!#REF!),"")</f>
        <v>#REF!</v>
      </c>
      <c r="O25" s="58" t="e">
        <f>IF(AND('Mapa final'!#REF!="Alta",'Mapa final'!#REF!="Leve"),CONCATENATE("R10C",'Mapa final'!#REF!),"")</f>
        <v>#REF!</v>
      </c>
      <c r="P25" s="56" t="str">
        <f ca="1">IF(AND('Mapa final'!$AG$38="Alta",'Mapa final'!$AI$38="Menor"),CONCATENATE("R10C",'Mapa final'!$W$38),"")</f>
        <v/>
      </c>
      <c r="Q25" s="57" t="str">
        <f ca="1">IF(AND('Mapa final'!$AG$39="Alta",'Mapa final'!$AI$39="Menor"),CONCATENATE("R10C",'Mapa final'!$W$39),"")</f>
        <v/>
      </c>
      <c r="R25" s="57" t="e">
        <f>IF(AND('Mapa final'!#REF!="Alta",'Mapa final'!#REF!="Menor"),CONCATENATE("R10C",'Mapa final'!#REF!),"")</f>
        <v>#REF!</v>
      </c>
      <c r="S25" s="57" t="e">
        <f>IF(AND('Mapa final'!#REF!="Alta",'Mapa final'!#REF!="Menor"),CONCATENATE("R10C",'Mapa final'!#REF!),"")</f>
        <v>#REF!</v>
      </c>
      <c r="T25" s="57" t="e">
        <f>IF(AND('Mapa final'!#REF!="Alta",'Mapa final'!#REF!="Menor"),CONCATENATE("R10C",'Mapa final'!#REF!),"")</f>
        <v>#REF!</v>
      </c>
      <c r="U25" s="58" t="e">
        <f>IF(AND('Mapa final'!#REF!="Alta",'Mapa final'!#REF!="Menor"),CONCATENATE("R10C",'Mapa final'!#REF!),"")</f>
        <v>#REF!</v>
      </c>
      <c r="V25" s="44" t="str">
        <f ca="1">IF(AND('Mapa final'!$AG$38="Alta",'Mapa final'!$AI$38="Moderado"),CONCATENATE("R10C",'Mapa final'!$W$38),"")</f>
        <v/>
      </c>
      <c r="W25" s="45" t="str">
        <f ca="1">IF(AND('Mapa final'!$AG$39="Alta",'Mapa final'!$AI$39="Moderado"),CONCATENATE("R10C",'Mapa final'!$W$39),"")</f>
        <v/>
      </c>
      <c r="X25" s="45" t="e">
        <f>IF(AND('Mapa final'!#REF!="Alta",'Mapa final'!#REF!="Moderado"),CONCATENATE("R10C",'Mapa final'!#REF!),"")</f>
        <v>#REF!</v>
      </c>
      <c r="Y25" s="45" t="e">
        <f>IF(AND('Mapa final'!#REF!="Alta",'Mapa final'!#REF!="Moderado"),CONCATENATE("R10C",'Mapa final'!#REF!),"")</f>
        <v>#REF!</v>
      </c>
      <c r="Z25" s="45" t="e">
        <f>IF(AND('Mapa final'!#REF!="Alta",'Mapa final'!#REF!="Moderado"),CONCATENATE("R10C",'Mapa final'!#REF!),"")</f>
        <v>#REF!</v>
      </c>
      <c r="AA25" s="46" t="e">
        <f>IF(AND('Mapa final'!#REF!="Alta",'Mapa final'!#REF!="Moderado"),CONCATENATE("R10C",'Mapa final'!#REF!),"")</f>
        <v>#REF!</v>
      </c>
      <c r="AB25" s="44" t="str">
        <f ca="1">IF(AND('Mapa final'!$AG$38="Alta",'Mapa final'!$AI$38="Mayor"),CONCATENATE("R10C",'Mapa final'!$W$38),"")</f>
        <v/>
      </c>
      <c r="AC25" s="45" t="str">
        <f ca="1">IF(AND('Mapa final'!$AG$39="Alta",'Mapa final'!$AI$39="Mayor"),CONCATENATE("R10C",'Mapa final'!$W$39),"")</f>
        <v/>
      </c>
      <c r="AD25" s="45" t="e">
        <f>IF(AND('Mapa final'!#REF!="Alta",'Mapa final'!#REF!="Mayor"),CONCATENATE("R10C",'Mapa final'!#REF!),"")</f>
        <v>#REF!</v>
      </c>
      <c r="AE25" s="45" t="e">
        <f>IF(AND('Mapa final'!#REF!="Alta",'Mapa final'!#REF!="Mayor"),CONCATENATE("R10C",'Mapa final'!#REF!),"")</f>
        <v>#REF!</v>
      </c>
      <c r="AF25" s="45" t="e">
        <f>IF(AND('Mapa final'!#REF!="Alta",'Mapa final'!#REF!="Mayor"),CONCATENATE("R10C",'Mapa final'!#REF!),"")</f>
        <v>#REF!</v>
      </c>
      <c r="AG25" s="46" t="e">
        <f>IF(AND('Mapa final'!#REF!="Alta",'Mapa final'!#REF!="Mayor"),CONCATENATE("R10C",'Mapa final'!#REF!),"")</f>
        <v>#REF!</v>
      </c>
      <c r="AH25" s="47" t="str">
        <f ca="1">IF(AND('Mapa final'!$AG$38="Alta",'Mapa final'!$AI$38="Catastrófico"),CONCATENATE("R10C",'Mapa final'!$W$38),"")</f>
        <v/>
      </c>
      <c r="AI25" s="48" t="str">
        <f ca="1">IF(AND('Mapa final'!$AG$39="Alta",'Mapa final'!$AI$39="Catastrófico"),CONCATENATE("R10C",'Mapa final'!$W$39),"")</f>
        <v/>
      </c>
      <c r="AJ25" s="48" t="e">
        <f>IF(AND('Mapa final'!#REF!="Alta",'Mapa final'!#REF!="Catastrófico"),CONCATENATE("R10C",'Mapa final'!#REF!),"")</f>
        <v>#REF!</v>
      </c>
      <c r="AK25" s="48" t="e">
        <f>IF(AND('Mapa final'!#REF!="Alta",'Mapa final'!#REF!="Catastrófico"),CONCATENATE("R10C",'Mapa final'!#REF!),"")</f>
        <v>#REF!</v>
      </c>
      <c r="AL25" s="48" t="e">
        <f>IF(AND('Mapa final'!#REF!="Alta",'Mapa final'!#REF!="Catastrófico"),CONCATENATE("R10C",'Mapa final'!#REF!),"")</f>
        <v>#REF!</v>
      </c>
      <c r="AM25" s="49" t="e">
        <f>IF(AND('Mapa final'!#REF!="Alta",'Mapa final'!#REF!="Catastrófico"),CONCATENATE("R10C",'Mapa final'!#REF!),"")</f>
        <v>#REF!</v>
      </c>
      <c r="AN25" s="69"/>
      <c r="AO25" s="648"/>
      <c r="AP25" s="649"/>
      <c r="AQ25" s="649"/>
      <c r="AR25" s="649"/>
      <c r="AS25" s="649"/>
      <c r="AT25" s="650"/>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row>
    <row r="26" spans="1:76" ht="15" customHeight="1" x14ac:dyDescent="0.25">
      <c r="A26" s="69"/>
      <c r="B26" s="537"/>
      <c r="C26" s="537"/>
      <c r="D26" s="538"/>
      <c r="E26" s="612" t="s">
        <v>133</v>
      </c>
      <c r="F26" s="613"/>
      <c r="G26" s="613"/>
      <c r="H26" s="613"/>
      <c r="I26" s="614"/>
      <c r="J26" s="50" t="str">
        <f ca="1">IF(AND('Mapa final'!$AG$13="Media",'Mapa final'!$AI$13="Leve"),CONCATENATE("R1C",'Mapa final'!$W$13),"")</f>
        <v/>
      </c>
      <c r="K26" s="51" t="str">
        <f ca="1">IF(AND('Mapa final'!$AG$14="Media",'Mapa final'!$AI$14="Leve"),CONCATENATE("R1C",'Mapa final'!$W$14),"")</f>
        <v/>
      </c>
      <c r="L26" s="51" t="e">
        <f>IF(AND('Mapa final'!#REF!="Media",'Mapa final'!#REF!="Leve"),CONCATENATE("R1C",'Mapa final'!#REF!),"")</f>
        <v>#REF!</v>
      </c>
      <c r="M26" s="51" t="e">
        <f>IF(AND('Mapa final'!#REF!="Media",'Mapa final'!#REF!="Leve"),CONCATENATE("R1C",'Mapa final'!#REF!),"")</f>
        <v>#REF!</v>
      </c>
      <c r="N26" s="51" t="e">
        <f>IF(AND('Mapa final'!#REF!="Media",'Mapa final'!#REF!="Leve"),CONCATENATE("R1C",'Mapa final'!#REF!),"")</f>
        <v>#REF!</v>
      </c>
      <c r="O26" s="52" t="e">
        <f>IF(AND('Mapa final'!#REF!="Media",'Mapa final'!#REF!="Leve"),CONCATENATE("R1C",'Mapa final'!#REF!),"")</f>
        <v>#REF!</v>
      </c>
      <c r="P26" s="50" t="str">
        <f ca="1">IF(AND('Mapa final'!$AG$13="Media",'Mapa final'!$AI$13="Menor"),CONCATENATE("R1C",'Mapa final'!$W$13),"")</f>
        <v>R1C1</v>
      </c>
      <c r="Q26" s="51" t="str">
        <f ca="1">IF(AND('Mapa final'!$AG$14="Media",'Mapa final'!$AI$14="Menor"),CONCATENATE("R1C",'Mapa final'!$W$14),"")</f>
        <v/>
      </c>
      <c r="R26" s="51" t="e">
        <f>IF(AND('Mapa final'!#REF!="Media",'Mapa final'!#REF!="Menor"),CONCATENATE("R1C",'Mapa final'!#REF!),"")</f>
        <v>#REF!</v>
      </c>
      <c r="S26" s="51" t="e">
        <f>IF(AND('Mapa final'!#REF!="Media",'Mapa final'!#REF!="Menor"),CONCATENATE("R1C",'Mapa final'!#REF!),"")</f>
        <v>#REF!</v>
      </c>
      <c r="T26" s="51" t="e">
        <f>IF(AND('Mapa final'!#REF!="Media",'Mapa final'!#REF!="Menor"),CONCATENATE("R1C",'Mapa final'!#REF!),"")</f>
        <v>#REF!</v>
      </c>
      <c r="U26" s="52" t="e">
        <f>IF(AND('Mapa final'!#REF!="Media",'Mapa final'!#REF!="Menor"),CONCATENATE("R1C",'Mapa final'!#REF!),"")</f>
        <v>#REF!</v>
      </c>
      <c r="V26" s="50" t="str">
        <f ca="1">IF(AND('Mapa final'!$AG$13="Media",'Mapa final'!$AI$13="Moderado"),CONCATENATE("R1C",'Mapa final'!$W$13),"")</f>
        <v/>
      </c>
      <c r="W26" s="51" t="str">
        <f ca="1">IF(AND('Mapa final'!$AG$14="Media",'Mapa final'!$AI$14="Moderado"),CONCATENATE("R1C",'Mapa final'!$W$14),"")</f>
        <v/>
      </c>
      <c r="X26" s="51" t="e">
        <f>IF(AND('Mapa final'!#REF!="Media",'Mapa final'!#REF!="Moderado"),CONCATENATE("R1C",'Mapa final'!#REF!),"")</f>
        <v>#REF!</v>
      </c>
      <c r="Y26" s="51" t="e">
        <f>IF(AND('Mapa final'!#REF!="Media",'Mapa final'!#REF!="Moderado"),CONCATENATE("R1C",'Mapa final'!#REF!),"")</f>
        <v>#REF!</v>
      </c>
      <c r="Z26" s="51" t="e">
        <f>IF(AND('Mapa final'!#REF!="Media",'Mapa final'!#REF!="Moderado"),CONCATENATE("R1C",'Mapa final'!#REF!),"")</f>
        <v>#REF!</v>
      </c>
      <c r="AA26" s="52" t="e">
        <f>IF(AND('Mapa final'!#REF!="Media",'Mapa final'!#REF!="Moderado"),CONCATENATE("R1C",'Mapa final'!#REF!),"")</f>
        <v>#REF!</v>
      </c>
      <c r="AB26" s="32" t="str">
        <f ca="1">IF(AND('Mapa final'!$AG$13="Media",'Mapa final'!$AI$13="Mayor"),CONCATENATE("R1C",'Mapa final'!$W$13),"")</f>
        <v/>
      </c>
      <c r="AC26" s="33" t="str">
        <f ca="1">IF(AND('Mapa final'!$AG$14="Media",'Mapa final'!$AI$14="Mayor"),CONCATENATE("R1C",'Mapa final'!$W$14),"")</f>
        <v/>
      </c>
      <c r="AD26" s="33" t="e">
        <f>IF(AND('Mapa final'!#REF!="Media",'Mapa final'!#REF!="Mayor"),CONCATENATE("R1C",'Mapa final'!#REF!),"")</f>
        <v>#REF!</v>
      </c>
      <c r="AE26" s="33" t="e">
        <f>IF(AND('Mapa final'!#REF!="Media",'Mapa final'!#REF!="Mayor"),CONCATENATE("R1C",'Mapa final'!#REF!),"")</f>
        <v>#REF!</v>
      </c>
      <c r="AF26" s="33" t="e">
        <f>IF(AND('Mapa final'!#REF!="Media",'Mapa final'!#REF!="Mayor"),CONCATENATE("R1C",'Mapa final'!#REF!),"")</f>
        <v>#REF!</v>
      </c>
      <c r="AG26" s="34" t="e">
        <f>IF(AND('Mapa final'!#REF!="Media",'Mapa final'!#REF!="Mayor"),CONCATENATE("R1C",'Mapa final'!#REF!),"")</f>
        <v>#REF!</v>
      </c>
      <c r="AH26" s="35" t="str">
        <f ca="1">IF(AND('Mapa final'!$AG$13="Media",'Mapa final'!$AI$13="Catastrófico"),CONCATENATE("R1C",'Mapa final'!$W$13),"")</f>
        <v/>
      </c>
      <c r="AI26" s="36" t="str">
        <f ca="1">IF(AND('Mapa final'!$AG$14="Media",'Mapa final'!$AI$14="Catastrófico"),CONCATENATE("R1C",'Mapa final'!$W$14),"")</f>
        <v/>
      </c>
      <c r="AJ26" s="36" t="e">
        <f>IF(AND('Mapa final'!#REF!="Media",'Mapa final'!#REF!="Catastrófico"),CONCATENATE("R1C",'Mapa final'!#REF!),"")</f>
        <v>#REF!</v>
      </c>
      <c r="AK26" s="36" t="e">
        <f>IF(AND('Mapa final'!#REF!="Media",'Mapa final'!#REF!="Catastrófico"),CONCATENATE("R1C",'Mapa final'!#REF!),"")</f>
        <v>#REF!</v>
      </c>
      <c r="AL26" s="36" t="e">
        <f>IF(AND('Mapa final'!#REF!="Media",'Mapa final'!#REF!="Catastrófico"),CONCATENATE("R1C",'Mapa final'!#REF!),"")</f>
        <v>#REF!</v>
      </c>
      <c r="AM26" s="37" t="e">
        <f>IF(AND('Mapa final'!#REF!="Media",'Mapa final'!#REF!="Catastrófico"),CONCATENATE("R1C",'Mapa final'!#REF!),"")</f>
        <v>#REF!</v>
      </c>
      <c r="AN26" s="69"/>
      <c r="AO26" s="651" t="s">
        <v>134</v>
      </c>
      <c r="AP26" s="652"/>
      <c r="AQ26" s="652"/>
      <c r="AR26" s="652"/>
      <c r="AS26" s="652"/>
      <c r="AT26" s="653"/>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row>
    <row r="27" spans="1:76" ht="15" customHeight="1" x14ac:dyDescent="0.25">
      <c r="A27" s="69"/>
      <c r="B27" s="537"/>
      <c r="C27" s="537"/>
      <c r="D27" s="538"/>
      <c r="E27" s="615"/>
      <c r="F27" s="616"/>
      <c r="G27" s="616"/>
      <c r="H27" s="616"/>
      <c r="I27" s="617"/>
      <c r="J27" s="53" t="str">
        <f ca="1">IF(AND('Mapa final'!$AG$15="Media",'Mapa final'!$AI$15="Leve"),CONCATENATE("R2C",'Mapa final'!$W$15),"")</f>
        <v/>
      </c>
      <c r="K27" s="54" t="str">
        <f ca="1">IF(AND('Mapa final'!$AG$16="Media",'Mapa final'!$AI$16="Leve"),CONCATENATE("R2C",'Mapa final'!$W$16),"")</f>
        <v/>
      </c>
      <c r="L27" s="54" t="e">
        <f>IF(AND('Mapa final'!#REF!="Media",'Mapa final'!#REF!="Leve"),CONCATENATE("R2C",'Mapa final'!#REF!),"")</f>
        <v>#REF!</v>
      </c>
      <c r="M27" s="54" t="e">
        <f>IF(AND('Mapa final'!#REF!="Media",'Mapa final'!#REF!="Leve"),CONCATENATE("R2C",'Mapa final'!#REF!),"")</f>
        <v>#REF!</v>
      </c>
      <c r="N27" s="54" t="e">
        <f>IF(AND('Mapa final'!#REF!="Media",'Mapa final'!#REF!="Leve"),CONCATENATE("R2C",'Mapa final'!#REF!),"")</f>
        <v>#REF!</v>
      </c>
      <c r="O27" s="55" t="e">
        <f>IF(AND('Mapa final'!#REF!="Media",'Mapa final'!#REF!="Leve"),CONCATENATE("R2C",'Mapa final'!#REF!),"")</f>
        <v>#REF!</v>
      </c>
      <c r="P27" s="53" t="str">
        <f ca="1">IF(AND('Mapa final'!$AG$15="Media",'Mapa final'!$AI$15="Menor"),CONCATENATE("R2C",'Mapa final'!$W$15),"")</f>
        <v/>
      </c>
      <c r="Q27" s="54" t="str">
        <f ca="1">IF(AND('Mapa final'!$AG$16="Media",'Mapa final'!$AI$16="Menor"),CONCATENATE("R2C",'Mapa final'!$W$16),"")</f>
        <v/>
      </c>
      <c r="R27" s="54" t="e">
        <f>IF(AND('Mapa final'!#REF!="Media",'Mapa final'!#REF!="Menor"),CONCATENATE("R2C",'Mapa final'!#REF!),"")</f>
        <v>#REF!</v>
      </c>
      <c r="S27" s="54" t="e">
        <f>IF(AND('Mapa final'!#REF!="Media",'Mapa final'!#REF!="Menor"),CONCATENATE("R2C",'Mapa final'!#REF!),"")</f>
        <v>#REF!</v>
      </c>
      <c r="T27" s="54" t="e">
        <f>IF(AND('Mapa final'!#REF!="Media",'Mapa final'!#REF!="Menor"),CONCATENATE("R2C",'Mapa final'!#REF!),"")</f>
        <v>#REF!</v>
      </c>
      <c r="U27" s="55" t="e">
        <f>IF(AND('Mapa final'!#REF!="Media",'Mapa final'!#REF!="Menor"),CONCATENATE("R2C",'Mapa final'!#REF!),"")</f>
        <v>#REF!</v>
      </c>
      <c r="V27" s="53" t="str">
        <f ca="1">IF(AND('Mapa final'!$AG$15="Media",'Mapa final'!$AI$15="Moderado"),CONCATENATE("R2C",'Mapa final'!$W$15),"")</f>
        <v/>
      </c>
      <c r="W27" s="54" t="str">
        <f ca="1">IF(AND('Mapa final'!$AG$16="Media",'Mapa final'!$AI$16="Moderado"),CONCATENATE("R2C",'Mapa final'!$W$16),"")</f>
        <v/>
      </c>
      <c r="X27" s="54" t="e">
        <f>IF(AND('Mapa final'!#REF!="Media",'Mapa final'!#REF!="Moderado"),CONCATENATE("R2C",'Mapa final'!#REF!),"")</f>
        <v>#REF!</v>
      </c>
      <c r="Y27" s="54" t="e">
        <f>IF(AND('Mapa final'!#REF!="Media",'Mapa final'!#REF!="Moderado"),CONCATENATE("R2C",'Mapa final'!#REF!),"")</f>
        <v>#REF!</v>
      </c>
      <c r="Z27" s="54" t="e">
        <f>IF(AND('Mapa final'!#REF!="Media",'Mapa final'!#REF!="Moderado"),CONCATENATE("R2C",'Mapa final'!#REF!),"")</f>
        <v>#REF!</v>
      </c>
      <c r="AA27" s="55" t="e">
        <f>IF(AND('Mapa final'!#REF!="Media",'Mapa final'!#REF!="Moderado"),CONCATENATE("R2C",'Mapa final'!#REF!),"")</f>
        <v>#REF!</v>
      </c>
      <c r="AB27" s="38" t="str">
        <f ca="1">IF(AND('Mapa final'!$AG$15="Media",'Mapa final'!$AI$15="Mayor"),CONCATENATE("R2C",'Mapa final'!$W$15),"")</f>
        <v/>
      </c>
      <c r="AC27" s="39" t="str">
        <f ca="1">IF(AND('Mapa final'!$AG$16="Media",'Mapa final'!$AI$16="Mayor"),CONCATENATE("R2C",'Mapa final'!$W$16),"")</f>
        <v/>
      </c>
      <c r="AD27" s="39" t="e">
        <f>IF(AND('Mapa final'!#REF!="Media",'Mapa final'!#REF!="Mayor"),CONCATENATE("R2C",'Mapa final'!#REF!),"")</f>
        <v>#REF!</v>
      </c>
      <c r="AE27" s="39" t="e">
        <f>IF(AND('Mapa final'!#REF!="Media",'Mapa final'!#REF!="Mayor"),CONCATENATE("R2C",'Mapa final'!#REF!),"")</f>
        <v>#REF!</v>
      </c>
      <c r="AF27" s="39" t="e">
        <f>IF(AND('Mapa final'!#REF!="Media",'Mapa final'!#REF!="Mayor"),CONCATENATE("R2C",'Mapa final'!#REF!),"")</f>
        <v>#REF!</v>
      </c>
      <c r="AG27" s="40" t="e">
        <f>IF(AND('Mapa final'!#REF!="Media",'Mapa final'!#REF!="Mayor"),CONCATENATE("R2C",'Mapa final'!#REF!),"")</f>
        <v>#REF!</v>
      </c>
      <c r="AH27" s="41" t="str">
        <f ca="1">IF(AND('Mapa final'!$AG$15="Media",'Mapa final'!$AI$15="Catastrófico"),CONCATENATE("R2C",'Mapa final'!$W$15),"")</f>
        <v/>
      </c>
      <c r="AI27" s="42" t="str">
        <f ca="1">IF(AND('Mapa final'!$AG$16="Media",'Mapa final'!$AI$16="Catastrófico"),CONCATENATE("R2C",'Mapa final'!$W$16),"")</f>
        <v/>
      </c>
      <c r="AJ27" s="42" t="e">
        <f>IF(AND('Mapa final'!#REF!="Media",'Mapa final'!#REF!="Catastrófico"),CONCATENATE("R2C",'Mapa final'!#REF!),"")</f>
        <v>#REF!</v>
      </c>
      <c r="AK27" s="42" t="e">
        <f>IF(AND('Mapa final'!#REF!="Media",'Mapa final'!#REF!="Catastrófico"),CONCATENATE("R2C",'Mapa final'!#REF!),"")</f>
        <v>#REF!</v>
      </c>
      <c r="AL27" s="42" t="e">
        <f>IF(AND('Mapa final'!#REF!="Media",'Mapa final'!#REF!="Catastrófico"),CONCATENATE("R2C",'Mapa final'!#REF!),"")</f>
        <v>#REF!</v>
      </c>
      <c r="AM27" s="43" t="e">
        <f>IF(AND('Mapa final'!#REF!="Media",'Mapa final'!#REF!="Catastrófico"),CONCATENATE("R2C",'Mapa final'!#REF!),"")</f>
        <v>#REF!</v>
      </c>
      <c r="AN27" s="69"/>
      <c r="AO27" s="654"/>
      <c r="AP27" s="655"/>
      <c r="AQ27" s="655"/>
      <c r="AR27" s="655"/>
      <c r="AS27" s="655"/>
      <c r="AT27" s="656"/>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row>
    <row r="28" spans="1:76" ht="15" customHeight="1" x14ac:dyDescent="0.25">
      <c r="A28" s="69"/>
      <c r="B28" s="537"/>
      <c r="C28" s="537"/>
      <c r="D28" s="538"/>
      <c r="E28" s="618"/>
      <c r="F28" s="616"/>
      <c r="G28" s="616"/>
      <c r="H28" s="616"/>
      <c r="I28" s="617"/>
      <c r="J28" s="53" t="str">
        <f ca="1">IF(AND('Mapa final'!$AG$17="Media",'Mapa final'!$AI$17="Leve"),CONCATENATE("R3C",'Mapa final'!$W$17),"")</f>
        <v/>
      </c>
      <c r="K28" s="54" t="str">
        <f ca="1">IF(AND('Mapa final'!$AG$18="Media",'Mapa final'!$AI$18="Leve"),CONCATENATE("R3C",'Mapa final'!$W$18),"")</f>
        <v/>
      </c>
      <c r="L28" s="54" t="str">
        <f ca="1">IF(AND('Mapa final'!$AG$19="Media",'Mapa final'!$AI$19="Leve"),CONCATENATE("R3C",'Mapa final'!$W$19),"")</f>
        <v/>
      </c>
      <c r="M28" s="54" t="e">
        <f>IF(AND('Mapa final'!#REF!="Media",'Mapa final'!#REF!="Leve"),CONCATENATE("R3C",'Mapa final'!#REF!),"")</f>
        <v>#REF!</v>
      </c>
      <c r="N28" s="54" t="e">
        <f>IF(AND('Mapa final'!#REF!="Media",'Mapa final'!#REF!="Leve"),CONCATENATE("R3C",'Mapa final'!#REF!),"")</f>
        <v>#REF!</v>
      </c>
      <c r="O28" s="55" t="e">
        <f>IF(AND('Mapa final'!#REF!="Media",'Mapa final'!#REF!="Leve"),CONCATENATE("R3C",'Mapa final'!#REF!),"")</f>
        <v>#REF!</v>
      </c>
      <c r="P28" s="53" t="str">
        <f ca="1">IF(AND('Mapa final'!$AG$17="Media",'Mapa final'!$AI$17="Menor"),CONCATENATE("R3C",'Mapa final'!$W$17),"")</f>
        <v/>
      </c>
      <c r="Q28" s="54" t="str">
        <f ca="1">IF(AND('Mapa final'!$AG$18="Media",'Mapa final'!$AI$18="Menor"),CONCATENATE("R3C",'Mapa final'!$W$18),"")</f>
        <v/>
      </c>
      <c r="R28" s="54" t="str">
        <f ca="1">IF(AND('Mapa final'!$AG$19="Media",'Mapa final'!$AI$19="Menor"),CONCATENATE("R3C",'Mapa final'!$W$19),"")</f>
        <v/>
      </c>
      <c r="S28" s="54" t="e">
        <f>IF(AND('Mapa final'!#REF!="Media",'Mapa final'!#REF!="Menor"),CONCATENATE("R3C",'Mapa final'!#REF!),"")</f>
        <v>#REF!</v>
      </c>
      <c r="T28" s="54" t="e">
        <f>IF(AND('Mapa final'!#REF!="Media",'Mapa final'!#REF!="Menor"),CONCATENATE("R3C",'Mapa final'!#REF!),"")</f>
        <v>#REF!</v>
      </c>
      <c r="U28" s="55" t="e">
        <f>IF(AND('Mapa final'!#REF!="Media",'Mapa final'!#REF!="Menor"),CONCATENATE("R3C",'Mapa final'!#REF!),"")</f>
        <v>#REF!</v>
      </c>
      <c r="V28" s="53" t="str">
        <f ca="1">IF(AND('Mapa final'!$AG$17="Media",'Mapa final'!$AI$17="Moderado"),CONCATENATE("R3C",'Mapa final'!$W$17),"")</f>
        <v/>
      </c>
      <c r="W28" s="54" t="str">
        <f ca="1">IF(AND('Mapa final'!$AG$18="Media",'Mapa final'!$AI$18="Moderado"),CONCATENATE("R3C",'Mapa final'!$W$18),"")</f>
        <v/>
      </c>
      <c r="X28" s="54" t="str">
        <f ca="1">IF(AND('Mapa final'!$AG$19="Media",'Mapa final'!$AI$19="Moderado"),CONCATENATE("R3C",'Mapa final'!$W$19),"")</f>
        <v/>
      </c>
      <c r="Y28" s="54" t="e">
        <f>IF(AND('Mapa final'!#REF!="Media",'Mapa final'!#REF!="Moderado"),CONCATENATE("R3C",'Mapa final'!#REF!),"")</f>
        <v>#REF!</v>
      </c>
      <c r="Z28" s="54" t="e">
        <f>IF(AND('Mapa final'!#REF!="Media",'Mapa final'!#REF!="Moderado"),CONCATENATE("R3C",'Mapa final'!#REF!),"")</f>
        <v>#REF!</v>
      </c>
      <c r="AA28" s="55" t="e">
        <f>IF(AND('Mapa final'!#REF!="Media",'Mapa final'!#REF!="Moderado"),CONCATENATE("R3C",'Mapa final'!#REF!),"")</f>
        <v>#REF!</v>
      </c>
      <c r="AB28" s="38" t="str">
        <f ca="1">IF(AND('Mapa final'!$AG$17="Media",'Mapa final'!$AI$17="Mayor"),CONCATENATE("R3C",'Mapa final'!$W$17),"")</f>
        <v/>
      </c>
      <c r="AC28" s="39" t="str">
        <f ca="1">IF(AND('Mapa final'!$AG$18="Media",'Mapa final'!$AI$18="Mayor"),CONCATENATE("R3C",'Mapa final'!$W$18),"")</f>
        <v/>
      </c>
      <c r="AD28" s="39" t="str">
        <f ca="1">IF(AND('Mapa final'!$AG$19="Media",'Mapa final'!$AI$19="Mayor"),CONCATENATE("R3C",'Mapa final'!$W$19),"")</f>
        <v/>
      </c>
      <c r="AE28" s="39" t="e">
        <f>IF(AND('Mapa final'!#REF!="Media",'Mapa final'!#REF!="Mayor"),CONCATENATE("R3C",'Mapa final'!#REF!),"")</f>
        <v>#REF!</v>
      </c>
      <c r="AF28" s="39" t="e">
        <f>IF(AND('Mapa final'!#REF!="Media",'Mapa final'!#REF!="Mayor"),CONCATENATE("R3C",'Mapa final'!#REF!),"")</f>
        <v>#REF!</v>
      </c>
      <c r="AG28" s="40" t="e">
        <f>IF(AND('Mapa final'!#REF!="Media",'Mapa final'!#REF!="Mayor"),CONCATENATE("R3C",'Mapa final'!#REF!),"")</f>
        <v>#REF!</v>
      </c>
      <c r="AH28" s="41" t="str">
        <f ca="1">IF(AND('Mapa final'!$AG$17="Media",'Mapa final'!$AI$17="Catastrófico"),CONCATENATE("R3C",'Mapa final'!$W$17),"")</f>
        <v/>
      </c>
      <c r="AI28" s="42" t="str">
        <f ca="1">IF(AND('Mapa final'!$AG$18="Media",'Mapa final'!$AI$18="Catastrófico"),CONCATENATE("R3C",'Mapa final'!$W$18),"")</f>
        <v/>
      </c>
      <c r="AJ28" s="42" t="str">
        <f ca="1">IF(AND('Mapa final'!$AG$19="Media",'Mapa final'!$AI$19="Catastrófico"),CONCATENATE("R3C",'Mapa final'!$W$19),"")</f>
        <v/>
      </c>
      <c r="AK28" s="42" t="e">
        <f>IF(AND('Mapa final'!#REF!="Media",'Mapa final'!#REF!="Catastrófico"),CONCATENATE("R3C",'Mapa final'!#REF!),"")</f>
        <v>#REF!</v>
      </c>
      <c r="AL28" s="42" t="e">
        <f>IF(AND('Mapa final'!#REF!="Media",'Mapa final'!#REF!="Catastrófico"),CONCATENATE("R3C",'Mapa final'!#REF!),"")</f>
        <v>#REF!</v>
      </c>
      <c r="AM28" s="43" t="e">
        <f>IF(AND('Mapa final'!#REF!="Media",'Mapa final'!#REF!="Catastrófico"),CONCATENATE("R3C",'Mapa final'!#REF!),"")</f>
        <v>#REF!</v>
      </c>
      <c r="AN28" s="69"/>
      <c r="AO28" s="654"/>
      <c r="AP28" s="655"/>
      <c r="AQ28" s="655"/>
      <c r="AR28" s="655"/>
      <c r="AS28" s="655"/>
      <c r="AT28" s="656"/>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row>
    <row r="29" spans="1:76" ht="15" customHeight="1" x14ac:dyDescent="0.25">
      <c r="A29" s="69"/>
      <c r="B29" s="537"/>
      <c r="C29" s="537"/>
      <c r="D29" s="538"/>
      <c r="E29" s="618"/>
      <c r="F29" s="616"/>
      <c r="G29" s="616"/>
      <c r="H29" s="616"/>
      <c r="I29" s="617"/>
      <c r="J29" s="53" t="str">
        <f ca="1">IF(AND('Mapa final'!$AG$20="Media",'Mapa final'!$AI$20="Leve"),CONCATENATE("R4C",'Mapa final'!$W$20),"")</f>
        <v/>
      </c>
      <c r="K29" s="54" t="str">
        <f ca="1">IF(AND('Mapa final'!$AG$21="Media",'Mapa final'!$AI$21="Leve"),CONCATENATE("R4C",'Mapa final'!$W$21),"")</f>
        <v/>
      </c>
      <c r="L29" s="54" t="e">
        <f>IF(AND('Mapa final'!#REF!="Media",'Mapa final'!#REF!="Leve"),CONCATENATE("R4C",'Mapa final'!#REF!),"")</f>
        <v>#REF!</v>
      </c>
      <c r="M29" s="54" t="e">
        <f>IF(AND('Mapa final'!#REF!="Media",'Mapa final'!#REF!="Leve"),CONCATENATE("R4C",'Mapa final'!#REF!),"")</f>
        <v>#REF!</v>
      </c>
      <c r="N29" s="54" t="e">
        <f>IF(AND('Mapa final'!#REF!="Media",'Mapa final'!#REF!="Leve"),CONCATENATE("R4C",'Mapa final'!#REF!),"")</f>
        <v>#REF!</v>
      </c>
      <c r="O29" s="55" t="e">
        <f>IF(AND('Mapa final'!#REF!="Media",'Mapa final'!#REF!="Leve"),CONCATENATE("R4C",'Mapa final'!#REF!),"")</f>
        <v>#REF!</v>
      </c>
      <c r="P29" s="53" t="str">
        <f ca="1">IF(AND('Mapa final'!$AG$20="Media",'Mapa final'!$AI$20="Menor"),CONCATENATE("R4C",'Mapa final'!$W$20),"")</f>
        <v/>
      </c>
      <c r="Q29" s="54" t="str">
        <f ca="1">IF(AND('Mapa final'!$AG$21="Media",'Mapa final'!$AI$21="Menor"),CONCATENATE("R4C",'Mapa final'!$W$21),"")</f>
        <v/>
      </c>
      <c r="R29" s="54" t="e">
        <f>IF(AND('Mapa final'!#REF!="Media",'Mapa final'!#REF!="Menor"),CONCATENATE("R4C",'Mapa final'!#REF!),"")</f>
        <v>#REF!</v>
      </c>
      <c r="S29" s="54" t="e">
        <f>IF(AND('Mapa final'!#REF!="Media",'Mapa final'!#REF!="Menor"),CONCATENATE("R4C",'Mapa final'!#REF!),"")</f>
        <v>#REF!</v>
      </c>
      <c r="T29" s="54" t="e">
        <f>IF(AND('Mapa final'!#REF!="Media",'Mapa final'!#REF!="Menor"),CONCATENATE("R4C",'Mapa final'!#REF!),"")</f>
        <v>#REF!</v>
      </c>
      <c r="U29" s="55" t="e">
        <f>IF(AND('Mapa final'!#REF!="Media",'Mapa final'!#REF!="Menor"),CONCATENATE("R4C",'Mapa final'!#REF!),"")</f>
        <v>#REF!</v>
      </c>
      <c r="V29" s="53" t="str">
        <f ca="1">IF(AND('Mapa final'!$AG$20="Media",'Mapa final'!$AI$20="Moderado"),CONCATENATE("R4C",'Mapa final'!$W$20),"")</f>
        <v/>
      </c>
      <c r="W29" s="54" t="str">
        <f ca="1">IF(AND('Mapa final'!$AG$21="Media",'Mapa final'!$AI$21="Moderado"),CONCATENATE("R4C",'Mapa final'!$W$21),"")</f>
        <v/>
      </c>
      <c r="X29" s="54" t="e">
        <f>IF(AND('Mapa final'!#REF!="Media",'Mapa final'!#REF!="Moderado"),CONCATENATE("R4C",'Mapa final'!#REF!),"")</f>
        <v>#REF!</v>
      </c>
      <c r="Y29" s="54" t="e">
        <f>IF(AND('Mapa final'!#REF!="Media",'Mapa final'!#REF!="Moderado"),CONCATENATE("R4C",'Mapa final'!#REF!),"")</f>
        <v>#REF!</v>
      </c>
      <c r="Z29" s="54" t="e">
        <f>IF(AND('Mapa final'!#REF!="Media",'Mapa final'!#REF!="Moderado"),CONCATENATE("R4C",'Mapa final'!#REF!),"")</f>
        <v>#REF!</v>
      </c>
      <c r="AA29" s="55" t="e">
        <f>IF(AND('Mapa final'!#REF!="Media",'Mapa final'!#REF!="Moderado"),CONCATENATE("R4C",'Mapa final'!#REF!),"")</f>
        <v>#REF!</v>
      </c>
      <c r="AB29" s="38" t="str">
        <f ca="1">IF(AND('Mapa final'!$AG$20="Media",'Mapa final'!$AI$20="Mayor"),CONCATENATE("R4C",'Mapa final'!$W$20),"")</f>
        <v/>
      </c>
      <c r="AC29" s="39" t="str">
        <f ca="1">IF(AND('Mapa final'!$AG$21="Media",'Mapa final'!$AI$21="Mayor"),CONCATENATE("R4C",'Mapa final'!$W$21),"")</f>
        <v/>
      </c>
      <c r="AD29" s="39" t="e">
        <f>IF(AND('Mapa final'!#REF!="Media",'Mapa final'!#REF!="Mayor"),CONCATENATE("R4C",'Mapa final'!#REF!),"")</f>
        <v>#REF!</v>
      </c>
      <c r="AE29" s="39" t="e">
        <f>IF(AND('Mapa final'!#REF!="Media",'Mapa final'!#REF!="Mayor"),CONCATENATE("R4C",'Mapa final'!#REF!),"")</f>
        <v>#REF!</v>
      </c>
      <c r="AF29" s="39" t="e">
        <f>IF(AND('Mapa final'!#REF!="Media",'Mapa final'!#REF!="Mayor"),CONCATENATE("R4C",'Mapa final'!#REF!),"")</f>
        <v>#REF!</v>
      </c>
      <c r="AG29" s="40" t="e">
        <f>IF(AND('Mapa final'!#REF!="Media",'Mapa final'!#REF!="Mayor"),CONCATENATE("R4C",'Mapa final'!#REF!),"")</f>
        <v>#REF!</v>
      </c>
      <c r="AH29" s="41" t="str">
        <f ca="1">IF(AND('Mapa final'!$AG$20="Media",'Mapa final'!$AI$20="Catastrófico"),CONCATENATE("R4C",'Mapa final'!$W$20),"")</f>
        <v/>
      </c>
      <c r="AI29" s="42" t="str">
        <f ca="1">IF(AND('Mapa final'!$AG$21="Media",'Mapa final'!$AI$21="Catastrófico"),CONCATENATE("R4C",'Mapa final'!$W$21),"")</f>
        <v/>
      </c>
      <c r="AJ29" s="42" t="e">
        <f>IF(AND('Mapa final'!#REF!="Media",'Mapa final'!#REF!="Catastrófico"),CONCATENATE("R4C",'Mapa final'!#REF!),"")</f>
        <v>#REF!</v>
      </c>
      <c r="AK29" s="42" t="e">
        <f>IF(AND('Mapa final'!#REF!="Media",'Mapa final'!#REF!="Catastrófico"),CONCATENATE("R4C",'Mapa final'!#REF!),"")</f>
        <v>#REF!</v>
      </c>
      <c r="AL29" s="42" t="e">
        <f>IF(AND('Mapa final'!#REF!="Media",'Mapa final'!#REF!="Catastrófico"),CONCATENATE("R4C",'Mapa final'!#REF!),"")</f>
        <v>#REF!</v>
      </c>
      <c r="AM29" s="43" t="e">
        <f>IF(AND('Mapa final'!#REF!="Media",'Mapa final'!#REF!="Catastrófico"),CONCATENATE("R4C",'Mapa final'!#REF!),"")</f>
        <v>#REF!</v>
      </c>
      <c r="AN29" s="69"/>
      <c r="AO29" s="654"/>
      <c r="AP29" s="655"/>
      <c r="AQ29" s="655"/>
      <c r="AR29" s="655"/>
      <c r="AS29" s="655"/>
      <c r="AT29" s="656"/>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row>
    <row r="30" spans="1:76" ht="15" customHeight="1" x14ac:dyDescent="0.25">
      <c r="A30" s="69"/>
      <c r="B30" s="537"/>
      <c r="C30" s="537"/>
      <c r="D30" s="538"/>
      <c r="E30" s="618"/>
      <c r="F30" s="616"/>
      <c r="G30" s="616"/>
      <c r="H30" s="616"/>
      <c r="I30" s="617"/>
      <c r="J30" s="53" t="str">
        <f ca="1">IF(AND('Mapa final'!$AG$22="Media",'Mapa final'!$AI$22="Leve"),CONCATENATE("R5C",'Mapa final'!$W$22),"")</f>
        <v/>
      </c>
      <c r="K30" s="54" t="str">
        <f ca="1">IF(AND('Mapa final'!$AG$23="Media",'Mapa final'!$AI$23="Leve"),CONCATENATE("R5C",'Mapa final'!$W$23),"")</f>
        <v/>
      </c>
      <c r="L30" s="54" t="str">
        <f ca="1">IF(AND('Mapa final'!$AG$24="Media",'Mapa final'!$AI$24="Leve"),CONCATENATE("R5C",'Mapa final'!$W$24),"")</f>
        <v/>
      </c>
      <c r="M30" s="54" t="e">
        <f>IF(AND('Mapa final'!#REF!="Media",'Mapa final'!#REF!="Leve"),CONCATENATE("R5C",'Mapa final'!#REF!),"")</f>
        <v>#REF!</v>
      </c>
      <c r="N30" s="54" t="e">
        <f>IF(AND('Mapa final'!#REF!="Media",'Mapa final'!#REF!="Leve"),CONCATENATE("R5C",'Mapa final'!#REF!),"")</f>
        <v>#REF!</v>
      </c>
      <c r="O30" s="55" t="e">
        <f>IF(AND('Mapa final'!#REF!="Media",'Mapa final'!#REF!="Leve"),CONCATENATE("R5C",'Mapa final'!#REF!),"")</f>
        <v>#REF!</v>
      </c>
      <c r="P30" s="53" t="str">
        <f ca="1">IF(AND('Mapa final'!$AG$22="Media",'Mapa final'!$AI$22="Menor"),CONCATENATE("R5C",'Mapa final'!$W$22),"")</f>
        <v/>
      </c>
      <c r="Q30" s="54" t="str">
        <f ca="1">IF(AND('Mapa final'!$AG$23="Media",'Mapa final'!$AI$23="Menor"),CONCATENATE("R5C",'Mapa final'!$W$23),"")</f>
        <v/>
      </c>
      <c r="R30" s="54" t="str">
        <f ca="1">IF(AND('Mapa final'!$AG$24="Media",'Mapa final'!$AI$24="Menor"),CONCATENATE("R5C",'Mapa final'!$W$24),"")</f>
        <v/>
      </c>
      <c r="S30" s="54" t="e">
        <f>IF(AND('Mapa final'!#REF!="Media",'Mapa final'!#REF!="Menor"),CONCATENATE("R5C",'Mapa final'!#REF!),"")</f>
        <v>#REF!</v>
      </c>
      <c r="T30" s="54" t="e">
        <f>IF(AND('Mapa final'!#REF!="Media",'Mapa final'!#REF!="Menor"),CONCATENATE("R5C",'Mapa final'!#REF!),"")</f>
        <v>#REF!</v>
      </c>
      <c r="U30" s="55" t="e">
        <f>IF(AND('Mapa final'!#REF!="Media",'Mapa final'!#REF!="Menor"),CONCATENATE("R5C",'Mapa final'!#REF!),"")</f>
        <v>#REF!</v>
      </c>
      <c r="V30" s="53" t="str">
        <f ca="1">IF(AND('Mapa final'!$AG$22="Media",'Mapa final'!$AI$22="Moderado"),CONCATENATE("R5C",'Mapa final'!$W$22),"")</f>
        <v/>
      </c>
      <c r="W30" s="54" t="str">
        <f ca="1">IF(AND('Mapa final'!$AG$23="Media",'Mapa final'!$AI$23="Moderado"),CONCATENATE("R5C",'Mapa final'!$W$23),"")</f>
        <v/>
      </c>
      <c r="X30" s="54" t="str">
        <f ca="1">IF(AND('Mapa final'!$AG$24="Media",'Mapa final'!$AI$24="Moderado"),CONCATENATE("R5C",'Mapa final'!$W$24),"")</f>
        <v/>
      </c>
      <c r="Y30" s="54" t="e">
        <f>IF(AND('Mapa final'!#REF!="Media",'Mapa final'!#REF!="Moderado"),CONCATENATE("R5C",'Mapa final'!#REF!),"")</f>
        <v>#REF!</v>
      </c>
      <c r="Z30" s="54" t="e">
        <f>IF(AND('Mapa final'!#REF!="Media",'Mapa final'!#REF!="Moderado"),CONCATENATE("R5C",'Mapa final'!#REF!),"")</f>
        <v>#REF!</v>
      </c>
      <c r="AA30" s="55" t="e">
        <f>IF(AND('Mapa final'!#REF!="Media",'Mapa final'!#REF!="Moderado"),CONCATENATE("R5C",'Mapa final'!#REF!),"")</f>
        <v>#REF!</v>
      </c>
      <c r="AB30" s="38" t="str">
        <f ca="1">IF(AND('Mapa final'!$AG$22="Media",'Mapa final'!$AI$22="Mayor"),CONCATENATE("R5C",'Mapa final'!$W$22),"")</f>
        <v/>
      </c>
      <c r="AC30" s="39" t="str">
        <f ca="1">IF(AND('Mapa final'!$AG$23="Media",'Mapa final'!$AI$23="Mayor"),CONCATENATE("R5C",'Mapa final'!$W$23),"")</f>
        <v/>
      </c>
      <c r="AD30" s="39" t="str">
        <f ca="1">IF(AND('Mapa final'!$AG$24="Media",'Mapa final'!$AI$24="Mayor"),CONCATENATE("R5C",'Mapa final'!$W$24),"")</f>
        <v/>
      </c>
      <c r="AE30" s="39" t="e">
        <f>IF(AND('Mapa final'!#REF!="Media",'Mapa final'!#REF!="Mayor"),CONCATENATE("R5C",'Mapa final'!#REF!),"")</f>
        <v>#REF!</v>
      </c>
      <c r="AF30" s="39" t="e">
        <f>IF(AND('Mapa final'!#REF!="Media",'Mapa final'!#REF!="Mayor"),CONCATENATE("R5C",'Mapa final'!#REF!),"")</f>
        <v>#REF!</v>
      </c>
      <c r="AG30" s="40" t="e">
        <f>IF(AND('Mapa final'!#REF!="Media",'Mapa final'!#REF!="Mayor"),CONCATENATE("R5C",'Mapa final'!#REF!),"")</f>
        <v>#REF!</v>
      </c>
      <c r="AH30" s="41" t="str">
        <f ca="1">IF(AND('Mapa final'!$AG$22="Media",'Mapa final'!$AI$22="Catastrófico"),CONCATENATE("R5C",'Mapa final'!$W$22),"")</f>
        <v/>
      </c>
      <c r="AI30" s="42" t="str">
        <f ca="1">IF(AND('Mapa final'!$AG$23="Media",'Mapa final'!$AI$23="Catastrófico"),CONCATENATE("R5C",'Mapa final'!$W$23),"")</f>
        <v/>
      </c>
      <c r="AJ30" s="42" t="str">
        <f ca="1">IF(AND('Mapa final'!$AG$24="Media",'Mapa final'!$AI$24="Catastrófico"),CONCATENATE("R5C",'Mapa final'!$W$24),"")</f>
        <v/>
      </c>
      <c r="AK30" s="42" t="e">
        <f>IF(AND('Mapa final'!#REF!="Media",'Mapa final'!#REF!="Catastrófico"),CONCATENATE("R5C",'Mapa final'!#REF!),"")</f>
        <v>#REF!</v>
      </c>
      <c r="AL30" s="42" t="e">
        <f>IF(AND('Mapa final'!#REF!="Media",'Mapa final'!#REF!="Catastrófico"),CONCATENATE("R5C",'Mapa final'!#REF!),"")</f>
        <v>#REF!</v>
      </c>
      <c r="AM30" s="43" t="e">
        <f>IF(AND('Mapa final'!#REF!="Media",'Mapa final'!#REF!="Catastrófico"),CONCATENATE("R5C",'Mapa final'!#REF!),"")</f>
        <v>#REF!</v>
      </c>
      <c r="AN30" s="69"/>
      <c r="AO30" s="654"/>
      <c r="AP30" s="655"/>
      <c r="AQ30" s="655"/>
      <c r="AR30" s="655"/>
      <c r="AS30" s="655"/>
      <c r="AT30" s="656"/>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row>
    <row r="31" spans="1:76" ht="15" customHeight="1" x14ac:dyDescent="0.25">
      <c r="A31" s="69"/>
      <c r="B31" s="537"/>
      <c r="C31" s="537"/>
      <c r="D31" s="538"/>
      <c r="E31" s="618"/>
      <c r="F31" s="616"/>
      <c r="G31" s="616"/>
      <c r="H31" s="616"/>
      <c r="I31" s="617"/>
      <c r="J31" s="53" t="str">
        <f ca="1">IF(AND('Mapa final'!$AG$25="Media",'Mapa final'!$AI$25="Leve"),CONCATENATE("R6C",'Mapa final'!$W$25),"")</f>
        <v/>
      </c>
      <c r="K31" s="54" t="str">
        <f ca="1">IF(AND('Mapa final'!$AG$26="Media",'Mapa final'!$AI$26="Leve"),CONCATENATE("R6C",'Mapa final'!$W$26),"")</f>
        <v/>
      </c>
      <c r="L31" s="54" t="e">
        <f>IF(AND('Mapa final'!#REF!="Media",'Mapa final'!#REF!="Leve"),CONCATENATE("R6C",'Mapa final'!#REF!),"")</f>
        <v>#REF!</v>
      </c>
      <c r="M31" s="54" t="e">
        <f>IF(AND('Mapa final'!#REF!="Media",'Mapa final'!#REF!="Leve"),CONCATENATE("R6C",'Mapa final'!#REF!),"")</f>
        <v>#REF!</v>
      </c>
      <c r="N31" s="54" t="e">
        <f>IF(AND('Mapa final'!#REF!="Media",'Mapa final'!#REF!="Leve"),CONCATENATE("R6C",'Mapa final'!#REF!),"")</f>
        <v>#REF!</v>
      </c>
      <c r="O31" s="55" t="e">
        <f>IF(AND('Mapa final'!#REF!="Media",'Mapa final'!#REF!="Leve"),CONCATENATE("R6C",'Mapa final'!#REF!),"")</f>
        <v>#REF!</v>
      </c>
      <c r="P31" s="53" t="str">
        <f ca="1">IF(AND('Mapa final'!$AG$25="Media",'Mapa final'!$AI$25="Menor"),CONCATENATE("R6C",'Mapa final'!$W$25),"")</f>
        <v/>
      </c>
      <c r="Q31" s="54" t="str">
        <f ca="1">IF(AND('Mapa final'!$AG$26="Media",'Mapa final'!$AI$26="Menor"),CONCATENATE("R6C",'Mapa final'!$W$26),"")</f>
        <v/>
      </c>
      <c r="R31" s="54" t="e">
        <f>IF(AND('Mapa final'!#REF!="Media",'Mapa final'!#REF!="Menor"),CONCATENATE("R6C",'Mapa final'!#REF!),"")</f>
        <v>#REF!</v>
      </c>
      <c r="S31" s="54" t="e">
        <f>IF(AND('Mapa final'!#REF!="Media",'Mapa final'!#REF!="Menor"),CONCATENATE("R6C",'Mapa final'!#REF!),"")</f>
        <v>#REF!</v>
      </c>
      <c r="T31" s="54" t="e">
        <f>IF(AND('Mapa final'!#REF!="Media",'Mapa final'!#REF!="Menor"),CONCATENATE("R6C",'Mapa final'!#REF!),"")</f>
        <v>#REF!</v>
      </c>
      <c r="U31" s="55" t="e">
        <f>IF(AND('Mapa final'!#REF!="Media",'Mapa final'!#REF!="Menor"),CONCATENATE("R6C",'Mapa final'!#REF!),"")</f>
        <v>#REF!</v>
      </c>
      <c r="V31" s="53" t="str">
        <f ca="1">IF(AND('Mapa final'!$AG$25="Media",'Mapa final'!$AI$25="Moderado"),CONCATENATE("R6C",'Mapa final'!$W$25),"")</f>
        <v/>
      </c>
      <c r="W31" s="54" t="str">
        <f ca="1">IF(AND('Mapa final'!$AG$26="Media",'Mapa final'!$AI$26="Moderado"),CONCATENATE("R6C",'Mapa final'!$W$26),"")</f>
        <v/>
      </c>
      <c r="X31" s="54" t="e">
        <f>IF(AND('Mapa final'!#REF!="Media",'Mapa final'!#REF!="Moderado"),CONCATENATE("R6C",'Mapa final'!#REF!),"")</f>
        <v>#REF!</v>
      </c>
      <c r="Y31" s="54" t="e">
        <f>IF(AND('Mapa final'!#REF!="Media",'Mapa final'!#REF!="Moderado"),CONCATENATE("R6C",'Mapa final'!#REF!),"")</f>
        <v>#REF!</v>
      </c>
      <c r="Z31" s="54" t="e">
        <f>IF(AND('Mapa final'!#REF!="Media",'Mapa final'!#REF!="Moderado"),CONCATENATE("R6C",'Mapa final'!#REF!),"")</f>
        <v>#REF!</v>
      </c>
      <c r="AA31" s="55" t="e">
        <f>IF(AND('Mapa final'!#REF!="Media",'Mapa final'!#REF!="Moderado"),CONCATENATE("R6C",'Mapa final'!#REF!),"")</f>
        <v>#REF!</v>
      </c>
      <c r="AB31" s="38" t="str">
        <f ca="1">IF(AND('Mapa final'!$AG$25="Media",'Mapa final'!$AI$25="Mayor"),CONCATENATE("R6C",'Mapa final'!$W$25),"")</f>
        <v/>
      </c>
      <c r="AC31" s="39" t="str">
        <f ca="1">IF(AND('Mapa final'!$AG$26="Media",'Mapa final'!$AI$26="Mayor"),CONCATENATE("R6C",'Mapa final'!$W$26),"")</f>
        <v/>
      </c>
      <c r="AD31" s="39" t="e">
        <f>IF(AND('Mapa final'!#REF!="Media",'Mapa final'!#REF!="Mayor"),CONCATENATE("R6C",'Mapa final'!#REF!),"")</f>
        <v>#REF!</v>
      </c>
      <c r="AE31" s="39" t="e">
        <f>IF(AND('Mapa final'!#REF!="Media",'Mapa final'!#REF!="Mayor"),CONCATENATE("R6C",'Mapa final'!#REF!),"")</f>
        <v>#REF!</v>
      </c>
      <c r="AF31" s="39" t="e">
        <f>IF(AND('Mapa final'!#REF!="Media",'Mapa final'!#REF!="Mayor"),CONCATENATE("R6C",'Mapa final'!#REF!),"")</f>
        <v>#REF!</v>
      </c>
      <c r="AG31" s="40" t="e">
        <f>IF(AND('Mapa final'!#REF!="Media",'Mapa final'!#REF!="Mayor"),CONCATENATE("R6C",'Mapa final'!#REF!),"")</f>
        <v>#REF!</v>
      </c>
      <c r="AH31" s="41" t="str">
        <f ca="1">IF(AND('Mapa final'!$AG$25="Media",'Mapa final'!$AI$25="Catastrófico"),CONCATENATE("R6C",'Mapa final'!$W$25),"")</f>
        <v/>
      </c>
      <c r="AI31" s="42" t="str">
        <f ca="1">IF(AND('Mapa final'!$AG$26="Media",'Mapa final'!$AI$26="Catastrófico"),CONCATENATE("R6C",'Mapa final'!$W$26),"")</f>
        <v/>
      </c>
      <c r="AJ31" s="42" t="e">
        <f>IF(AND('Mapa final'!#REF!="Media",'Mapa final'!#REF!="Catastrófico"),CONCATENATE("R6C",'Mapa final'!#REF!),"")</f>
        <v>#REF!</v>
      </c>
      <c r="AK31" s="42" t="e">
        <f>IF(AND('Mapa final'!#REF!="Media",'Mapa final'!#REF!="Catastrófico"),CONCATENATE("R6C",'Mapa final'!#REF!),"")</f>
        <v>#REF!</v>
      </c>
      <c r="AL31" s="42" t="e">
        <f>IF(AND('Mapa final'!#REF!="Media",'Mapa final'!#REF!="Catastrófico"),CONCATENATE("R6C",'Mapa final'!#REF!),"")</f>
        <v>#REF!</v>
      </c>
      <c r="AM31" s="43" t="e">
        <f>IF(AND('Mapa final'!#REF!="Media",'Mapa final'!#REF!="Catastrófico"),CONCATENATE("R6C",'Mapa final'!#REF!),"")</f>
        <v>#REF!</v>
      </c>
      <c r="AN31" s="69"/>
      <c r="AO31" s="654"/>
      <c r="AP31" s="655"/>
      <c r="AQ31" s="655"/>
      <c r="AR31" s="655"/>
      <c r="AS31" s="655"/>
      <c r="AT31" s="656"/>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row>
    <row r="32" spans="1:76" ht="15" customHeight="1" x14ac:dyDescent="0.25">
      <c r="A32" s="69"/>
      <c r="B32" s="537"/>
      <c r="C32" s="537"/>
      <c r="D32" s="538"/>
      <c r="E32" s="618"/>
      <c r="F32" s="616"/>
      <c r="G32" s="616"/>
      <c r="H32" s="616"/>
      <c r="I32" s="617"/>
      <c r="J32" s="53" t="str">
        <f ca="1">IF(AND('Mapa final'!$AG$27="Media",'Mapa final'!$AI$27="Leve"),CONCATENATE("R7C",'Mapa final'!$W$27),"")</f>
        <v/>
      </c>
      <c r="K32" s="54" t="str">
        <f ca="1">IF(AND('Mapa final'!$AG$28="Media",'Mapa final'!$AI$28="Leve"),CONCATENATE("R7C",'Mapa final'!$W$28),"")</f>
        <v/>
      </c>
      <c r="L32" s="54" t="e">
        <f>IF(AND('Mapa final'!#REF!="Media",'Mapa final'!#REF!="Leve"),CONCATENATE("R7C",'Mapa final'!#REF!),"")</f>
        <v>#REF!</v>
      </c>
      <c r="M32" s="54" t="e">
        <f>IF(AND('Mapa final'!#REF!="Media",'Mapa final'!#REF!="Leve"),CONCATENATE("R7C",'Mapa final'!#REF!),"")</f>
        <v>#REF!</v>
      </c>
      <c r="N32" s="54" t="e">
        <f>IF(AND('Mapa final'!#REF!="Media",'Mapa final'!#REF!="Leve"),CONCATENATE("R7C",'Mapa final'!#REF!),"")</f>
        <v>#REF!</v>
      </c>
      <c r="O32" s="55" t="e">
        <f>IF(AND('Mapa final'!#REF!="Media",'Mapa final'!#REF!="Leve"),CONCATENATE("R7C",'Mapa final'!#REF!),"")</f>
        <v>#REF!</v>
      </c>
      <c r="P32" s="53" t="str">
        <f ca="1">IF(AND('Mapa final'!$AG$27="Media",'Mapa final'!$AI$27="Menor"),CONCATENATE("R7C",'Mapa final'!$W$27),"")</f>
        <v/>
      </c>
      <c r="Q32" s="54" t="str">
        <f ca="1">IF(AND('Mapa final'!$AG$28="Media",'Mapa final'!$AI$28="Menor"),CONCATENATE("R7C",'Mapa final'!$W$28),"")</f>
        <v/>
      </c>
      <c r="R32" s="54" t="e">
        <f>IF(AND('Mapa final'!#REF!="Media",'Mapa final'!#REF!="Menor"),CONCATENATE("R7C",'Mapa final'!#REF!),"")</f>
        <v>#REF!</v>
      </c>
      <c r="S32" s="54" t="e">
        <f>IF(AND('Mapa final'!#REF!="Media",'Mapa final'!#REF!="Menor"),CONCATENATE("R7C",'Mapa final'!#REF!),"")</f>
        <v>#REF!</v>
      </c>
      <c r="T32" s="54" t="e">
        <f>IF(AND('Mapa final'!#REF!="Media",'Mapa final'!#REF!="Menor"),CONCATENATE("R7C",'Mapa final'!#REF!),"")</f>
        <v>#REF!</v>
      </c>
      <c r="U32" s="55" t="e">
        <f>IF(AND('Mapa final'!#REF!="Media",'Mapa final'!#REF!="Menor"),CONCATENATE("R7C",'Mapa final'!#REF!),"")</f>
        <v>#REF!</v>
      </c>
      <c r="V32" s="53" t="str">
        <f ca="1">IF(AND('Mapa final'!$AG$27="Media",'Mapa final'!$AI$27="Moderado"),CONCATENATE("R7C",'Mapa final'!$W$27),"")</f>
        <v/>
      </c>
      <c r="W32" s="54" t="str">
        <f ca="1">IF(AND('Mapa final'!$AG$28="Media",'Mapa final'!$AI$28="Moderado"),CONCATENATE("R7C",'Mapa final'!$W$28),"")</f>
        <v/>
      </c>
      <c r="X32" s="54" t="e">
        <f>IF(AND('Mapa final'!#REF!="Media",'Mapa final'!#REF!="Moderado"),CONCATENATE("R7C",'Mapa final'!#REF!),"")</f>
        <v>#REF!</v>
      </c>
      <c r="Y32" s="54" t="e">
        <f>IF(AND('Mapa final'!#REF!="Media",'Mapa final'!#REF!="Moderado"),CONCATENATE("R7C",'Mapa final'!#REF!),"")</f>
        <v>#REF!</v>
      </c>
      <c r="Z32" s="54" t="e">
        <f>IF(AND('Mapa final'!#REF!="Media",'Mapa final'!#REF!="Moderado"),CONCATENATE("R7C",'Mapa final'!#REF!),"")</f>
        <v>#REF!</v>
      </c>
      <c r="AA32" s="55" t="e">
        <f>IF(AND('Mapa final'!#REF!="Media",'Mapa final'!#REF!="Moderado"),CONCATENATE("R7C",'Mapa final'!#REF!),"")</f>
        <v>#REF!</v>
      </c>
      <c r="AB32" s="38" t="str">
        <f ca="1">IF(AND('Mapa final'!$AG$27="Media",'Mapa final'!$AI$27="Mayor"),CONCATENATE("R7C",'Mapa final'!$W$27),"")</f>
        <v/>
      </c>
      <c r="AC32" s="39" t="str">
        <f ca="1">IF(AND('Mapa final'!$AG$28="Media",'Mapa final'!$AI$28="Mayor"),CONCATENATE("R7C",'Mapa final'!$W$28),"")</f>
        <v/>
      </c>
      <c r="AD32" s="39" t="e">
        <f>IF(AND('Mapa final'!#REF!="Media",'Mapa final'!#REF!="Mayor"),CONCATENATE("R7C",'Mapa final'!#REF!),"")</f>
        <v>#REF!</v>
      </c>
      <c r="AE32" s="39" t="e">
        <f>IF(AND('Mapa final'!#REF!="Media",'Mapa final'!#REF!="Mayor"),CONCATENATE("R7C",'Mapa final'!#REF!),"")</f>
        <v>#REF!</v>
      </c>
      <c r="AF32" s="39" t="e">
        <f>IF(AND('Mapa final'!#REF!="Media",'Mapa final'!#REF!="Mayor"),CONCATENATE("R7C",'Mapa final'!#REF!),"")</f>
        <v>#REF!</v>
      </c>
      <c r="AG32" s="40" t="e">
        <f>IF(AND('Mapa final'!#REF!="Media",'Mapa final'!#REF!="Mayor"),CONCATENATE("R7C",'Mapa final'!#REF!),"")</f>
        <v>#REF!</v>
      </c>
      <c r="AH32" s="41" t="str">
        <f ca="1">IF(AND('Mapa final'!$AG$27="Media",'Mapa final'!$AI$27="Catastrófico"),CONCATENATE("R7C",'Mapa final'!$W$27),"")</f>
        <v/>
      </c>
      <c r="AI32" s="42" t="str">
        <f ca="1">IF(AND('Mapa final'!$AG$28="Media",'Mapa final'!$AI$28="Catastrófico"),CONCATENATE("R7C",'Mapa final'!$W$28),"")</f>
        <v/>
      </c>
      <c r="AJ32" s="42" t="e">
        <f>IF(AND('Mapa final'!#REF!="Media",'Mapa final'!#REF!="Catastrófico"),CONCATENATE("R7C",'Mapa final'!#REF!),"")</f>
        <v>#REF!</v>
      </c>
      <c r="AK32" s="42" t="e">
        <f>IF(AND('Mapa final'!#REF!="Media",'Mapa final'!#REF!="Catastrófico"),CONCATENATE("R7C",'Mapa final'!#REF!),"")</f>
        <v>#REF!</v>
      </c>
      <c r="AL32" s="42" t="e">
        <f>IF(AND('Mapa final'!#REF!="Media",'Mapa final'!#REF!="Catastrófico"),CONCATENATE("R7C",'Mapa final'!#REF!),"")</f>
        <v>#REF!</v>
      </c>
      <c r="AM32" s="43" t="e">
        <f>IF(AND('Mapa final'!#REF!="Media",'Mapa final'!#REF!="Catastrófico"),CONCATENATE("R7C",'Mapa final'!#REF!),"")</f>
        <v>#REF!</v>
      </c>
      <c r="AN32" s="69"/>
      <c r="AO32" s="654"/>
      <c r="AP32" s="655"/>
      <c r="AQ32" s="655"/>
      <c r="AR32" s="655"/>
      <c r="AS32" s="655"/>
      <c r="AT32" s="656"/>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row>
    <row r="33" spans="1:80" ht="15" customHeight="1" x14ac:dyDescent="0.25">
      <c r="A33" s="69"/>
      <c r="B33" s="537"/>
      <c r="C33" s="537"/>
      <c r="D33" s="538"/>
      <c r="E33" s="618"/>
      <c r="F33" s="616"/>
      <c r="G33" s="616"/>
      <c r="H33" s="616"/>
      <c r="I33" s="617"/>
      <c r="J33" s="53" t="str">
        <f ca="1">IF(AND('Mapa final'!$AG$29="Media",'Mapa final'!$AI$29="Leve"),CONCATENATE("R8C",'Mapa final'!$W$29),"")</f>
        <v/>
      </c>
      <c r="K33" s="54" t="str">
        <f ca="1">IF(AND('Mapa final'!$AG$30="Media",'Mapa final'!$AI$30="Leve"),CONCATENATE("R8C",'Mapa final'!$W$30),"")</f>
        <v/>
      </c>
      <c r="L33" s="54" t="str">
        <f ca="1">IF(AND('Mapa final'!$AG$31="Media",'Mapa final'!$AI$31="Leve"),CONCATENATE("R8C",'Mapa final'!$W$31),"")</f>
        <v/>
      </c>
      <c r="M33" s="54" t="str">
        <f ca="1">IF(AND('Mapa final'!$AG$32="Media",'Mapa final'!$AI$32="Leve"),CONCATENATE("R8C",'Mapa final'!$W$32),"")</f>
        <v/>
      </c>
      <c r="N33" s="54" t="e">
        <f>IF(AND('Mapa final'!#REF!="Media",'Mapa final'!#REF!="Leve"),CONCATENATE("R8C",'Mapa final'!#REF!),"")</f>
        <v>#REF!</v>
      </c>
      <c r="O33" s="55" t="e">
        <f>IF(AND('Mapa final'!#REF!="Media",'Mapa final'!#REF!="Leve"),CONCATENATE("R8C",'Mapa final'!#REF!),"")</f>
        <v>#REF!</v>
      </c>
      <c r="P33" s="53" t="str">
        <f ca="1">IF(AND('Mapa final'!$AG$29="Media",'Mapa final'!$AI$29="Menor"),CONCATENATE("R8C",'Mapa final'!$W$29),"")</f>
        <v/>
      </c>
      <c r="Q33" s="54" t="str">
        <f ca="1">IF(AND('Mapa final'!$AG$30="Media",'Mapa final'!$AI$30="Menor"),CONCATENATE("R8C",'Mapa final'!$W$30),"")</f>
        <v/>
      </c>
      <c r="R33" s="54" t="str">
        <f ca="1">IF(AND('Mapa final'!$AG$31="Media",'Mapa final'!$AI$31="Menor"),CONCATENATE("R8C",'Mapa final'!$W$31),"")</f>
        <v/>
      </c>
      <c r="S33" s="54" t="str">
        <f ca="1">IF(AND('Mapa final'!$AG$32="Media",'Mapa final'!$AI$32="Menor"),CONCATENATE("R8C",'Mapa final'!$W$32),"")</f>
        <v/>
      </c>
      <c r="T33" s="54" t="e">
        <f>IF(AND('Mapa final'!#REF!="Media",'Mapa final'!#REF!="Menor"),CONCATENATE("R8C",'Mapa final'!#REF!),"")</f>
        <v>#REF!</v>
      </c>
      <c r="U33" s="55" t="e">
        <f>IF(AND('Mapa final'!#REF!="Media",'Mapa final'!#REF!="Menor"),CONCATENATE("R8C",'Mapa final'!#REF!),"")</f>
        <v>#REF!</v>
      </c>
      <c r="V33" s="53" t="str">
        <f ca="1">IF(AND('Mapa final'!$AG$29="Media",'Mapa final'!$AI$29="Moderado"),CONCATENATE("R8C",'Mapa final'!$W$29),"")</f>
        <v>R8C1</v>
      </c>
      <c r="W33" s="54" t="str">
        <f ca="1">IF(AND('Mapa final'!$AG$30="Media",'Mapa final'!$AI$30="Moderado"),CONCATENATE("R8C",'Mapa final'!$W$30),"")</f>
        <v/>
      </c>
      <c r="X33" s="54" t="str">
        <f ca="1">IF(AND('Mapa final'!$AG$31="Media",'Mapa final'!$AI$31="Moderado"),CONCATENATE("R8C",'Mapa final'!$W$31),"")</f>
        <v/>
      </c>
      <c r="Y33" s="54" t="str">
        <f ca="1">IF(AND('Mapa final'!$AG$32="Media",'Mapa final'!$AI$32="Moderado"),CONCATENATE("R8C",'Mapa final'!$W$32),"")</f>
        <v/>
      </c>
      <c r="Z33" s="54" t="e">
        <f>IF(AND('Mapa final'!#REF!="Media",'Mapa final'!#REF!="Moderado"),CONCATENATE("R8C",'Mapa final'!#REF!),"")</f>
        <v>#REF!</v>
      </c>
      <c r="AA33" s="55" t="e">
        <f>IF(AND('Mapa final'!#REF!="Media",'Mapa final'!#REF!="Moderado"),CONCATENATE("R8C",'Mapa final'!#REF!),"")</f>
        <v>#REF!</v>
      </c>
      <c r="AB33" s="38" t="str">
        <f ca="1">IF(AND('Mapa final'!$AG$29="Media",'Mapa final'!$AI$29="Mayor"),CONCATENATE("R8C",'Mapa final'!$W$29),"")</f>
        <v/>
      </c>
      <c r="AC33" s="39" t="str">
        <f ca="1">IF(AND('Mapa final'!$AG$30="Media",'Mapa final'!$AI$30="Mayor"),CONCATENATE("R8C",'Mapa final'!$W$30),"")</f>
        <v/>
      </c>
      <c r="AD33" s="39" t="str">
        <f ca="1">IF(AND('Mapa final'!$AG$31="Media",'Mapa final'!$AI$31="Mayor"),CONCATENATE("R8C",'Mapa final'!$W$31),"")</f>
        <v/>
      </c>
      <c r="AE33" s="39" t="str">
        <f ca="1">IF(AND('Mapa final'!$AG$32="Media",'Mapa final'!$AI$32="Mayor"),CONCATENATE("R8C",'Mapa final'!$W$32),"")</f>
        <v/>
      </c>
      <c r="AF33" s="39" t="e">
        <f>IF(AND('Mapa final'!#REF!="Media",'Mapa final'!#REF!="Mayor"),CONCATENATE("R8C",'Mapa final'!#REF!),"")</f>
        <v>#REF!</v>
      </c>
      <c r="AG33" s="40" t="e">
        <f>IF(AND('Mapa final'!#REF!="Media",'Mapa final'!#REF!="Mayor"),CONCATENATE("R8C",'Mapa final'!#REF!),"")</f>
        <v>#REF!</v>
      </c>
      <c r="AH33" s="41" t="str">
        <f ca="1">IF(AND('Mapa final'!$AG$29="Media",'Mapa final'!$AI$29="Catastrófico"),CONCATENATE("R8C",'Mapa final'!$W$29),"")</f>
        <v/>
      </c>
      <c r="AI33" s="42" t="str">
        <f ca="1">IF(AND('Mapa final'!$AG$30="Media",'Mapa final'!$AI$30="Catastrófico"),CONCATENATE("R8C",'Mapa final'!$W$30),"")</f>
        <v/>
      </c>
      <c r="AJ33" s="42" t="str">
        <f ca="1">IF(AND('Mapa final'!$AG$31="Media",'Mapa final'!$AI$31="Catastrófico"),CONCATENATE("R8C",'Mapa final'!$W$31),"")</f>
        <v/>
      </c>
      <c r="AK33" s="42" t="str">
        <f ca="1">IF(AND('Mapa final'!$AG$32="Media",'Mapa final'!$AI$32="Catastrófico"),CONCATENATE("R8C",'Mapa final'!$W$32),"")</f>
        <v/>
      </c>
      <c r="AL33" s="42" t="e">
        <f>IF(AND('Mapa final'!#REF!="Media",'Mapa final'!#REF!="Catastrófico"),CONCATENATE("R8C",'Mapa final'!#REF!),"")</f>
        <v>#REF!</v>
      </c>
      <c r="AM33" s="43" t="e">
        <f>IF(AND('Mapa final'!#REF!="Media",'Mapa final'!#REF!="Catastrófico"),CONCATENATE("R8C",'Mapa final'!#REF!),"")</f>
        <v>#REF!</v>
      </c>
      <c r="AN33" s="69"/>
      <c r="AO33" s="654"/>
      <c r="AP33" s="655"/>
      <c r="AQ33" s="655"/>
      <c r="AR33" s="655"/>
      <c r="AS33" s="655"/>
      <c r="AT33" s="656"/>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row>
    <row r="34" spans="1:80" ht="15" customHeight="1" x14ac:dyDescent="0.25">
      <c r="A34" s="69"/>
      <c r="B34" s="537"/>
      <c r="C34" s="537"/>
      <c r="D34" s="538"/>
      <c r="E34" s="618"/>
      <c r="F34" s="616"/>
      <c r="G34" s="616"/>
      <c r="H34" s="616"/>
      <c r="I34" s="617"/>
      <c r="J34" s="53" t="str">
        <f ca="1">IF(AND('Mapa final'!$AG$33="Media",'Mapa final'!$AI$33="Leve"),CONCATENATE("R9C",'Mapa final'!$W$33),"")</f>
        <v/>
      </c>
      <c r="K34" s="54" t="str">
        <f ca="1">IF(AND('Mapa final'!$AG$34="Media",'Mapa final'!$AI$34="Leve"),CONCATENATE("R9C",'Mapa final'!$W$34),"")</f>
        <v/>
      </c>
      <c r="L34" s="54" t="str">
        <f ca="1">IF(AND('Mapa final'!$AG$35="Media",'Mapa final'!$AI$35="Leve"),CONCATENATE("R9C",'Mapa final'!$W$35),"")</f>
        <v/>
      </c>
      <c r="M34" s="54" t="str">
        <f ca="1">IF(AND('Mapa final'!$AG$36="Media",'Mapa final'!$AI$36="Leve"),CONCATENATE("R9C",'Mapa final'!$W$36),"")</f>
        <v/>
      </c>
      <c r="N34" s="54" t="str">
        <f ca="1">IF(AND('Mapa final'!$AG$37="Media",'Mapa final'!$AI$37="Leve"),CONCATENATE("R9C",'Mapa final'!$W$37),"")</f>
        <v/>
      </c>
      <c r="O34" s="55" t="e">
        <f>IF(AND('Mapa final'!#REF!="Media",'Mapa final'!#REF!="Leve"),CONCATENATE("R9C",'Mapa final'!#REF!),"")</f>
        <v>#REF!</v>
      </c>
      <c r="P34" s="53" t="str">
        <f ca="1">IF(AND('Mapa final'!$AG$33="Media",'Mapa final'!$AI$33="Menor"),CONCATENATE("R9C",'Mapa final'!$W$33),"")</f>
        <v/>
      </c>
      <c r="Q34" s="54" t="str">
        <f ca="1">IF(AND('Mapa final'!$AG$34="Media",'Mapa final'!$AI$34="Menor"),CONCATENATE("R9C",'Mapa final'!$W$34),"")</f>
        <v/>
      </c>
      <c r="R34" s="54" t="str">
        <f ca="1">IF(AND('Mapa final'!$AG$35="Media",'Mapa final'!$AI$35="Menor"),CONCATENATE("R9C",'Mapa final'!$W$35),"")</f>
        <v/>
      </c>
      <c r="S34" s="54" t="str">
        <f ca="1">IF(AND('Mapa final'!$AG$36="Media",'Mapa final'!$AI$36="Menor"),CONCATENATE("R9C",'Mapa final'!$W$36),"")</f>
        <v/>
      </c>
      <c r="T34" s="54" t="str">
        <f ca="1">IF(AND('Mapa final'!$AG$37="Media",'Mapa final'!$AI$37="Menor"),CONCATENATE("R9C",'Mapa final'!$W$37),"")</f>
        <v/>
      </c>
      <c r="U34" s="55" t="e">
        <f>IF(AND('Mapa final'!#REF!="Media",'Mapa final'!#REF!="Menor"),CONCATENATE("R9C",'Mapa final'!#REF!),"")</f>
        <v>#REF!</v>
      </c>
      <c r="V34" s="53" t="str">
        <f ca="1">IF(AND('Mapa final'!$AG$33="Media",'Mapa final'!$AI$33="Moderado"),CONCATENATE("R9C",'Mapa final'!$W$33),"")</f>
        <v/>
      </c>
      <c r="W34" s="54" t="str">
        <f ca="1">IF(AND('Mapa final'!$AG$34="Media",'Mapa final'!$AI$34="Moderado"),CONCATENATE("R9C",'Mapa final'!$W$34),"")</f>
        <v/>
      </c>
      <c r="X34" s="54" t="str">
        <f ca="1">IF(AND('Mapa final'!$AG$35="Media",'Mapa final'!$AI$35="Moderado"),CONCATENATE("R9C",'Mapa final'!$W$35),"")</f>
        <v/>
      </c>
      <c r="Y34" s="54" t="str">
        <f ca="1">IF(AND('Mapa final'!$AG$36="Media",'Mapa final'!$AI$36="Moderado"),CONCATENATE("R9C",'Mapa final'!$W$36),"")</f>
        <v/>
      </c>
      <c r="Z34" s="54" t="str">
        <f ca="1">IF(AND('Mapa final'!$AG$37="Media",'Mapa final'!$AI$37="Moderado"),CONCATENATE("R9C",'Mapa final'!$W$37),"")</f>
        <v/>
      </c>
      <c r="AA34" s="55" t="e">
        <f>IF(AND('Mapa final'!#REF!="Media",'Mapa final'!#REF!="Moderado"),CONCATENATE("R9C",'Mapa final'!#REF!),"")</f>
        <v>#REF!</v>
      </c>
      <c r="AB34" s="38" t="str">
        <f ca="1">IF(AND('Mapa final'!$AG$33="Media",'Mapa final'!$AI$33="Mayor"),CONCATENATE("R9C",'Mapa final'!$W$33),"")</f>
        <v/>
      </c>
      <c r="AC34" s="39" t="str">
        <f ca="1">IF(AND('Mapa final'!$AG$34="Media",'Mapa final'!$AI$34="Mayor"),CONCATENATE("R9C",'Mapa final'!$W$34),"")</f>
        <v/>
      </c>
      <c r="AD34" s="39" t="str">
        <f ca="1">IF(AND('Mapa final'!$AG$35="Media",'Mapa final'!$AI$35="Mayor"),CONCATENATE("R9C",'Mapa final'!$W$35),"")</f>
        <v/>
      </c>
      <c r="AE34" s="39" t="str">
        <f ca="1">IF(AND('Mapa final'!$AG$36="Media",'Mapa final'!$AI$36="Mayor"),CONCATENATE("R9C",'Mapa final'!$W$36),"")</f>
        <v/>
      </c>
      <c r="AF34" s="39" t="str">
        <f ca="1">IF(AND('Mapa final'!$AG$37="Media",'Mapa final'!$AI$37="Mayor"),CONCATENATE("R9C",'Mapa final'!$W$37),"")</f>
        <v/>
      </c>
      <c r="AG34" s="40" t="e">
        <f>IF(AND('Mapa final'!#REF!="Media",'Mapa final'!#REF!="Mayor"),CONCATENATE("R9C",'Mapa final'!#REF!),"")</f>
        <v>#REF!</v>
      </c>
      <c r="AH34" s="41" t="str">
        <f ca="1">IF(AND('Mapa final'!$AG$33="Media",'Mapa final'!$AI$33="Catastrófico"),CONCATENATE("R9C",'Mapa final'!$W$33),"")</f>
        <v/>
      </c>
      <c r="AI34" s="42" t="str">
        <f ca="1">IF(AND('Mapa final'!$AG$34="Media",'Mapa final'!$AI$34="Catastrófico"),CONCATENATE("R9C",'Mapa final'!$W$34),"")</f>
        <v/>
      </c>
      <c r="AJ34" s="42" t="str">
        <f ca="1">IF(AND('Mapa final'!$AG$35="Media",'Mapa final'!$AI$35="Catastrófico"),CONCATENATE("R9C",'Mapa final'!$W$35),"")</f>
        <v/>
      </c>
      <c r="AK34" s="42" t="str">
        <f ca="1">IF(AND('Mapa final'!$AG$36="Media",'Mapa final'!$AI$36="Catastrófico"),CONCATENATE("R9C",'Mapa final'!$W$36),"")</f>
        <v/>
      </c>
      <c r="AL34" s="42" t="str">
        <f ca="1">IF(AND('Mapa final'!$AG$37="Media",'Mapa final'!$AI$37="Catastrófico"),CONCATENATE("R9C",'Mapa final'!$W$37),"")</f>
        <v/>
      </c>
      <c r="AM34" s="43" t="e">
        <f>IF(AND('Mapa final'!#REF!="Media",'Mapa final'!#REF!="Catastrófico"),CONCATENATE("R9C",'Mapa final'!#REF!),"")</f>
        <v>#REF!</v>
      </c>
      <c r="AN34" s="69"/>
      <c r="AO34" s="654"/>
      <c r="AP34" s="655"/>
      <c r="AQ34" s="655"/>
      <c r="AR34" s="655"/>
      <c r="AS34" s="655"/>
      <c r="AT34" s="656"/>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row>
    <row r="35" spans="1:80" ht="15.75" customHeight="1" thickBot="1" x14ac:dyDescent="0.3">
      <c r="A35" s="69"/>
      <c r="B35" s="537"/>
      <c r="C35" s="537"/>
      <c r="D35" s="538"/>
      <c r="E35" s="619"/>
      <c r="F35" s="620"/>
      <c r="G35" s="620"/>
      <c r="H35" s="620"/>
      <c r="I35" s="621"/>
      <c r="J35" s="53" t="str">
        <f ca="1">IF(AND('Mapa final'!$AG$38="Media",'Mapa final'!$AI$38="Leve"),CONCATENATE("R10C",'Mapa final'!$W$38),"")</f>
        <v/>
      </c>
      <c r="K35" s="54" t="str">
        <f ca="1">IF(AND('Mapa final'!$AG$39="Media",'Mapa final'!$AI$39="Leve"),CONCATENATE("R10C",'Mapa final'!$W$39),"")</f>
        <v/>
      </c>
      <c r="L35" s="54" t="e">
        <f>IF(AND('Mapa final'!#REF!="Media",'Mapa final'!#REF!="Leve"),CONCATENATE("R10C",'Mapa final'!#REF!),"")</f>
        <v>#REF!</v>
      </c>
      <c r="M35" s="54" t="e">
        <f>IF(AND('Mapa final'!#REF!="Media",'Mapa final'!#REF!="Leve"),CONCATENATE("R10C",'Mapa final'!#REF!),"")</f>
        <v>#REF!</v>
      </c>
      <c r="N35" s="54" t="e">
        <f>IF(AND('Mapa final'!#REF!="Media",'Mapa final'!#REF!="Leve"),CONCATENATE("R10C",'Mapa final'!#REF!),"")</f>
        <v>#REF!</v>
      </c>
      <c r="O35" s="55" t="e">
        <f>IF(AND('Mapa final'!#REF!="Media",'Mapa final'!#REF!="Leve"),CONCATENATE("R10C",'Mapa final'!#REF!),"")</f>
        <v>#REF!</v>
      </c>
      <c r="P35" s="53" t="str">
        <f ca="1">IF(AND('Mapa final'!$AG$38="Media",'Mapa final'!$AI$38="Menor"),CONCATENATE("R10C",'Mapa final'!$W$38),"")</f>
        <v/>
      </c>
      <c r="Q35" s="54" t="str">
        <f ca="1">IF(AND('Mapa final'!$AG$39="Media",'Mapa final'!$AI$39="Menor"),CONCATENATE("R10C",'Mapa final'!$W$39),"")</f>
        <v/>
      </c>
      <c r="R35" s="54" t="e">
        <f>IF(AND('Mapa final'!#REF!="Media",'Mapa final'!#REF!="Menor"),CONCATENATE("R10C",'Mapa final'!#REF!),"")</f>
        <v>#REF!</v>
      </c>
      <c r="S35" s="54" t="e">
        <f>IF(AND('Mapa final'!#REF!="Media",'Mapa final'!#REF!="Menor"),CONCATENATE("R10C",'Mapa final'!#REF!),"")</f>
        <v>#REF!</v>
      </c>
      <c r="T35" s="54" t="e">
        <f>IF(AND('Mapa final'!#REF!="Media",'Mapa final'!#REF!="Menor"),CONCATENATE("R10C",'Mapa final'!#REF!),"")</f>
        <v>#REF!</v>
      </c>
      <c r="U35" s="55" t="e">
        <f>IF(AND('Mapa final'!#REF!="Media",'Mapa final'!#REF!="Menor"),CONCATENATE("R10C",'Mapa final'!#REF!),"")</f>
        <v>#REF!</v>
      </c>
      <c r="V35" s="53" t="str">
        <f ca="1">IF(AND('Mapa final'!$AG$38="Media",'Mapa final'!$AI$38="Moderado"),CONCATENATE("R10C",'Mapa final'!$W$38),"")</f>
        <v/>
      </c>
      <c r="W35" s="54" t="str">
        <f ca="1">IF(AND('Mapa final'!$AG$39="Media",'Mapa final'!$AI$39="Moderado"),CONCATENATE("R10C",'Mapa final'!$W$39),"")</f>
        <v/>
      </c>
      <c r="X35" s="54" t="e">
        <f>IF(AND('Mapa final'!#REF!="Media",'Mapa final'!#REF!="Moderado"),CONCATENATE("R10C",'Mapa final'!#REF!),"")</f>
        <v>#REF!</v>
      </c>
      <c r="Y35" s="54" t="e">
        <f>IF(AND('Mapa final'!#REF!="Media",'Mapa final'!#REF!="Moderado"),CONCATENATE("R10C",'Mapa final'!#REF!),"")</f>
        <v>#REF!</v>
      </c>
      <c r="Z35" s="54" t="e">
        <f>IF(AND('Mapa final'!#REF!="Media",'Mapa final'!#REF!="Moderado"),CONCATENATE("R10C",'Mapa final'!#REF!),"")</f>
        <v>#REF!</v>
      </c>
      <c r="AA35" s="55" t="e">
        <f>IF(AND('Mapa final'!#REF!="Media",'Mapa final'!#REF!="Moderado"),CONCATENATE("R10C",'Mapa final'!#REF!),"")</f>
        <v>#REF!</v>
      </c>
      <c r="AB35" s="44" t="str">
        <f ca="1">IF(AND('Mapa final'!$AG$38="Media",'Mapa final'!$AI$38="Mayor"),CONCATENATE("R10C",'Mapa final'!$W$38),"")</f>
        <v>R10C1</v>
      </c>
      <c r="AC35" s="45" t="str">
        <f ca="1">IF(AND('Mapa final'!$AG$39="Media",'Mapa final'!$AI$39="Mayor"),CONCATENATE("R10C",'Mapa final'!$W$39),"")</f>
        <v/>
      </c>
      <c r="AD35" s="45" t="e">
        <f>IF(AND('Mapa final'!#REF!="Media",'Mapa final'!#REF!="Mayor"),CONCATENATE("R10C",'Mapa final'!#REF!),"")</f>
        <v>#REF!</v>
      </c>
      <c r="AE35" s="45" t="e">
        <f>IF(AND('Mapa final'!#REF!="Media",'Mapa final'!#REF!="Mayor"),CONCATENATE("R10C",'Mapa final'!#REF!),"")</f>
        <v>#REF!</v>
      </c>
      <c r="AF35" s="45" t="e">
        <f>IF(AND('Mapa final'!#REF!="Media",'Mapa final'!#REF!="Mayor"),CONCATENATE("R10C",'Mapa final'!#REF!),"")</f>
        <v>#REF!</v>
      </c>
      <c r="AG35" s="46" t="e">
        <f>IF(AND('Mapa final'!#REF!="Media",'Mapa final'!#REF!="Mayor"),CONCATENATE("R10C",'Mapa final'!#REF!),"")</f>
        <v>#REF!</v>
      </c>
      <c r="AH35" s="47" t="str">
        <f ca="1">IF(AND('Mapa final'!$AG$38="Media",'Mapa final'!$AI$38="Catastrófico"),CONCATENATE("R10C",'Mapa final'!$W$38),"")</f>
        <v/>
      </c>
      <c r="AI35" s="48" t="str">
        <f ca="1">IF(AND('Mapa final'!$AG$39="Media",'Mapa final'!$AI$39="Catastrófico"),CONCATENATE("R10C",'Mapa final'!$W$39),"")</f>
        <v/>
      </c>
      <c r="AJ35" s="48" t="e">
        <f>IF(AND('Mapa final'!#REF!="Media",'Mapa final'!#REF!="Catastrófico"),CONCATENATE("R10C",'Mapa final'!#REF!),"")</f>
        <v>#REF!</v>
      </c>
      <c r="AK35" s="48" t="e">
        <f>IF(AND('Mapa final'!#REF!="Media",'Mapa final'!#REF!="Catastrófico"),CONCATENATE("R10C",'Mapa final'!#REF!),"")</f>
        <v>#REF!</v>
      </c>
      <c r="AL35" s="48" t="e">
        <f>IF(AND('Mapa final'!#REF!="Media",'Mapa final'!#REF!="Catastrófico"),CONCATENATE("R10C",'Mapa final'!#REF!),"")</f>
        <v>#REF!</v>
      </c>
      <c r="AM35" s="49" t="e">
        <f>IF(AND('Mapa final'!#REF!="Media",'Mapa final'!#REF!="Catastrófico"),CONCATENATE("R10C",'Mapa final'!#REF!),"")</f>
        <v>#REF!</v>
      </c>
      <c r="AN35" s="69"/>
      <c r="AO35" s="657"/>
      <c r="AP35" s="658"/>
      <c r="AQ35" s="658"/>
      <c r="AR35" s="658"/>
      <c r="AS35" s="658"/>
      <c r="AT35" s="659"/>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row>
    <row r="36" spans="1:80" ht="15" customHeight="1" x14ac:dyDescent="0.25">
      <c r="A36" s="69"/>
      <c r="B36" s="537"/>
      <c r="C36" s="537"/>
      <c r="D36" s="538"/>
      <c r="E36" s="612" t="s">
        <v>135</v>
      </c>
      <c r="F36" s="613"/>
      <c r="G36" s="613"/>
      <c r="H36" s="613"/>
      <c r="I36" s="613"/>
      <c r="J36" s="59" t="str">
        <f ca="1">IF(AND('Mapa final'!$AG$13="Baja",'Mapa final'!$AI$13="Leve"),CONCATENATE("R1C",'Mapa final'!$W$13),"")</f>
        <v/>
      </c>
      <c r="K36" s="60" t="str">
        <f ca="1">IF(AND('Mapa final'!$AG$14="Baja",'Mapa final'!$AI$14="Leve"),CONCATENATE("R1C",'Mapa final'!$W$14),"")</f>
        <v/>
      </c>
      <c r="L36" s="60" t="e">
        <f>IF(AND('Mapa final'!#REF!="Baja",'Mapa final'!#REF!="Leve"),CONCATENATE("R1C",'Mapa final'!#REF!),"")</f>
        <v>#REF!</v>
      </c>
      <c r="M36" s="60" t="e">
        <f>IF(AND('Mapa final'!#REF!="Baja",'Mapa final'!#REF!="Leve"),CONCATENATE("R1C",'Mapa final'!#REF!),"")</f>
        <v>#REF!</v>
      </c>
      <c r="N36" s="60" t="e">
        <f>IF(AND('Mapa final'!#REF!="Baja",'Mapa final'!#REF!="Leve"),CONCATENATE("R1C",'Mapa final'!#REF!),"")</f>
        <v>#REF!</v>
      </c>
      <c r="O36" s="61" t="e">
        <f>IF(AND('Mapa final'!#REF!="Baja",'Mapa final'!#REF!="Leve"),CONCATENATE("R1C",'Mapa final'!#REF!),"")</f>
        <v>#REF!</v>
      </c>
      <c r="P36" s="50" t="str">
        <f ca="1">IF(AND('Mapa final'!$AG$13="Baja",'Mapa final'!$AI$13="Menor"),CONCATENATE("R1C",'Mapa final'!$W$13),"")</f>
        <v/>
      </c>
      <c r="Q36" s="51" t="str">
        <f ca="1">IF(AND('Mapa final'!$AG$14="Baja",'Mapa final'!$AI$14="Menor"),CONCATENATE("R1C",'Mapa final'!$W$14),"")</f>
        <v>R1C2</v>
      </c>
      <c r="R36" s="51" t="e">
        <f>IF(AND('Mapa final'!#REF!="Baja",'Mapa final'!#REF!="Menor"),CONCATENATE("R1C",'Mapa final'!#REF!),"")</f>
        <v>#REF!</v>
      </c>
      <c r="S36" s="51" t="e">
        <f>IF(AND('Mapa final'!#REF!="Baja",'Mapa final'!#REF!="Menor"),CONCATENATE("R1C",'Mapa final'!#REF!),"")</f>
        <v>#REF!</v>
      </c>
      <c r="T36" s="51" t="e">
        <f>IF(AND('Mapa final'!#REF!="Baja",'Mapa final'!#REF!="Menor"),CONCATENATE("R1C",'Mapa final'!#REF!),"")</f>
        <v>#REF!</v>
      </c>
      <c r="U36" s="52" t="e">
        <f>IF(AND('Mapa final'!#REF!="Baja",'Mapa final'!#REF!="Menor"),CONCATENATE("R1C",'Mapa final'!#REF!),"")</f>
        <v>#REF!</v>
      </c>
      <c r="V36" s="50" t="str">
        <f ca="1">IF(AND('Mapa final'!$AG$13="Baja",'Mapa final'!$AI$13="Moderado"),CONCATENATE("R1C",'Mapa final'!$W$13),"")</f>
        <v/>
      </c>
      <c r="W36" s="51" t="str">
        <f ca="1">IF(AND('Mapa final'!$AG$14="Baja",'Mapa final'!$AI$14="Moderado"),CONCATENATE("R1C",'Mapa final'!$W$14),"")</f>
        <v/>
      </c>
      <c r="X36" s="51" t="e">
        <f>IF(AND('Mapa final'!#REF!="Baja",'Mapa final'!#REF!="Moderado"),CONCATENATE("R1C",'Mapa final'!#REF!),"")</f>
        <v>#REF!</v>
      </c>
      <c r="Y36" s="51" t="e">
        <f>IF(AND('Mapa final'!#REF!="Baja",'Mapa final'!#REF!="Moderado"),CONCATENATE("R1C",'Mapa final'!#REF!),"")</f>
        <v>#REF!</v>
      </c>
      <c r="Z36" s="51" t="e">
        <f>IF(AND('Mapa final'!#REF!="Baja",'Mapa final'!#REF!="Moderado"),CONCATENATE("R1C",'Mapa final'!#REF!),"")</f>
        <v>#REF!</v>
      </c>
      <c r="AA36" s="52" t="e">
        <f>IF(AND('Mapa final'!#REF!="Baja",'Mapa final'!#REF!="Moderado"),CONCATENATE("R1C",'Mapa final'!#REF!),"")</f>
        <v>#REF!</v>
      </c>
      <c r="AB36" s="32" t="str">
        <f ca="1">IF(AND('Mapa final'!$AG$13="Baja",'Mapa final'!$AI$13="Mayor"),CONCATENATE("R1C",'Mapa final'!$W$13),"")</f>
        <v/>
      </c>
      <c r="AC36" s="33" t="str">
        <f ca="1">IF(AND('Mapa final'!$AG$14="Baja",'Mapa final'!$AI$14="Mayor"),CONCATENATE("R1C",'Mapa final'!$W$14),"")</f>
        <v/>
      </c>
      <c r="AD36" s="33" t="e">
        <f>IF(AND('Mapa final'!#REF!="Baja",'Mapa final'!#REF!="Mayor"),CONCATENATE("R1C",'Mapa final'!#REF!),"")</f>
        <v>#REF!</v>
      </c>
      <c r="AE36" s="33" t="e">
        <f>IF(AND('Mapa final'!#REF!="Baja",'Mapa final'!#REF!="Mayor"),CONCATENATE("R1C",'Mapa final'!#REF!),"")</f>
        <v>#REF!</v>
      </c>
      <c r="AF36" s="33" t="e">
        <f>IF(AND('Mapa final'!#REF!="Baja",'Mapa final'!#REF!="Mayor"),CONCATENATE("R1C",'Mapa final'!#REF!),"")</f>
        <v>#REF!</v>
      </c>
      <c r="AG36" s="34" t="e">
        <f>IF(AND('Mapa final'!#REF!="Baja",'Mapa final'!#REF!="Mayor"),CONCATENATE("R1C",'Mapa final'!#REF!),"")</f>
        <v>#REF!</v>
      </c>
      <c r="AH36" s="35" t="str">
        <f ca="1">IF(AND('Mapa final'!$AG$13="Baja",'Mapa final'!$AI$13="Catastrófico"),CONCATENATE("R1C",'Mapa final'!$W$13),"")</f>
        <v/>
      </c>
      <c r="AI36" s="36" t="str">
        <f ca="1">IF(AND('Mapa final'!$AG$14="Baja",'Mapa final'!$AI$14="Catastrófico"),CONCATENATE("R1C",'Mapa final'!$W$14),"")</f>
        <v/>
      </c>
      <c r="AJ36" s="36" t="e">
        <f>IF(AND('Mapa final'!#REF!="Baja",'Mapa final'!#REF!="Catastrófico"),CONCATENATE("R1C",'Mapa final'!#REF!),"")</f>
        <v>#REF!</v>
      </c>
      <c r="AK36" s="36" t="e">
        <f>IF(AND('Mapa final'!#REF!="Baja",'Mapa final'!#REF!="Catastrófico"),CONCATENATE("R1C",'Mapa final'!#REF!),"")</f>
        <v>#REF!</v>
      </c>
      <c r="AL36" s="36" t="e">
        <f>IF(AND('Mapa final'!#REF!="Baja",'Mapa final'!#REF!="Catastrófico"),CONCATENATE("R1C",'Mapa final'!#REF!),"")</f>
        <v>#REF!</v>
      </c>
      <c r="AM36" s="37" t="e">
        <f>IF(AND('Mapa final'!#REF!="Baja",'Mapa final'!#REF!="Catastrófico"),CONCATENATE("R1C",'Mapa final'!#REF!),"")</f>
        <v>#REF!</v>
      </c>
      <c r="AN36" s="69"/>
      <c r="AO36" s="633" t="s">
        <v>136</v>
      </c>
      <c r="AP36" s="634"/>
      <c r="AQ36" s="634"/>
      <c r="AR36" s="634"/>
      <c r="AS36" s="634"/>
      <c r="AT36" s="635"/>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row>
    <row r="37" spans="1:80" ht="15" customHeight="1" x14ac:dyDescent="0.25">
      <c r="A37" s="69"/>
      <c r="B37" s="537"/>
      <c r="C37" s="537"/>
      <c r="D37" s="538"/>
      <c r="E37" s="615"/>
      <c r="F37" s="616"/>
      <c r="G37" s="616"/>
      <c r="H37" s="616"/>
      <c r="I37" s="616"/>
      <c r="J37" s="62" t="str">
        <f ca="1">IF(AND('Mapa final'!$AG$15="Baja",'Mapa final'!$AI$15="Leve"),CONCATENATE("R2C",'Mapa final'!$W$15),"")</f>
        <v/>
      </c>
      <c r="K37" s="63" t="str">
        <f ca="1">IF(AND('Mapa final'!$AG$16="Baja",'Mapa final'!$AI$16="Leve"),CONCATENATE("R2C",'Mapa final'!$W$16),"")</f>
        <v/>
      </c>
      <c r="L37" s="63" t="e">
        <f>IF(AND('Mapa final'!#REF!="Baja",'Mapa final'!#REF!="Leve"),CONCATENATE("R2C",'Mapa final'!#REF!),"")</f>
        <v>#REF!</v>
      </c>
      <c r="M37" s="63" t="e">
        <f>IF(AND('Mapa final'!#REF!="Baja",'Mapa final'!#REF!="Leve"),CONCATENATE("R2C",'Mapa final'!#REF!),"")</f>
        <v>#REF!</v>
      </c>
      <c r="N37" s="63" t="e">
        <f>IF(AND('Mapa final'!#REF!="Baja",'Mapa final'!#REF!="Leve"),CONCATENATE("R2C",'Mapa final'!#REF!),"")</f>
        <v>#REF!</v>
      </c>
      <c r="O37" s="64" t="e">
        <f>IF(AND('Mapa final'!#REF!="Baja",'Mapa final'!#REF!="Leve"),CONCATENATE("R2C",'Mapa final'!#REF!),"")</f>
        <v>#REF!</v>
      </c>
      <c r="P37" s="53" t="str">
        <f ca="1">IF(AND('Mapa final'!$AG$15="Baja",'Mapa final'!$AI$15="Menor"),CONCATENATE("R2C",'Mapa final'!$W$15),"")</f>
        <v/>
      </c>
      <c r="Q37" s="54" t="str">
        <f ca="1">IF(AND('Mapa final'!$AG$16="Baja",'Mapa final'!$AI$16="Menor"),CONCATENATE("R2C",'Mapa final'!$W$16),"")</f>
        <v/>
      </c>
      <c r="R37" s="54" t="e">
        <f>IF(AND('Mapa final'!#REF!="Baja",'Mapa final'!#REF!="Menor"),CONCATENATE("R2C",'Mapa final'!#REF!),"")</f>
        <v>#REF!</v>
      </c>
      <c r="S37" s="54" t="e">
        <f>IF(AND('Mapa final'!#REF!="Baja",'Mapa final'!#REF!="Menor"),CONCATENATE("R2C",'Mapa final'!#REF!),"")</f>
        <v>#REF!</v>
      </c>
      <c r="T37" s="54" t="e">
        <f>IF(AND('Mapa final'!#REF!="Baja",'Mapa final'!#REF!="Menor"),CONCATENATE("R2C",'Mapa final'!#REF!),"")</f>
        <v>#REF!</v>
      </c>
      <c r="U37" s="55" t="e">
        <f>IF(AND('Mapa final'!#REF!="Baja",'Mapa final'!#REF!="Menor"),CONCATENATE("R2C",'Mapa final'!#REF!),"")</f>
        <v>#REF!</v>
      </c>
      <c r="V37" s="53" t="str">
        <f ca="1">IF(AND('Mapa final'!$AG$15="Baja",'Mapa final'!$AI$15="Moderado"),CONCATENATE("R2C",'Mapa final'!$W$15),"")</f>
        <v>R2C1</v>
      </c>
      <c r="W37" s="54" t="str">
        <f ca="1">IF(AND('Mapa final'!$AG$16="Baja",'Mapa final'!$AI$16="Moderado"),CONCATENATE("R2C",'Mapa final'!$W$16),"")</f>
        <v>R2C2</v>
      </c>
      <c r="X37" s="54" t="e">
        <f>IF(AND('Mapa final'!#REF!="Baja",'Mapa final'!#REF!="Moderado"),CONCATENATE("R2C",'Mapa final'!#REF!),"")</f>
        <v>#REF!</v>
      </c>
      <c r="Y37" s="54" t="e">
        <f>IF(AND('Mapa final'!#REF!="Baja",'Mapa final'!#REF!="Moderado"),CONCATENATE("R2C",'Mapa final'!#REF!),"")</f>
        <v>#REF!</v>
      </c>
      <c r="Z37" s="54" t="e">
        <f>IF(AND('Mapa final'!#REF!="Baja",'Mapa final'!#REF!="Moderado"),CONCATENATE("R2C",'Mapa final'!#REF!),"")</f>
        <v>#REF!</v>
      </c>
      <c r="AA37" s="55" t="e">
        <f>IF(AND('Mapa final'!#REF!="Baja",'Mapa final'!#REF!="Moderado"),CONCATENATE("R2C",'Mapa final'!#REF!),"")</f>
        <v>#REF!</v>
      </c>
      <c r="AB37" s="38" t="str">
        <f ca="1">IF(AND('Mapa final'!$AG$15="Baja",'Mapa final'!$AI$15="Mayor"),CONCATENATE("R2C",'Mapa final'!$W$15),"")</f>
        <v/>
      </c>
      <c r="AC37" s="39" t="str">
        <f ca="1">IF(AND('Mapa final'!$AG$16="Baja",'Mapa final'!$AI$16="Mayor"),CONCATENATE("R2C",'Mapa final'!$W$16),"")</f>
        <v/>
      </c>
      <c r="AD37" s="39" t="e">
        <f>IF(AND('Mapa final'!#REF!="Baja",'Mapa final'!#REF!="Mayor"),CONCATENATE("R2C",'Mapa final'!#REF!),"")</f>
        <v>#REF!</v>
      </c>
      <c r="AE37" s="39" t="e">
        <f>IF(AND('Mapa final'!#REF!="Baja",'Mapa final'!#REF!="Mayor"),CONCATENATE("R2C",'Mapa final'!#REF!),"")</f>
        <v>#REF!</v>
      </c>
      <c r="AF37" s="39" t="e">
        <f>IF(AND('Mapa final'!#REF!="Baja",'Mapa final'!#REF!="Mayor"),CONCATENATE("R2C",'Mapa final'!#REF!),"")</f>
        <v>#REF!</v>
      </c>
      <c r="AG37" s="40" t="e">
        <f>IF(AND('Mapa final'!#REF!="Baja",'Mapa final'!#REF!="Mayor"),CONCATENATE("R2C",'Mapa final'!#REF!),"")</f>
        <v>#REF!</v>
      </c>
      <c r="AH37" s="41" t="str">
        <f ca="1">IF(AND('Mapa final'!$AG$15="Baja",'Mapa final'!$AI$15="Catastrófico"),CONCATENATE("R2C",'Mapa final'!$W$15),"")</f>
        <v/>
      </c>
      <c r="AI37" s="42" t="str">
        <f ca="1">IF(AND('Mapa final'!$AG$16="Baja",'Mapa final'!$AI$16="Catastrófico"),CONCATENATE("R2C",'Mapa final'!$W$16),"")</f>
        <v/>
      </c>
      <c r="AJ37" s="42" t="e">
        <f>IF(AND('Mapa final'!#REF!="Baja",'Mapa final'!#REF!="Catastrófico"),CONCATENATE("R2C",'Mapa final'!#REF!),"")</f>
        <v>#REF!</v>
      </c>
      <c r="AK37" s="42" t="e">
        <f>IF(AND('Mapa final'!#REF!="Baja",'Mapa final'!#REF!="Catastrófico"),CONCATENATE("R2C",'Mapa final'!#REF!),"")</f>
        <v>#REF!</v>
      </c>
      <c r="AL37" s="42" t="e">
        <f>IF(AND('Mapa final'!#REF!="Baja",'Mapa final'!#REF!="Catastrófico"),CONCATENATE("R2C",'Mapa final'!#REF!),"")</f>
        <v>#REF!</v>
      </c>
      <c r="AM37" s="43" t="e">
        <f>IF(AND('Mapa final'!#REF!="Baja",'Mapa final'!#REF!="Catastrófico"),CONCATENATE("R2C",'Mapa final'!#REF!),"")</f>
        <v>#REF!</v>
      </c>
      <c r="AN37" s="69"/>
      <c r="AO37" s="636"/>
      <c r="AP37" s="637"/>
      <c r="AQ37" s="637"/>
      <c r="AR37" s="637"/>
      <c r="AS37" s="637"/>
      <c r="AT37" s="638"/>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row>
    <row r="38" spans="1:80" ht="15" customHeight="1" x14ac:dyDescent="0.25">
      <c r="A38" s="69"/>
      <c r="B38" s="537"/>
      <c r="C38" s="537"/>
      <c r="D38" s="538"/>
      <c r="E38" s="618"/>
      <c r="F38" s="616"/>
      <c r="G38" s="616"/>
      <c r="H38" s="616"/>
      <c r="I38" s="616"/>
      <c r="J38" s="62" t="str">
        <f ca="1">IF(AND('Mapa final'!$AG$17="Baja",'Mapa final'!$AI$17="Leve"),CONCATENATE("R3C",'Mapa final'!$W$17),"")</f>
        <v/>
      </c>
      <c r="K38" s="63" t="str">
        <f ca="1">IF(AND('Mapa final'!$AG$18="Baja",'Mapa final'!$AI$18="Leve"),CONCATENATE("R3C",'Mapa final'!$W$18),"")</f>
        <v/>
      </c>
      <c r="L38" s="63" t="str">
        <f ca="1">IF(AND('Mapa final'!$AG$19="Baja",'Mapa final'!$AI$19="Leve"),CONCATENATE("R3C",'Mapa final'!$W$19),"")</f>
        <v/>
      </c>
      <c r="M38" s="63" t="e">
        <f>IF(AND('Mapa final'!#REF!="Baja",'Mapa final'!#REF!="Leve"),CONCATENATE("R3C",'Mapa final'!#REF!),"")</f>
        <v>#REF!</v>
      </c>
      <c r="N38" s="63" t="e">
        <f>IF(AND('Mapa final'!#REF!="Baja",'Mapa final'!#REF!="Leve"),CONCATENATE("R3C",'Mapa final'!#REF!),"")</f>
        <v>#REF!</v>
      </c>
      <c r="O38" s="64" t="e">
        <f>IF(AND('Mapa final'!#REF!="Baja",'Mapa final'!#REF!="Leve"),CONCATENATE("R3C",'Mapa final'!#REF!),"")</f>
        <v>#REF!</v>
      </c>
      <c r="P38" s="53" t="str">
        <f ca="1">IF(AND('Mapa final'!$AG$17="Baja",'Mapa final'!$AI$17="Menor"),CONCATENATE("R3C",'Mapa final'!$W$17),"")</f>
        <v/>
      </c>
      <c r="Q38" s="54" t="str">
        <f ca="1">IF(AND('Mapa final'!$AG$18="Baja",'Mapa final'!$AI$18="Menor"),CONCATENATE("R3C",'Mapa final'!$W$18),"")</f>
        <v/>
      </c>
      <c r="R38" s="54" t="str">
        <f ca="1">IF(AND('Mapa final'!$AG$19="Baja",'Mapa final'!$AI$19="Menor"),CONCATENATE("R3C",'Mapa final'!$W$19),"")</f>
        <v/>
      </c>
      <c r="S38" s="54" t="e">
        <f>IF(AND('Mapa final'!#REF!="Baja",'Mapa final'!#REF!="Menor"),CONCATENATE("R3C",'Mapa final'!#REF!),"")</f>
        <v>#REF!</v>
      </c>
      <c r="T38" s="54" t="e">
        <f>IF(AND('Mapa final'!#REF!="Baja",'Mapa final'!#REF!="Menor"),CONCATENATE("R3C",'Mapa final'!#REF!),"")</f>
        <v>#REF!</v>
      </c>
      <c r="U38" s="55" t="e">
        <f>IF(AND('Mapa final'!#REF!="Baja",'Mapa final'!#REF!="Menor"),CONCATENATE("R3C",'Mapa final'!#REF!),"")</f>
        <v>#REF!</v>
      </c>
      <c r="V38" s="53" t="str">
        <f ca="1">IF(AND('Mapa final'!$AG$17="Baja",'Mapa final'!$AI$17="Moderado"),CONCATENATE("R3C",'Mapa final'!$W$17),"")</f>
        <v/>
      </c>
      <c r="W38" s="54" t="str">
        <f ca="1">IF(AND('Mapa final'!$AG$18="Baja",'Mapa final'!$AI$18="Moderado"),CONCATENATE("R3C",'Mapa final'!$W$18),"")</f>
        <v/>
      </c>
      <c r="X38" s="54" t="str">
        <f ca="1">IF(AND('Mapa final'!$AG$19="Baja",'Mapa final'!$AI$19="Moderado"),CONCATENATE("R3C",'Mapa final'!$W$19),"")</f>
        <v/>
      </c>
      <c r="Y38" s="54" t="e">
        <f>IF(AND('Mapa final'!#REF!="Baja",'Mapa final'!#REF!="Moderado"),CONCATENATE("R3C",'Mapa final'!#REF!),"")</f>
        <v>#REF!</v>
      </c>
      <c r="Z38" s="54" t="e">
        <f>IF(AND('Mapa final'!#REF!="Baja",'Mapa final'!#REF!="Moderado"),CONCATENATE("R3C",'Mapa final'!#REF!),"")</f>
        <v>#REF!</v>
      </c>
      <c r="AA38" s="55" t="e">
        <f>IF(AND('Mapa final'!#REF!="Baja",'Mapa final'!#REF!="Moderado"),CONCATENATE("R3C",'Mapa final'!#REF!),"")</f>
        <v>#REF!</v>
      </c>
      <c r="AB38" s="38" t="str">
        <f ca="1">IF(AND('Mapa final'!$AG$17="Baja",'Mapa final'!$AI$17="Mayor"),CONCATENATE("R3C",'Mapa final'!$W$17),"")</f>
        <v/>
      </c>
      <c r="AC38" s="39" t="str">
        <f ca="1">IF(AND('Mapa final'!$AG$18="Baja",'Mapa final'!$AI$18="Mayor"),CONCATENATE("R3C",'Mapa final'!$W$18),"")</f>
        <v/>
      </c>
      <c r="AD38" s="39" t="str">
        <f ca="1">IF(AND('Mapa final'!$AG$19="Baja",'Mapa final'!$AI$19="Mayor"),CONCATENATE("R3C",'Mapa final'!$W$19),"")</f>
        <v/>
      </c>
      <c r="AE38" s="39" t="e">
        <f>IF(AND('Mapa final'!#REF!="Baja",'Mapa final'!#REF!="Mayor"),CONCATENATE("R3C",'Mapa final'!#REF!),"")</f>
        <v>#REF!</v>
      </c>
      <c r="AF38" s="39" t="e">
        <f>IF(AND('Mapa final'!#REF!="Baja",'Mapa final'!#REF!="Mayor"),CONCATENATE("R3C",'Mapa final'!#REF!),"")</f>
        <v>#REF!</v>
      </c>
      <c r="AG38" s="40" t="e">
        <f>IF(AND('Mapa final'!#REF!="Baja",'Mapa final'!#REF!="Mayor"),CONCATENATE("R3C",'Mapa final'!#REF!),"")</f>
        <v>#REF!</v>
      </c>
      <c r="AH38" s="41" t="str">
        <f ca="1">IF(AND('Mapa final'!$AG$17="Baja",'Mapa final'!$AI$17="Catastrófico"),CONCATENATE("R3C",'Mapa final'!$W$17),"")</f>
        <v/>
      </c>
      <c r="AI38" s="42" t="str">
        <f ca="1">IF(AND('Mapa final'!$AG$18="Baja",'Mapa final'!$AI$18="Catastrófico"),CONCATENATE("R3C",'Mapa final'!$W$18),"")</f>
        <v/>
      </c>
      <c r="AJ38" s="42" t="str">
        <f ca="1">IF(AND('Mapa final'!$AG$19="Baja",'Mapa final'!$AI$19="Catastrófico"),CONCATENATE("R3C",'Mapa final'!$W$19),"")</f>
        <v/>
      </c>
      <c r="AK38" s="42" t="e">
        <f>IF(AND('Mapa final'!#REF!="Baja",'Mapa final'!#REF!="Catastrófico"),CONCATENATE("R3C",'Mapa final'!#REF!),"")</f>
        <v>#REF!</v>
      </c>
      <c r="AL38" s="42" t="e">
        <f>IF(AND('Mapa final'!#REF!="Baja",'Mapa final'!#REF!="Catastrófico"),CONCATENATE("R3C",'Mapa final'!#REF!),"")</f>
        <v>#REF!</v>
      </c>
      <c r="AM38" s="43" t="e">
        <f>IF(AND('Mapa final'!#REF!="Baja",'Mapa final'!#REF!="Catastrófico"),CONCATENATE("R3C",'Mapa final'!#REF!),"")</f>
        <v>#REF!</v>
      </c>
      <c r="AN38" s="69"/>
      <c r="AO38" s="636"/>
      <c r="AP38" s="637"/>
      <c r="AQ38" s="637"/>
      <c r="AR38" s="637"/>
      <c r="AS38" s="637"/>
      <c r="AT38" s="638"/>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row>
    <row r="39" spans="1:80" ht="15" customHeight="1" x14ac:dyDescent="0.25">
      <c r="A39" s="69"/>
      <c r="B39" s="537"/>
      <c r="C39" s="537"/>
      <c r="D39" s="538"/>
      <c r="E39" s="618"/>
      <c r="F39" s="616"/>
      <c r="G39" s="616"/>
      <c r="H39" s="616"/>
      <c r="I39" s="616"/>
      <c r="J39" s="62" t="str">
        <f ca="1">IF(AND('Mapa final'!$AG$20="Baja",'Mapa final'!$AI$20="Leve"),CONCATENATE("R4C",'Mapa final'!$W$20),"")</f>
        <v/>
      </c>
      <c r="K39" s="63" t="str">
        <f ca="1">IF(AND('Mapa final'!$AG$21="Baja",'Mapa final'!$AI$21="Leve"),CONCATENATE("R4C",'Mapa final'!$W$21),"")</f>
        <v/>
      </c>
      <c r="L39" s="63" t="e">
        <f>IF(AND('Mapa final'!#REF!="Baja",'Mapa final'!#REF!="Leve"),CONCATENATE("R4C",'Mapa final'!#REF!),"")</f>
        <v>#REF!</v>
      </c>
      <c r="M39" s="63" t="e">
        <f>IF(AND('Mapa final'!#REF!="Baja",'Mapa final'!#REF!="Leve"),CONCATENATE("R4C",'Mapa final'!#REF!),"")</f>
        <v>#REF!</v>
      </c>
      <c r="N39" s="63" t="e">
        <f>IF(AND('Mapa final'!#REF!="Baja",'Mapa final'!#REF!="Leve"),CONCATENATE("R4C",'Mapa final'!#REF!),"")</f>
        <v>#REF!</v>
      </c>
      <c r="O39" s="64" t="e">
        <f>IF(AND('Mapa final'!#REF!="Baja",'Mapa final'!#REF!="Leve"),CONCATENATE("R4C",'Mapa final'!#REF!),"")</f>
        <v>#REF!</v>
      </c>
      <c r="P39" s="53" t="str">
        <f ca="1">IF(AND('Mapa final'!$AG$20="Baja",'Mapa final'!$AI$20="Menor"),CONCATENATE("R4C",'Mapa final'!$W$20),"")</f>
        <v/>
      </c>
      <c r="Q39" s="54" t="str">
        <f ca="1">IF(AND('Mapa final'!$AG$21="Baja",'Mapa final'!$AI$21="Menor"),CONCATENATE("R4C",'Mapa final'!$W$21),"")</f>
        <v/>
      </c>
      <c r="R39" s="54" t="e">
        <f>IF(AND('Mapa final'!#REF!="Baja",'Mapa final'!#REF!="Menor"),CONCATENATE("R4C",'Mapa final'!#REF!),"")</f>
        <v>#REF!</v>
      </c>
      <c r="S39" s="54" t="e">
        <f>IF(AND('Mapa final'!#REF!="Baja",'Mapa final'!#REF!="Menor"),CONCATENATE("R4C",'Mapa final'!#REF!),"")</f>
        <v>#REF!</v>
      </c>
      <c r="T39" s="54" t="e">
        <f>IF(AND('Mapa final'!#REF!="Baja",'Mapa final'!#REF!="Menor"),CONCATENATE("R4C",'Mapa final'!#REF!),"")</f>
        <v>#REF!</v>
      </c>
      <c r="U39" s="55" t="e">
        <f>IF(AND('Mapa final'!#REF!="Baja",'Mapa final'!#REF!="Menor"),CONCATENATE("R4C",'Mapa final'!#REF!),"")</f>
        <v>#REF!</v>
      </c>
      <c r="V39" s="53" t="str">
        <f ca="1">IF(AND('Mapa final'!$AG$20="Baja",'Mapa final'!$AI$20="Moderado"),CONCATENATE("R4C",'Mapa final'!$W$20),"")</f>
        <v>R4C1</v>
      </c>
      <c r="W39" s="54" t="str">
        <f ca="1">IF(AND('Mapa final'!$AG$21="Baja",'Mapa final'!$AI$21="Moderado"),CONCATENATE("R4C",'Mapa final'!$W$21),"")</f>
        <v/>
      </c>
      <c r="X39" s="54" t="e">
        <f>IF(AND('Mapa final'!#REF!="Baja",'Mapa final'!#REF!="Moderado"),CONCATENATE("R4C",'Mapa final'!#REF!),"")</f>
        <v>#REF!</v>
      </c>
      <c r="Y39" s="54" t="e">
        <f>IF(AND('Mapa final'!#REF!="Baja",'Mapa final'!#REF!="Moderado"),CONCATENATE("R4C",'Mapa final'!#REF!),"")</f>
        <v>#REF!</v>
      </c>
      <c r="Z39" s="54" t="e">
        <f>IF(AND('Mapa final'!#REF!="Baja",'Mapa final'!#REF!="Moderado"),CONCATENATE("R4C",'Mapa final'!#REF!),"")</f>
        <v>#REF!</v>
      </c>
      <c r="AA39" s="55" t="e">
        <f>IF(AND('Mapa final'!#REF!="Baja",'Mapa final'!#REF!="Moderado"),CONCATENATE("R4C",'Mapa final'!#REF!),"")</f>
        <v>#REF!</v>
      </c>
      <c r="AB39" s="38" t="str">
        <f ca="1">IF(AND('Mapa final'!$AG$20="Baja",'Mapa final'!$AI$20="Mayor"),CONCATENATE("R4C",'Mapa final'!$W$20),"")</f>
        <v/>
      </c>
      <c r="AC39" s="39" t="str">
        <f ca="1">IF(AND('Mapa final'!$AG$21="Baja",'Mapa final'!$AI$21="Mayor"),CONCATENATE("R4C",'Mapa final'!$W$21),"")</f>
        <v/>
      </c>
      <c r="AD39" s="39" t="e">
        <f>IF(AND('Mapa final'!#REF!="Baja",'Mapa final'!#REF!="Mayor"),CONCATENATE("R4C",'Mapa final'!#REF!),"")</f>
        <v>#REF!</v>
      </c>
      <c r="AE39" s="39" t="e">
        <f>IF(AND('Mapa final'!#REF!="Baja",'Mapa final'!#REF!="Mayor"),CONCATENATE("R4C",'Mapa final'!#REF!),"")</f>
        <v>#REF!</v>
      </c>
      <c r="AF39" s="39" t="e">
        <f>IF(AND('Mapa final'!#REF!="Baja",'Mapa final'!#REF!="Mayor"),CONCATENATE("R4C",'Mapa final'!#REF!),"")</f>
        <v>#REF!</v>
      </c>
      <c r="AG39" s="40" t="e">
        <f>IF(AND('Mapa final'!#REF!="Baja",'Mapa final'!#REF!="Mayor"),CONCATENATE("R4C",'Mapa final'!#REF!),"")</f>
        <v>#REF!</v>
      </c>
      <c r="AH39" s="41" t="str">
        <f ca="1">IF(AND('Mapa final'!$AG$20="Baja",'Mapa final'!$AI$20="Catastrófico"),CONCATENATE("R4C",'Mapa final'!$W$20),"")</f>
        <v/>
      </c>
      <c r="AI39" s="42" t="str">
        <f ca="1">IF(AND('Mapa final'!$AG$21="Baja",'Mapa final'!$AI$21="Catastrófico"),CONCATENATE("R4C",'Mapa final'!$W$21),"")</f>
        <v/>
      </c>
      <c r="AJ39" s="42" t="e">
        <f>IF(AND('Mapa final'!#REF!="Baja",'Mapa final'!#REF!="Catastrófico"),CONCATENATE("R4C",'Mapa final'!#REF!),"")</f>
        <v>#REF!</v>
      </c>
      <c r="AK39" s="42" t="e">
        <f>IF(AND('Mapa final'!#REF!="Baja",'Mapa final'!#REF!="Catastrófico"),CONCATENATE("R4C",'Mapa final'!#REF!),"")</f>
        <v>#REF!</v>
      </c>
      <c r="AL39" s="42" t="e">
        <f>IF(AND('Mapa final'!#REF!="Baja",'Mapa final'!#REF!="Catastrófico"),CONCATENATE("R4C",'Mapa final'!#REF!),"")</f>
        <v>#REF!</v>
      </c>
      <c r="AM39" s="43" t="e">
        <f>IF(AND('Mapa final'!#REF!="Baja",'Mapa final'!#REF!="Catastrófico"),CONCATENATE("R4C",'Mapa final'!#REF!),"")</f>
        <v>#REF!</v>
      </c>
      <c r="AN39" s="69"/>
      <c r="AO39" s="636"/>
      <c r="AP39" s="637"/>
      <c r="AQ39" s="637"/>
      <c r="AR39" s="637"/>
      <c r="AS39" s="637"/>
      <c r="AT39" s="638"/>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row>
    <row r="40" spans="1:80" ht="15" customHeight="1" x14ac:dyDescent="0.25">
      <c r="A40" s="69"/>
      <c r="B40" s="537"/>
      <c r="C40" s="537"/>
      <c r="D40" s="538"/>
      <c r="E40" s="618"/>
      <c r="F40" s="616"/>
      <c r="G40" s="616"/>
      <c r="H40" s="616"/>
      <c r="I40" s="616"/>
      <c r="J40" s="62" t="str">
        <f ca="1">IF(AND('Mapa final'!$AG$22="Baja",'Mapa final'!$AI$22="Leve"),CONCATENATE("R5C",'Mapa final'!$W$22),"")</f>
        <v/>
      </c>
      <c r="K40" s="63" t="str">
        <f ca="1">IF(AND('Mapa final'!$AG$23="Baja",'Mapa final'!$AI$23="Leve"),CONCATENATE("R5C",'Mapa final'!$W$23),"")</f>
        <v/>
      </c>
      <c r="L40" s="63" t="str">
        <f ca="1">IF(AND('Mapa final'!$AG$24="Baja",'Mapa final'!$AI$24="Leve"),CONCATENATE("R5C",'Mapa final'!$W$24),"")</f>
        <v/>
      </c>
      <c r="M40" s="63" t="e">
        <f>IF(AND('Mapa final'!#REF!="Baja",'Mapa final'!#REF!="Leve"),CONCATENATE("R5C",'Mapa final'!#REF!),"")</f>
        <v>#REF!</v>
      </c>
      <c r="N40" s="63" t="e">
        <f>IF(AND('Mapa final'!#REF!="Baja",'Mapa final'!#REF!="Leve"),CONCATENATE("R5C",'Mapa final'!#REF!),"")</f>
        <v>#REF!</v>
      </c>
      <c r="O40" s="64" t="e">
        <f>IF(AND('Mapa final'!#REF!="Baja",'Mapa final'!#REF!="Leve"),CONCATENATE("R5C",'Mapa final'!#REF!),"")</f>
        <v>#REF!</v>
      </c>
      <c r="P40" s="53" t="str">
        <f ca="1">IF(AND('Mapa final'!$AG$22="Baja",'Mapa final'!$AI$22="Menor"),CONCATENATE("R5C",'Mapa final'!$W$22),"")</f>
        <v/>
      </c>
      <c r="Q40" s="54" t="str">
        <f ca="1">IF(AND('Mapa final'!$AG$23="Baja",'Mapa final'!$AI$23="Menor"),CONCATENATE("R5C",'Mapa final'!$W$23),"")</f>
        <v/>
      </c>
      <c r="R40" s="54" t="str">
        <f ca="1">IF(AND('Mapa final'!$AG$24="Baja",'Mapa final'!$AI$24="Menor"),CONCATENATE("R5C",'Mapa final'!$W$24),"")</f>
        <v/>
      </c>
      <c r="S40" s="54" t="e">
        <f>IF(AND('Mapa final'!#REF!="Baja",'Mapa final'!#REF!="Menor"),CONCATENATE("R5C",'Mapa final'!#REF!),"")</f>
        <v>#REF!</v>
      </c>
      <c r="T40" s="54" t="e">
        <f>IF(AND('Mapa final'!#REF!="Baja",'Mapa final'!#REF!="Menor"),CONCATENATE("R5C",'Mapa final'!#REF!),"")</f>
        <v>#REF!</v>
      </c>
      <c r="U40" s="55" t="e">
        <f>IF(AND('Mapa final'!#REF!="Baja",'Mapa final'!#REF!="Menor"),CONCATENATE("R5C",'Mapa final'!#REF!),"")</f>
        <v>#REF!</v>
      </c>
      <c r="V40" s="53" t="str">
        <f ca="1">IF(AND('Mapa final'!$AG$22="Baja",'Mapa final'!$AI$22="Moderado"),CONCATENATE("R5C",'Mapa final'!$W$22),"")</f>
        <v/>
      </c>
      <c r="W40" s="54" t="str">
        <f ca="1">IF(AND('Mapa final'!$AG$23="Baja",'Mapa final'!$AI$23="Moderado"),CONCATENATE("R5C",'Mapa final'!$W$23),"")</f>
        <v/>
      </c>
      <c r="X40" s="54" t="str">
        <f ca="1">IF(AND('Mapa final'!$AG$24="Baja",'Mapa final'!$AI$24="Moderado"),CONCATENATE("R5C",'Mapa final'!$W$24),"")</f>
        <v/>
      </c>
      <c r="Y40" s="54" t="e">
        <f>IF(AND('Mapa final'!#REF!="Baja",'Mapa final'!#REF!="Moderado"),CONCATENATE("R5C",'Mapa final'!#REF!),"")</f>
        <v>#REF!</v>
      </c>
      <c r="Z40" s="54" t="e">
        <f>IF(AND('Mapa final'!#REF!="Baja",'Mapa final'!#REF!="Moderado"),CONCATENATE("R5C",'Mapa final'!#REF!),"")</f>
        <v>#REF!</v>
      </c>
      <c r="AA40" s="55" t="e">
        <f>IF(AND('Mapa final'!#REF!="Baja",'Mapa final'!#REF!="Moderado"),CONCATENATE("R5C",'Mapa final'!#REF!),"")</f>
        <v>#REF!</v>
      </c>
      <c r="AB40" s="38" t="str">
        <f ca="1">IF(AND('Mapa final'!$AG$22="Baja",'Mapa final'!$AI$22="Mayor"),CONCATENATE("R5C",'Mapa final'!$W$22),"")</f>
        <v/>
      </c>
      <c r="AC40" s="39" t="str">
        <f ca="1">IF(AND('Mapa final'!$AG$23="Baja",'Mapa final'!$AI$23="Mayor"),CONCATENATE("R5C",'Mapa final'!$W$23),"")</f>
        <v/>
      </c>
      <c r="AD40" s="39" t="str">
        <f ca="1">IF(AND('Mapa final'!$AG$24="Baja",'Mapa final'!$AI$24="Mayor"),CONCATENATE("R5C",'Mapa final'!$W$24),"")</f>
        <v/>
      </c>
      <c r="AE40" s="39" t="e">
        <f>IF(AND('Mapa final'!#REF!="Baja",'Mapa final'!#REF!="Mayor"),CONCATENATE("R5C",'Mapa final'!#REF!),"")</f>
        <v>#REF!</v>
      </c>
      <c r="AF40" s="39" t="e">
        <f>IF(AND('Mapa final'!#REF!="Baja",'Mapa final'!#REF!="Mayor"),CONCATENATE("R5C",'Mapa final'!#REF!),"")</f>
        <v>#REF!</v>
      </c>
      <c r="AG40" s="40" t="e">
        <f>IF(AND('Mapa final'!#REF!="Baja",'Mapa final'!#REF!="Mayor"),CONCATENATE("R5C",'Mapa final'!#REF!),"")</f>
        <v>#REF!</v>
      </c>
      <c r="AH40" s="41" t="str">
        <f ca="1">IF(AND('Mapa final'!$AG$22="Baja",'Mapa final'!$AI$22="Catastrófico"),CONCATENATE("R5C",'Mapa final'!$W$22),"")</f>
        <v/>
      </c>
      <c r="AI40" s="42" t="str">
        <f ca="1">IF(AND('Mapa final'!$AG$23="Baja",'Mapa final'!$AI$23="Catastrófico"),CONCATENATE("R5C",'Mapa final'!$W$23),"")</f>
        <v/>
      </c>
      <c r="AJ40" s="42" t="str">
        <f ca="1">IF(AND('Mapa final'!$AG$24="Baja",'Mapa final'!$AI$24="Catastrófico"),CONCATENATE("R5C",'Mapa final'!$W$24),"")</f>
        <v/>
      </c>
      <c r="AK40" s="42" t="e">
        <f>IF(AND('Mapa final'!#REF!="Baja",'Mapa final'!#REF!="Catastrófico"),CONCATENATE("R5C",'Mapa final'!#REF!),"")</f>
        <v>#REF!</v>
      </c>
      <c r="AL40" s="42" t="e">
        <f>IF(AND('Mapa final'!#REF!="Baja",'Mapa final'!#REF!="Catastrófico"),CONCATENATE("R5C",'Mapa final'!#REF!),"")</f>
        <v>#REF!</v>
      </c>
      <c r="AM40" s="43" t="e">
        <f>IF(AND('Mapa final'!#REF!="Baja",'Mapa final'!#REF!="Catastrófico"),CONCATENATE("R5C",'Mapa final'!#REF!),"")</f>
        <v>#REF!</v>
      </c>
      <c r="AN40" s="69"/>
      <c r="AO40" s="636"/>
      <c r="AP40" s="637"/>
      <c r="AQ40" s="637"/>
      <c r="AR40" s="637"/>
      <c r="AS40" s="637"/>
      <c r="AT40" s="638"/>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row>
    <row r="41" spans="1:80" ht="15" customHeight="1" x14ac:dyDescent="0.25">
      <c r="A41" s="69"/>
      <c r="B41" s="537"/>
      <c r="C41" s="537"/>
      <c r="D41" s="538"/>
      <c r="E41" s="618"/>
      <c r="F41" s="616"/>
      <c r="G41" s="616"/>
      <c r="H41" s="616"/>
      <c r="I41" s="616"/>
      <c r="J41" s="62" t="str">
        <f ca="1">IF(AND('Mapa final'!$AG$25="Baja",'Mapa final'!$AI$25="Leve"),CONCATENATE("R6C",'Mapa final'!$W$25),"")</f>
        <v/>
      </c>
      <c r="K41" s="63" t="str">
        <f ca="1">IF(AND('Mapa final'!$AG$26="Baja",'Mapa final'!$AI$26="Leve"),CONCATENATE("R6C",'Mapa final'!$W$26),"")</f>
        <v/>
      </c>
      <c r="L41" s="63" t="e">
        <f>IF(AND('Mapa final'!#REF!="Baja",'Mapa final'!#REF!="Leve"),CONCATENATE("R6C",'Mapa final'!#REF!),"")</f>
        <v>#REF!</v>
      </c>
      <c r="M41" s="63" t="e">
        <f>IF(AND('Mapa final'!#REF!="Baja",'Mapa final'!#REF!="Leve"),CONCATENATE("R6C",'Mapa final'!#REF!),"")</f>
        <v>#REF!</v>
      </c>
      <c r="N41" s="63" t="e">
        <f>IF(AND('Mapa final'!#REF!="Baja",'Mapa final'!#REF!="Leve"),CONCATENATE("R6C",'Mapa final'!#REF!),"")</f>
        <v>#REF!</v>
      </c>
      <c r="O41" s="64" t="e">
        <f>IF(AND('Mapa final'!#REF!="Baja",'Mapa final'!#REF!="Leve"),CONCATENATE("R6C",'Mapa final'!#REF!),"")</f>
        <v>#REF!</v>
      </c>
      <c r="P41" s="53" t="str">
        <f ca="1">IF(AND('Mapa final'!$AG$25="Baja",'Mapa final'!$AI$25="Menor"),CONCATENATE("R6C",'Mapa final'!$W$25),"")</f>
        <v/>
      </c>
      <c r="Q41" s="54" t="str">
        <f ca="1">IF(AND('Mapa final'!$AG$26="Baja",'Mapa final'!$AI$26="Menor"),CONCATENATE("R6C",'Mapa final'!$W$26),"")</f>
        <v/>
      </c>
      <c r="R41" s="54" t="e">
        <f>IF(AND('Mapa final'!#REF!="Baja",'Mapa final'!#REF!="Menor"),CONCATENATE("R6C",'Mapa final'!#REF!),"")</f>
        <v>#REF!</v>
      </c>
      <c r="S41" s="54" t="e">
        <f>IF(AND('Mapa final'!#REF!="Baja",'Mapa final'!#REF!="Menor"),CONCATENATE("R6C",'Mapa final'!#REF!),"")</f>
        <v>#REF!</v>
      </c>
      <c r="T41" s="54" t="e">
        <f>IF(AND('Mapa final'!#REF!="Baja",'Mapa final'!#REF!="Menor"),CONCATENATE("R6C",'Mapa final'!#REF!),"")</f>
        <v>#REF!</v>
      </c>
      <c r="U41" s="55" t="e">
        <f>IF(AND('Mapa final'!#REF!="Baja",'Mapa final'!#REF!="Menor"),CONCATENATE("R6C",'Mapa final'!#REF!),"")</f>
        <v>#REF!</v>
      </c>
      <c r="V41" s="53" t="str">
        <f ca="1">IF(AND('Mapa final'!$AG$25="Baja",'Mapa final'!$AI$25="Moderado"),CONCATENATE("R6C",'Mapa final'!$W$25),"")</f>
        <v>R6C1</v>
      </c>
      <c r="W41" s="54" t="str">
        <f ca="1">IF(AND('Mapa final'!$AG$26="Baja",'Mapa final'!$AI$26="Moderado"),CONCATENATE("R6C",'Mapa final'!$W$26),"")</f>
        <v>R6C2</v>
      </c>
      <c r="X41" s="54" t="e">
        <f>IF(AND('Mapa final'!#REF!="Baja",'Mapa final'!#REF!="Moderado"),CONCATENATE("R6C",'Mapa final'!#REF!),"")</f>
        <v>#REF!</v>
      </c>
      <c r="Y41" s="54" t="e">
        <f>IF(AND('Mapa final'!#REF!="Baja",'Mapa final'!#REF!="Moderado"),CONCATENATE("R6C",'Mapa final'!#REF!),"")</f>
        <v>#REF!</v>
      </c>
      <c r="Z41" s="54" t="e">
        <f>IF(AND('Mapa final'!#REF!="Baja",'Mapa final'!#REF!="Moderado"),CONCATENATE("R6C",'Mapa final'!#REF!),"")</f>
        <v>#REF!</v>
      </c>
      <c r="AA41" s="55" t="e">
        <f>IF(AND('Mapa final'!#REF!="Baja",'Mapa final'!#REF!="Moderado"),CONCATENATE("R6C",'Mapa final'!#REF!),"")</f>
        <v>#REF!</v>
      </c>
      <c r="AB41" s="38" t="str">
        <f ca="1">IF(AND('Mapa final'!$AG$25="Baja",'Mapa final'!$AI$25="Mayor"),CONCATENATE("R6C",'Mapa final'!$W$25),"")</f>
        <v/>
      </c>
      <c r="AC41" s="39" t="str">
        <f ca="1">IF(AND('Mapa final'!$AG$26="Baja",'Mapa final'!$AI$26="Mayor"),CONCATENATE("R6C",'Mapa final'!$W$26),"")</f>
        <v/>
      </c>
      <c r="AD41" s="39" t="e">
        <f>IF(AND('Mapa final'!#REF!="Baja",'Mapa final'!#REF!="Mayor"),CONCATENATE("R6C",'Mapa final'!#REF!),"")</f>
        <v>#REF!</v>
      </c>
      <c r="AE41" s="39" t="e">
        <f>IF(AND('Mapa final'!#REF!="Baja",'Mapa final'!#REF!="Mayor"),CONCATENATE("R6C",'Mapa final'!#REF!),"")</f>
        <v>#REF!</v>
      </c>
      <c r="AF41" s="39" t="e">
        <f>IF(AND('Mapa final'!#REF!="Baja",'Mapa final'!#REF!="Mayor"),CONCATENATE("R6C",'Mapa final'!#REF!),"")</f>
        <v>#REF!</v>
      </c>
      <c r="AG41" s="40" t="e">
        <f>IF(AND('Mapa final'!#REF!="Baja",'Mapa final'!#REF!="Mayor"),CONCATENATE("R6C",'Mapa final'!#REF!),"")</f>
        <v>#REF!</v>
      </c>
      <c r="AH41" s="41" t="str">
        <f ca="1">IF(AND('Mapa final'!$AG$25="Baja",'Mapa final'!$AI$25="Catastrófico"),CONCATENATE("R6C",'Mapa final'!$W$25),"")</f>
        <v/>
      </c>
      <c r="AI41" s="42" t="str">
        <f ca="1">IF(AND('Mapa final'!$AG$26="Baja",'Mapa final'!$AI$26="Catastrófico"),CONCATENATE("R6C",'Mapa final'!$W$26),"")</f>
        <v/>
      </c>
      <c r="AJ41" s="42" t="e">
        <f>IF(AND('Mapa final'!#REF!="Baja",'Mapa final'!#REF!="Catastrófico"),CONCATENATE("R6C",'Mapa final'!#REF!),"")</f>
        <v>#REF!</v>
      </c>
      <c r="AK41" s="42" t="e">
        <f>IF(AND('Mapa final'!#REF!="Baja",'Mapa final'!#REF!="Catastrófico"),CONCATENATE("R6C",'Mapa final'!#REF!),"")</f>
        <v>#REF!</v>
      </c>
      <c r="AL41" s="42" t="e">
        <f>IF(AND('Mapa final'!#REF!="Baja",'Mapa final'!#REF!="Catastrófico"),CONCATENATE("R6C",'Mapa final'!#REF!),"")</f>
        <v>#REF!</v>
      </c>
      <c r="AM41" s="43" t="e">
        <f>IF(AND('Mapa final'!#REF!="Baja",'Mapa final'!#REF!="Catastrófico"),CONCATENATE("R6C",'Mapa final'!#REF!),"")</f>
        <v>#REF!</v>
      </c>
      <c r="AN41" s="69"/>
      <c r="AO41" s="636"/>
      <c r="AP41" s="637"/>
      <c r="AQ41" s="637"/>
      <c r="AR41" s="637"/>
      <c r="AS41" s="637"/>
      <c r="AT41" s="638"/>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row>
    <row r="42" spans="1:80" ht="15" customHeight="1" x14ac:dyDescent="0.25">
      <c r="A42" s="69"/>
      <c r="B42" s="537"/>
      <c r="C42" s="537"/>
      <c r="D42" s="538"/>
      <c r="E42" s="618"/>
      <c r="F42" s="616"/>
      <c r="G42" s="616"/>
      <c r="H42" s="616"/>
      <c r="I42" s="616"/>
      <c r="J42" s="62" t="str">
        <f ca="1">IF(AND('Mapa final'!$AG$27="Baja",'Mapa final'!$AI$27="Leve"),CONCATENATE("R7C",'Mapa final'!$W$27),"")</f>
        <v/>
      </c>
      <c r="K42" s="63" t="str">
        <f ca="1">IF(AND('Mapa final'!$AG$28="Baja",'Mapa final'!$AI$28="Leve"),CONCATENATE("R7C",'Mapa final'!$W$28),"")</f>
        <v/>
      </c>
      <c r="L42" s="63" t="e">
        <f>IF(AND('Mapa final'!#REF!="Baja",'Mapa final'!#REF!="Leve"),CONCATENATE("R7C",'Mapa final'!#REF!),"")</f>
        <v>#REF!</v>
      </c>
      <c r="M42" s="63" t="e">
        <f>IF(AND('Mapa final'!#REF!="Baja",'Mapa final'!#REF!="Leve"),CONCATENATE("R7C",'Mapa final'!#REF!),"")</f>
        <v>#REF!</v>
      </c>
      <c r="N42" s="63" t="e">
        <f>IF(AND('Mapa final'!#REF!="Baja",'Mapa final'!#REF!="Leve"),CONCATENATE("R7C",'Mapa final'!#REF!),"")</f>
        <v>#REF!</v>
      </c>
      <c r="O42" s="64" t="e">
        <f>IF(AND('Mapa final'!#REF!="Baja",'Mapa final'!#REF!="Leve"),CONCATENATE("R7C",'Mapa final'!#REF!),"")</f>
        <v>#REF!</v>
      </c>
      <c r="P42" s="53" t="str">
        <f ca="1">IF(AND('Mapa final'!$AG$27="Baja",'Mapa final'!$AI$27="Menor"),CONCATENATE("R7C",'Mapa final'!$W$27),"")</f>
        <v/>
      </c>
      <c r="Q42" s="54" t="str">
        <f ca="1">IF(AND('Mapa final'!$AG$28="Baja",'Mapa final'!$AI$28="Menor"),CONCATENATE("R7C",'Mapa final'!$W$28),"")</f>
        <v/>
      </c>
      <c r="R42" s="54" t="e">
        <f>IF(AND('Mapa final'!#REF!="Baja",'Mapa final'!#REF!="Menor"),CONCATENATE("R7C",'Mapa final'!#REF!),"")</f>
        <v>#REF!</v>
      </c>
      <c r="S42" s="54" t="e">
        <f>IF(AND('Mapa final'!#REF!="Baja",'Mapa final'!#REF!="Menor"),CONCATENATE("R7C",'Mapa final'!#REF!),"")</f>
        <v>#REF!</v>
      </c>
      <c r="T42" s="54" t="e">
        <f>IF(AND('Mapa final'!#REF!="Baja",'Mapa final'!#REF!="Menor"),CONCATENATE("R7C",'Mapa final'!#REF!),"")</f>
        <v>#REF!</v>
      </c>
      <c r="U42" s="55" t="e">
        <f>IF(AND('Mapa final'!#REF!="Baja",'Mapa final'!#REF!="Menor"),CONCATENATE("R7C",'Mapa final'!#REF!),"")</f>
        <v>#REF!</v>
      </c>
      <c r="V42" s="53" t="str">
        <f ca="1">IF(AND('Mapa final'!$AG$27="Baja",'Mapa final'!$AI$27="Moderado"),CONCATENATE("R7C",'Mapa final'!$W$27),"")</f>
        <v>R7C1</v>
      </c>
      <c r="W42" s="54" t="str">
        <f ca="1">IF(AND('Mapa final'!$AG$28="Baja",'Mapa final'!$AI$28="Moderado"),CONCATENATE("R7C",'Mapa final'!$W$28),"")</f>
        <v>R7C2</v>
      </c>
      <c r="X42" s="54" t="e">
        <f>IF(AND('Mapa final'!#REF!="Baja",'Mapa final'!#REF!="Moderado"),CONCATENATE("R7C",'Mapa final'!#REF!),"")</f>
        <v>#REF!</v>
      </c>
      <c r="Y42" s="54" t="e">
        <f>IF(AND('Mapa final'!#REF!="Baja",'Mapa final'!#REF!="Moderado"),CONCATENATE("R7C",'Mapa final'!#REF!),"")</f>
        <v>#REF!</v>
      </c>
      <c r="Z42" s="54" t="e">
        <f>IF(AND('Mapa final'!#REF!="Baja",'Mapa final'!#REF!="Moderado"),CONCATENATE("R7C",'Mapa final'!#REF!),"")</f>
        <v>#REF!</v>
      </c>
      <c r="AA42" s="55" t="e">
        <f>IF(AND('Mapa final'!#REF!="Baja",'Mapa final'!#REF!="Moderado"),CONCATENATE("R7C",'Mapa final'!#REF!),"")</f>
        <v>#REF!</v>
      </c>
      <c r="AB42" s="38" t="str">
        <f ca="1">IF(AND('Mapa final'!$AG$27="Baja",'Mapa final'!$AI$27="Mayor"),CONCATENATE("R7C",'Mapa final'!$W$27),"")</f>
        <v/>
      </c>
      <c r="AC42" s="39" t="str">
        <f ca="1">IF(AND('Mapa final'!$AG$28="Baja",'Mapa final'!$AI$28="Mayor"),CONCATENATE("R7C",'Mapa final'!$W$28),"")</f>
        <v/>
      </c>
      <c r="AD42" s="39" t="e">
        <f>IF(AND('Mapa final'!#REF!="Baja",'Mapa final'!#REF!="Mayor"),CONCATENATE("R7C",'Mapa final'!#REF!),"")</f>
        <v>#REF!</v>
      </c>
      <c r="AE42" s="39" t="e">
        <f>IF(AND('Mapa final'!#REF!="Baja",'Mapa final'!#REF!="Mayor"),CONCATENATE("R7C",'Mapa final'!#REF!),"")</f>
        <v>#REF!</v>
      </c>
      <c r="AF42" s="39" t="e">
        <f>IF(AND('Mapa final'!#REF!="Baja",'Mapa final'!#REF!="Mayor"),CONCATENATE("R7C",'Mapa final'!#REF!),"")</f>
        <v>#REF!</v>
      </c>
      <c r="AG42" s="40" t="e">
        <f>IF(AND('Mapa final'!#REF!="Baja",'Mapa final'!#REF!="Mayor"),CONCATENATE("R7C",'Mapa final'!#REF!),"")</f>
        <v>#REF!</v>
      </c>
      <c r="AH42" s="41" t="str">
        <f ca="1">IF(AND('Mapa final'!$AG$27="Baja",'Mapa final'!$AI$27="Catastrófico"),CONCATENATE("R7C",'Mapa final'!$W$27),"")</f>
        <v/>
      </c>
      <c r="AI42" s="42" t="str">
        <f ca="1">IF(AND('Mapa final'!$AG$28="Baja",'Mapa final'!$AI$28="Catastrófico"),CONCATENATE("R7C",'Mapa final'!$W$28),"")</f>
        <v/>
      </c>
      <c r="AJ42" s="42" t="e">
        <f>IF(AND('Mapa final'!#REF!="Baja",'Mapa final'!#REF!="Catastrófico"),CONCATENATE("R7C",'Mapa final'!#REF!),"")</f>
        <v>#REF!</v>
      </c>
      <c r="AK42" s="42" t="e">
        <f>IF(AND('Mapa final'!#REF!="Baja",'Mapa final'!#REF!="Catastrófico"),CONCATENATE("R7C",'Mapa final'!#REF!),"")</f>
        <v>#REF!</v>
      </c>
      <c r="AL42" s="42" t="e">
        <f>IF(AND('Mapa final'!#REF!="Baja",'Mapa final'!#REF!="Catastrófico"),CONCATENATE("R7C",'Mapa final'!#REF!),"")</f>
        <v>#REF!</v>
      </c>
      <c r="AM42" s="43" t="e">
        <f>IF(AND('Mapa final'!#REF!="Baja",'Mapa final'!#REF!="Catastrófico"),CONCATENATE("R7C",'Mapa final'!#REF!),"")</f>
        <v>#REF!</v>
      </c>
      <c r="AN42" s="69"/>
      <c r="AO42" s="636"/>
      <c r="AP42" s="637"/>
      <c r="AQ42" s="637"/>
      <c r="AR42" s="637"/>
      <c r="AS42" s="637"/>
      <c r="AT42" s="638"/>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row>
    <row r="43" spans="1:80" ht="15" customHeight="1" x14ac:dyDescent="0.25">
      <c r="A43" s="69"/>
      <c r="B43" s="537"/>
      <c r="C43" s="537"/>
      <c r="D43" s="538"/>
      <c r="E43" s="618"/>
      <c r="F43" s="616"/>
      <c r="G43" s="616"/>
      <c r="H43" s="616"/>
      <c r="I43" s="616"/>
      <c r="J43" s="62" t="str">
        <f ca="1">IF(AND('Mapa final'!$AG$29="Baja",'Mapa final'!$AI$29="Leve"),CONCATENATE("R8C",'Mapa final'!$W$29),"")</f>
        <v/>
      </c>
      <c r="K43" s="63" t="str">
        <f ca="1">IF(AND('Mapa final'!$AG$30="Baja",'Mapa final'!$AI$30="Leve"),CONCATENATE("R8C",'Mapa final'!$W$30),"")</f>
        <v/>
      </c>
      <c r="L43" s="63" t="str">
        <f ca="1">IF(AND('Mapa final'!$AG$31="Baja",'Mapa final'!$AI$31="Leve"),CONCATENATE("R8C",'Mapa final'!$W$31),"")</f>
        <v/>
      </c>
      <c r="M43" s="63" t="str">
        <f ca="1">IF(AND('Mapa final'!$AG$32="Baja",'Mapa final'!$AI$32="Leve"),CONCATENATE("R8C",'Mapa final'!$W$32),"")</f>
        <v/>
      </c>
      <c r="N43" s="63" t="e">
        <f>IF(AND('Mapa final'!#REF!="Baja",'Mapa final'!#REF!="Leve"),CONCATENATE("R8C",'Mapa final'!#REF!),"")</f>
        <v>#REF!</v>
      </c>
      <c r="O43" s="64" t="e">
        <f>IF(AND('Mapa final'!#REF!="Baja",'Mapa final'!#REF!="Leve"),CONCATENATE("R8C",'Mapa final'!#REF!),"")</f>
        <v>#REF!</v>
      </c>
      <c r="P43" s="53" t="str">
        <f ca="1">IF(AND('Mapa final'!$AG$29="Baja",'Mapa final'!$AI$29="Menor"),CONCATENATE("R8C",'Mapa final'!$W$29),"")</f>
        <v/>
      </c>
      <c r="Q43" s="54" t="str">
        <f ca="1">IF(AND('Mapa final'!$AG$30="Baja",'Mapa final'!$AI$30="Menor"),CONCATENATE("R8C",'Mapa final'!$W$30),"")</f>
        <v/>
      </c>
      <c r="R43" s="54" t="str">
        <f ca="1">IF(AND('Mapa final'!$AG$31="Baja",'Mapa final'!$AI$31="Menor"),CONCATENATE("R8C",'Mapa final'!$W$31),"")</f>
        <v/>
      </c>
      <c r="S43" s="54" t="str">
        <f ca="1">IF(AND('Mapa final'!$AG$32="Baja",'Mapa final'!$AI$32="Menor"),CONCATENATE("R8C",'Mapa final'!$W$32),"")</f>
        <v/>
      </c>
      <c r="T43" s="54" t="e">
        <f>IF(AND('Mapa final'!#REF!="Baja",'Mapa final'!#REF!="Menor"),CONCATENATE("R8C",'Mapa final'!#REF!),"")</f>
        <v>#REF!</v>
      </c>
      <c r="U43" s="55" t="e">
        <f>IF(AND('Mapa final'!#REF!="Baja",'Mapa final'!#REF!="Menor"),CONCATENATE("R8C",'Mapa final'!#REF!),"")</f>
        <v>#REF!</v>
      </c>
      <c r="V43" s="53" t="str">
        <f ca="1">IF(AND('Mapa final'!$AG$29="Baja",'Mapa final'!$AI$29="Moderado"),CONCATENATE("R8C",'Mapa final'!$W$29),"")</f>
        <v/>
      </c>
      <c r="W43" s="54" t="str">
        <f ca="1">IF(AND('Mapa final'!$AG$30="Baja",'Mapa final'!$AI$30="Moderado"),CONCATENATE("R8C",'Mapa final'!$W$30),"")</f>
        <v>R8C2</v>
      </c>
      <c r="X43" s="54" t="str">
        <f ca="1">IF(AND('Mapa final'!$AG$31="Baja",'Mapa final'!$AI$31="Moderado"),CONCATENATE("R8C",'Mapa final'!$W$31),"")</f>
        <v/>
      </c>
      <c r="Y43" s="54" t="str">
        <f ca="1">IF(AND('Mapa final'!$AG$32="Baja",'Mapa final'!$AI$32="Moderado"),CONCATENATE("R8C",'Mapa final'!$W$32),"")</f>
        <v/>
      </c>
      <c r="Z43" s="54" t="e">
        <f>IF(AND('Mapa final'!#REF!="Baja",'Mapa final'!#REF!="Moderado"),CONCATENATE("R8C",'Mapa final'!#REF!),"")</f>
        <v>#REF!</v>
      </c>
      <c r="AA43" s="55" t="e">
        <f>IF(AND('Mapa final'!#REF!="Baja",'Mapa final'!#REF!="Moderado"),CONCATENATE("R8C",'Mapa final'!#REF!),"")</f>
        <v>#REF!</v>
      </c>
      <c r="AB43" s="38" t="str">
        <f ca="1">IF(AND('Mapa final'!$AG$29="Baja",'Mapa final'!$AI$29="Mayor"),CONCATENATE("R8C",'Mapa final'!$W$29),"")</f>
        <v/>
      </c>
      <c r="AC43" s="39" t="str">
        <f ca="1">IF(AND('Mapa final'!$AG$30="Baja",'Mapa final'!$AI$30="Mayor"),CONCATENATE("R8C",'Mapa final'!$W$30),"")</f>
        <v/>
      </c>
      <c r="AD43" s="39" t="str">
        <f ca="1">IF(AND('Mapa final'!$AG$31="Baja",'Mapa final'!$AI$31="Mayor"),CONCATENATE("R8C",'Mapa final'!$W$31),"")</f>
        <v/>
      </c>
      <c r="AE43" s="39" t="str">
        <f ca="1">IF(AND('Mapa final'!$AG$32="Baja",'Mapa final'!$AI$32="Mayor"),CONCATENATE("R8C",'Mapa final'!$W$32),"")</f>
        <v/>
      </c>
      <c r="AF43" s="39" t="e">
        <f>IF(AND('Mapa final'!#REF!="Baja",'Mapa final'!#REF!="Mayor"),CONCATENATE("R8C",'Mapa final'!#REF!),"")</f>
        <v>#REF!</v>
      </c>
      <c r="AG43" s="40" t="e">
        <f>IF(AND('Mapa final'!#REF!="Baja",'Mapa final'!#REF!="Mayor"),CONCATENATE("R8C",'Mapa final'!#REF!),"")</f>
        <v>#REF!</v>
      </c>
      <c r="AH43" s="41" t="str">
        <f ca="1">IF(AND('Mapa final'!$AG$29="Baja",'Mapa final'!$AI$29="Catastrófico"),CONCATENATE("R8C",'Mapa final'!$W$29),"")</f>
        <v/>
      </c>
      <c r="AI43" s="42" t="str">
        <f ca="1">IF(AND('Mapa final'!$AG$30="Baja",'Mapa final'!$AI$30="Catastrófico"),CONCATENATE("R8C",'Mapa final'!$W$30),"")</f>
        <v/>
      </c>
      <c r="AJ43" s="42" t="str">
        <f ca="1">IF(AND('Mapa final'!$AG$31="Baja",'Mapa final'!$AI$31="Catastrófico"),CONCATENATE("R8C",'Mapa final'!$W$31),"")</f>
        <v/>
      </c>
      <c r="AK43" s="42" t="str">
        <f ca="1">IF(AND('Mapa final'!$AG$32="Baja",'Mapa final'!$AI$32="Catastrófico"),CONCATENATE("R8C",'Mapa final'!$W$32),"")</f>
        <v/>
      </c>
      <c r="AL43" s="42" t="e">
        <f>IF(AND('Mapa final'!#REF!="Baja",'Mapa final'!#REF!="Catastrófico"),CONCATENATE("R8C",'Mapa final'!#REF!),"")</f>
        <v>#REF!</v>
      </c>
      <c r="AM43" s="43" t="e">
        <f>IF(AND('Mapa final'!#REF!="Baja",'Mapa final'!#REF!="Catastrófico"),CONCATENATE("R8C",'Mapa final'!#REF!),"")</f>
        <v>#REF!</v>
      </c>
      <c r="AN43" s="69"/>
      <c r="AO43" s="636"/>
      <c r="AP43" s="637"/>
      <c r="AQ43" s="637"/>
      <c r="AR43" s="637"/>
      <c r="AS43" s="637"/>
      <c r="AT43" s="638"/>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row>
    <row r="44" spans="1:80" ht="15" customHeight="1" x14ac:dyDescent="0.25">
      <c r="A44" s="69"/>
      <c r="B44" s="537"/>
      <c r="C44" s="537"/>
      <c r="D44" s="538"/>
      <c r="E44" s="618"/>
      <c r="F44" s="616"/>
      <c r="G44" s="616"/>
      <c r="H44" s="616"/>
      <c r="I44" s="616"/>
      <c r="J44" s="62" t="str">
        <f ca="1">IF(AND('Mapa final'!$AG$33="Baja",'Mapa final'!$AI$33="Leve"),CONCATENATE("R9C",'Mapa final'!$W$33),"")</f>
        <v/>
      </c>
      <c r="K44" s="63" t="str">
        <f ca="1">IF(AND('Mapa final'!$AG$34="Baja",'Mapa final'!$AI$34="Leve"),CONCATENATE("R9C",'Mapa final'!$W$34),"")</f>
        <v/>
      </c>
      <c r="L44" s="63" t="str">
        <f ca="1">IF(AND('Mapa final'!$AG$35="Baja",'Mapa final'!$AI$35="Leve"),CONCATENATE("R9C",'Mapa final'!$W$35),"")</f>
        <v/>
      </c>
      <c r="M44" s="63" t="str">
        <f ca="1">IF(AND('Mapa final'!$AG$36="Baja",'Mapa final'!$AI$36="Leve"),CONCATENATE("R9C",'Mapa final'!$W$36),"")</f>
        <v/>
      </c>
      <c r="N44" s="63" t="str">
        <f ca="1">IF(AND('Mapa final'!$AG$37="Baja",'Mapa final'!$AI$37="Leve"),CONCATENATE("R9C",'Mapa final'!$W$37),"")</f>
        <v/>
      </c>
      <c r="O44" s="64" t="e">
        <f>IF(AND('Mapa final'!#REF!="Baja",'Mapa final'!#REF!="Leve"),CONCATENATE("R9C",'Mapa final'!#REF!),"")</f>
        <v>#REF!</v>
      </c>
      <c r="P44" s="53" t="str">
        <f ca="1">IF(AND('Mapa final'!$AG$33="Baja",'Mapa final'!$AI$33="Menor"),CONCATENATE("R9C",'Mapa final'!$W$33),"")</f>
        <v/>
      </c>
      <c r="Q44" s="54" t="str">
        <f ca="1">IF(AND('Mapa final'!$AG$34="Baja",'Mapa final'!$AI$34="Menor"),CONCATENATE("R9C",'Mapa final'!$W$34),"")</f>
        <v/>
      </c>
      <c r="R44" s="54" t="str">
        <f ca="1">IF(AND('Mapa final'!$AG$35="Baja",'Mapa final'!$AI$35="Menor"),CONCATENATE("R9C",'Mapa final'!$W$35),"")</f>
        <v/>
      </c>
      <c r="S44" s="54" t="str">
        <f ca="1">IF(AND('Mapa final'!$AG$36="Baja",'Mapa final'!$AI$36="Menor"),CONCATENATE("R9C",'Mapa final'!$W$36),"")</f>
        <v/>
      </c>
      <c r="T44" s="54" t="str">
        <f ca="1">IF(AND('Mapa final'!$AG$37="Baja",'Mapa final'!$AI$37="Menor"),CONCATENATE("R9C",'Mapa final'!$W$37),"")</f>
        <v/>
      </c>
      <c r="U44" s="55" t="e">
        <f>IF(AND('Mapa final'!#REF!="Baja",'Mapa final'!#REF!="Menor"),CONCATENATE("R9C",'Mapa final'!#REF!),"")</f>
        <v>#REF!</v>
      </c>
      <c r="V44" s="53" t="str">
        <f ca="1">IF(AND('Mapa final'!$AG$33="Baja",'Mapa final'!$AI$33="Moderado"),CONCATENATE("R9C",'Mapa final'!$W$33),"")</f>
        <v/>
      </c>
      <c r="W44" s="54" t="str">
        <f ca="1">IF(AND('Mapa final'!$AG$34="Baja",'Mapa final'!$AI$34="Moderado"),CONCATENATE("R9C",'Mapa final'!$W$34),"")</f>
        <v/>
      </c>
      <c r="X44" s="54" t="str">
        <f ca="1">IF(AND('Mapa final'!$AG$35="Baja",'Mapa final'!$AI$35="Moderado"),CONCATENATE("R9C",'Mapa final'!$W$35),"")</f>
        <v/>
      </c>
      <c r="Y44" s="54" t="str">
        <f ca="1">IF(AND('Mapa final'!$AG$36="Baja",'Mapa final'!$AI$36="Moderado"),CONCATENATE("R9C",'Mapa final'!$W$36),"")</f>
        <v/>
      </c>
      <c r="Z44" s="54" t="str">
        <f ca="1">IF(AND('Mapa final'!$AG$37="Baja",'Mapa final'!$AI$37="Moderado"),CONCATENATE("R9C",'Mapa final'!$W$37),"")</f>
        <v/>
      </c>
      <c r="AA44" s="55" t="e">
        <f>IF(AND('Mapa final'!#REF!="Baja",'Mapa final'!#REF!="Moderado"),CONCATENATE("R9C",'Mapa final'!#REF!),"")</f>
        <v>#REF!</v>
      </c>
      <c r="AB44" s="38" t="str">
        <f ca="1">IF(AND('Mapa final'!$AG$33="Baja",'Mapa final'!$AI$33="Mayor"),CONCATENATE("R9C",'Mapa final'!$W$33),"")</f>
        <v/>
      </c>
      <c r="AC44" s="39" t="str">
        <f ca="1">IF(AND('Mapa final'!$AG$34="Baja",'Mapa final'!$AI$34="Mayor"),CONCATENATE("R9C",'Mapa final'!$W$34),"")</f>
        <v/>
      </c>
      <c r="AD44" s="39" t="str">
        <f ca="1">IF(AND('Mapa final'!$AG$35="Baja",'Mapa final'!$AI$35="Mayor"),CONCATENATE("R9C",'Mapa final'!$W$35),"")</f>
        <v/>
      </c>
      <c r="AE44" s="39" t="str">
        <f ca="1">IF(AND('Mapa final'!$AG$36="Baja",'Mapa final'!$AI$36="Mayor"),CONCATENATE("R9C",'Mapa final'!$W$36),"")</f>
        <v/>
      </c>
      <c r="AF44" s="39" t="str">
        <f ca="1">IF(AND('Mapa final'!$AG$37="Baja",'Mapa final'!$AI$37="Mayor"),CONCATENATE("R9C",'Mapa final'!$W$37),"")</f>
        <v/>
      </c>
      <c r="AG44" s="40" t="e">
        <f>IF(AND('Mapa final'!#REF!="Baja",'Mapa final'!#REF!="Mayor"),CONCATENATE("R9C",'Mapa final'!#REF!),"")</f>
        <v>#REF!</v>
      </c>
      <c r="AH44" s="41" t="str">
        <f ca="1">IF(AND('Mapa final'!$AG$33="Baja",'Mapa final'!$AI$33="Catastrófico"),CONCATENATE("R9C",'Mapa final'!$W$33),"")</f>
        <v>R9C1</v>
      </c>
      <c r="AI44" s="42" t="str">
        <f ca="1">IF(AND('Mapa final'!$AG$34="Baja",'Mapa final'!$AI$34="Catastrófico"),CONCATENATE("R9C",'Mapa final'!$W$34),"")</f>
        <v>R9C2</v>
      </c>
      <c r="AJ44" s="42" t="str">
        <f ca="1">IF(AND('Mapa final'!$AG$35="Baja",'Mapa final'!$AI$35="Catastrófico"),CONCATENATE("R9C",'Mapa final'!$W$35),"")</f>
        <v/>
      </c>
      <c r="AK44" s="42" t="str">
        <f ca="1">IF(AND('Mapa final'!$AG$36="Baja",'Mapa final'!$AI$36="Catastrófico"),CONCATENATE("R9C",'Mapa final'!$W$36),"")</f>
        <v/>
      </c>
      <c r="AL44" s="42" t="str">
        <f ca="1">IF(AND('Mapa final'!$AG$37="Baja",'Mapa final'!$AI$37="Catastrófico"),CONCATENATE("R9C",'Mapa final'!$W$37),"")</f>
        <v/>
      </c>
      <c r="AM44" s="43" t="e">
        <f>IF(AND('Mapa final'!#REF!="Baja",'Mapa final'!#REF!="Catastrófico"),CONCATENATE("R9C",'Mapa final'!#REF!),"")</f>
        <v>#REF!</v>
      </c>
      <c r="AN44" s="69"/>
      <c r="AO44" s="636"/>
      <c r="AP44" s="637"/>
      <c r="AQ44" s="637"/>
      <c r="AR44" s="637"/>
      <c r="AS44" s="637"/>
      <c r="AT44" s="638"/>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row>
    <row r="45" spans="1:80" ht="15.75" customHeight="1" thickBot="1" x14ac:dyDescent="0.3">
      <c r="A45" s="69"/>
      <c r="B45" s="537"/>
      <c r="C45" s="537"/>
      <c r="D45" s="538"/>
      <c r="E45" s="619"/>
      <c r="F45" s="620"/>
      <c r="G45" s="620"/>
      <c r="H45" s="620"/>
      <c r="I45" s="620"/>
      <c r="J45" s="65" t="str">
        <f ca="1">IF(AND('Mapa final'!$AG$38="Baja",'Mapa final'!$AI$38="Leve"),CONCATENATE("R10C",'Mapa final'!$W$38),"")</f>
        <v/>
      </c>
      <c r="K45" s="66" t="str">
        <f ca="1">IF(AND('Mapa final'!$AG$39="Baja",'Mapa final'!$AI$39="Leve"),CONCATENATE("R10C",'Mapa final'!$W$39),"")</f>
        <v/>
      </c>
      <c r="L45" s="66" t="e">
        <f>IF(AND('Mapa final'!#REF!="Baja",'Mapa final'!#REF!="Leve"),CONCATENATE("R10C",'Mapa final'!#REF!),"")</f>
        <v>#REF!</v>
      </c>
      <c r="M45" s="66" t="e">
        <f>IF(AND('Mapa final'!#REF!="Baja",'Mapa final'!#REF!="Leve"),CONCATENATE("R10C",'Mapa final'!#REF!),"")</f>
        <v>#REF!</v>
      </c>
      <c r="N45" s="66" t="e">
        <f>IF(AND('Mapa final'!#REF!="Baja",'Mapa final'!#REF!="Leve"),CONCATENATE("R10C",'Mapa final'!#REF!),"")</f>
        <v>#REF!</v>
      </c>
      <c r="O45" s="67" t="e">
        <f>IF(AND('Mapa final'!#REF!="Baja",'Mapa final'!#REF!="Leve"),CONCATENATE("R10C",'Mapa final'!#REF!),"")</f>
        <v>#REF!</v>
      </c>
      <c r="P45" s="53" t="str">
        <f ca="1">IF(AND('Mapa final'!$AG$38="Baja",'Mapa final'!$AI$38="Menor"),CONCATENATE("R10C",'Mapa final'!$W$38),"")</f>
        <v/>
      </c>
      <c r="Q45" s="54" t="str">
        <f ca="1">IF(AND('Mapa final'!$AG$39="Baja",'Mapa final'!$AI$39="Menor"),CONCATENATE("R10C",'Mapa final'!$W$39),"")</f>
        <v/>
      </c>
      <c r="R45" s="54" t="e">
        <f>IF(AND('Mapa final'!#REF!="Baja",'Mapa final'!#REF!="Menor"),CONCATENATE("R10C",'Mapa final'!#REF!),"")</f>
        <v>#REF!</v>
      </c>
      <c r="S45" s="54" t="e">
        <f>IF(AND('Mapa final'!#REF!="Baja",'Mapa final'!#REF!="Menor"),CONCATENATE("R10C",'Mapa final'!#REF!),"")</f>
        <v>#REF!</v>
      </c>
      <c r="T45" s="54" t="e">
        <f>IF(AND('Mapa final'!#REF!="Baja",'Mapa final'!#REF!="Menor"),CONCATENATE("R10C",'Mapa final'!#REF!),"")</f>
        <v>#REF!</v>
      </c>
      <c r="U45" s="55" t="e">
        <f>IF(AND('Mapa final'!#REF!="Baja",'Mapa final'!#REF!="Menor"),CONCATENATE("R10C",'Mapa final'!#REF!),"")</f>
        <v>#REF!</v>
      </c>
      <c r="V45" s="56" t="str">
        <f ca="1">IF(AND('Mapa final'!$AG$38="Baja",'Mapa final'!$AI$38="Moderado"),CONCATENATE("R10C",'Mapa final'!$W$38),"")</f>
        <v/>
      </c>
      <c r="W45" s="57" t="str">
        <f ca="1">IF(AND('Mapa final'!$AG$39="Baja",'Mapa final'!$AI$39="Moderado"),CONCATENATE("R10C",'Mapa final'!$W$39),"")</f>
        <v/>
      </c>
      <c r="X45" s="57" t="e">
        <f>IF(AND('Mapa final'!#REF!="Baja",'Mapa final'!#REF!="Moderado"),CONCATENATE("R10C",'Mapa final'!#REF!),"")</f>
        <v>#REF!</v>
      </c>
      <c r="Y45" s="57" t="e">
        <f>IF(AND('Mapa final'!#REF!="Baja",'Mapa final'!#REF!="Moderado"),CONCATENATE("R10C",'Mapa final'!#REF!),"")</f>
        <v>#REF!</v>
      </c>
      <c r="Z45" s="57" t="e">
        <f>IF(AND('Mapa final'!#REF!="Baja",'Mapa final'!#REF!="Moderado"),CONCATENATE("R10C",'Mapa final'!#REF!),"")</f>
        <v>#REF!</v>
      </c>
      <c r="AA45" s="58" t="e">
        <f>IF(AND('Mapa final'!#REF!="Baja",'Mapa final'!#REF!="Moderado"),CONCATENATE("R10C",'Mapa final'!#REF!),"")</f>
        <v>#REF!</v>
      </c>
      <c r="AB45" s="44" t="str">
        <f ca="1">IF(AND('Mapa final'!$AG$38="Baja",'Mapa final'!$AI$38="Mayor"),CONCATENATE("R10C",'Mapa final'!$W$38),"")</f>
        <v/>
      </c>
      <c r="AC45" s="45" t="str">
        <f ca="1">IF(AND('Mapa final'!$AG$39="Baja",'Mapa final'!$AI$39="Mayor"),CONCATENATE("R10C",'Mapa final'!$W$39),"")</f>
        <v>R10C2</v>
      </c>
      <c r="AD45" s="45" t="e">
        <f>IF(AND('Mapa final'!#REF!="Baja",'Mapa final'!#REF!="Mayor"),CONCATENATE("R10C",'Mapa final'!#REF!),"")</f>
        <v>#REF!</v>
      </c>
      <c r="AE45" s="45" t="e">
        <f>IF(AND('Mapa final'!#REF!="Baja",'Mapa final'!#REF!="Mayor"),CONCATENATE("R10C",'Mapa final'!#REF!),"")</f>
        <v>#REF!</v>
      </c>
      <c r="AF45" s="45" t="e">
        <f>IF(AND('Mapa final'!#REF!="Baja",'Mapa final'!#REF!="Mayor"),CONCATENATE("R10C",'Mapa final'!#REF!),"")</f>
        <v>#REF!</v>
      </c>
      <c r="AG45" s="46" t="e">
        <f>IF(AND('Mapa final'!#REF!="Baja",'Mapa final'!#REF!="Mayor"),CONCATENATE("R10C",'Mapa final'!#REF!),"")</f>
        <v>#REF!</v>
      </c>
      <c r="AH45" s="47" t="str">
        <f ca="1">IF(AND('Mapa final'!$AG$38="Baja",'Mapa final'!$AI$38="Catastrófico"),CONCATENATE("R10C",'Mapa final'!$W$38),"")</f>
        <v/>
      </c>
      <c r="AI45" s="48" t="str">
        <f ca="1">IF(AND('Mapa final'!$AG$39="Baja",'Mapa final'!$AI$39="Catastrófico"),CONCATENATE("R10C",'Mapa final'!$W$39),"")</f>
        <v/>
      </c>
      <c r="AJ45" s="48" t="e">
        <f>IF(AND('Mapa final'!#REF!="Baja",'Mapa final'!#REF!="Catastrófico"),CONCATENATE("R10C",'Mapa final'!#REF!),"")</f>
        <v>#REF!</v>
      </c>
      <c r="AK45" s="48" t="e">
        <f>IF(AND('Mapa final'!#REF!="Baja",'Mapa final'!#REF!="Catastrófico"),CONCATENATE("R10C",'Mapa final'!#REF!),"")</f>
        <v>#REF!</v>
      </c>
      <c r="AL45" s="48" t="e">
        <f>IF(AND('Mapa final'!#REF!="Baja",'Mapa final'!#REF!="Catastrófico"),CONCATENATE("R10C",'Mapa final'!#REF!),"")</f>
        <v>#REF!</v>
      </c>
      <c r="AM45" s="49" t="e">
        <f>IF(AND('Mapa final'!#REF!="Baja",'Mapa final'!#REF!="Catastrófico"),CONCATENATE("R10C",'Mapa final'!#REF!),"")</f>
        <v>#REF!</v>
      </c>
      <c r="AN45" s="69"/>
      <c r="AO45" s="639"/>
      <c r="AP45" s="640"/>
      <c r="AQ45" s="640"/>
      <c r="AR45" s="640"/>
      <c r="AS45" s="640"/>
      <c r="AT45" s="641"/>
    </row>
    <row r="46" spans="1:80" ht="46.5" customHeight="1" x14ac:dyDescent="0.35">
      <c r="A46" s="69"/>
      <c r="B46" s="537"/>
      <c r="C46" s="537"/>
      <c r="D46" s="538"/>
      <c r="E46" s="612" t="s">
        <v>137</v>
      </c>
      <c r="F46" s="613"/>
      <c r="G46" s="613"/>
      <c r="H46" s="613"/>
      <c r="I46" s="614"/>
      <c r="J46" s="59" t="str">
        <f ca="1">IF(AND('Mapa final'!$AG$13="Muy Baja",'Mapa final'!$AI$13="Leve"),CONCATENATE("R1C",'Mapa final'!$W$13),"")</f>
        <v/>
      </c>
      <c r="K46" s="60" t="str">
        <f ca="1">IF(AND('Mapa final'!$AG$14="Muy Baja",'Mapa final'!$AI$14="Leve"),CONCATENATE("R1C",'Mapa final'!$W$14),"")</f>
        <v/>
      </c>
      <c r="L46" s="60" t="e">
        <f>IF(AND('Mapa final'!#REF!="Muy Baja",'Mapa final'!#REF!="Leve"),CONCATENATE("R1C",'Mapa final'!#REF!),"")</f>
        <v>#REF!</v>
      </c>
      <c r="M46" s="60" t="e">
        <f>IF(AND('Mapa final'!#REF!="Muy Baja",'Mapa final'!#REF!="Leve"),CONCATENATE("R1C",'Mapa final'!#REF!),"")</f>
        <v>#REF!</v>
      </c>
      <c r="N46" s="60" t="e">
        <f>IF(AND('Mapa final'!#REF!="Muy Baja",'Mapa final'!#REF!="Leve"),CONCATENATE("R1C",'Mapa final'!#REF!),"")</f>
        <v>#REF!</v>
      </c>
      <c r="O46" s="61" t="e">
        <f>IF(AND('Mapa final'!#REF!="Muy Baja",'Mapa final'!#REF!="Leve"),CONCATENATE("R1C",'Mapa final'!#REF!),"")</f>
        <v>#REF!</v>
      </c>
      <c r="P46" s="59" t="str">
        <f ca="1">IF(AND('Mapa final'!$AG$13="Muy Baja",'Mapa final'!$AI$13="Menor"),CONCATENATE("R1C",'Mapa final'!$W$13),"")</f>
        <v/>
      </c>
      <c r="Q46" s="60" t="str">
        <f ca="1">IF(AND('Mapa final'!$AG$14="Muy Baja",'Mapa final'!$AI$14="Menor"),CONCATENATE("R1C",'Mapa final'!$W$14),"")</f>
        <v/>
      </c>
      <c r="R46" s="60" t="e">
        <f>IF(AND('Mapa final'!#REF!="Muy Baja",'Mapa final'!#REF!="Menor"),CONCATENATE("R1C",'Mapa final'!#REF!),"")</f>
        <v>#REF!</v>
      </c>
      <c r="S46" s="60" t="e">
        <f>IF(AND('Mapa final'!#REF!="Muy Baja",'Mapa final'!#REF!="Menor"),CONCATENATE("R1C",'Mapa final'!#REF!),"")</f>
        <v>#REF!</v>
      </c>
      <c r="T46" s="60" t="e">
        <f>IF(AND('Mapa final'!#REF!="Muy Baja",'Mapa final'!#REF!="Menor"),CONCATENATE("R1C",'Mapa final'!#REF!),"")</f>
        <v>#REF!</v>
      </c>
      <c r="U46" s="61" t="e">
        <f>IF(AND('Mapa final'!#REF!="Muy Baja",'Mapa final'!#REF!="Menor"),CONCATENATE("R1C",'Mapa final'!#REF!),"")</f>
        <v>#REF!</v>
      </c>
      <c r="V46" s="50" t="str">
        <f ca="1">IF(AND('Mapa final'!$AG$13="Muy Baja",'Mapa final'!$AI$13="Moderado"),CONCATENATE("R1C",'Mapa final'!$W$13),"")</f>
        <v/>
      </c>
      <c r="W46" s="68" t="str">
        <f ca="1">IF(AND('Mapa final'!$AG$14="Muy Baja",'Mapa final'!$AI$14="Moderado"),CONCATENATE("R1C",'Mapa final'!$W$14),"")</f>
        <v/>
      </c>
      <c r="X46" s="51" t="e">
        <f>IF(AND('Mapa final'!#REF!="Muy Baja",'Mapa final'!#REF!="Moderado"),CONCATENATE("R1C",'Mapa final'!#REF!),"")</f>
        <v>#REF!</v>
      </c>
      <c r="Y46" s="51" t="e">
        <f>IF(AND('Mapa final'!#REF!="Muy Baja",'Mapa final'!#REF!="Moderado"),CONCATENATE("R1C",'Mapa final'!#REF!),"")</f>
        <v>#REF!</v>
      </c>
      <c r="Z46" s="51" t="e">
        <f>IF(AND('Mapa final'!#REF!="Muy Baja",'Mapa final'!#REF!="Moderado"),CONCATENATE("R1C",'Mapa final'!#REF!),"")</f>
        <v>#REF!</v>
      </c>
      <c r="AA46" s="52" t="e">
        <f>IF(AND('Mapa final'!#REF!="Muy Baja",'Mapa final'!#REF!="Moderado"),CONCATENATE("R1C",'Mapa final'!#REF!),"")</f>
        <v>#REF!</v>
      </c>
      <c r="AB46" s="32" t="str">
        <f ca="1">IF(AND('Mapa final'!$AG$13="Muy Baja",'Mapa final'!$AI$13="Mayor"),CONCATENATE("R1C",'Mapa final'!$W$13),"")</f>
        <v/>
      </c>
      <c r="AC46" s="33" t="str">
        <f ca="1">IF(AND('Mapa final'!$AG$14="Muy Baja",'Mapa final'!$AI$14="Mayor"),CONCATENATE("R1C",'Mapa final'!$W$14),"")</f>
        <v/>
      </c>
      <c r="AD46" s="33" t="e">
        <f>IF(AND('Mapa final'!#REF!="Muy Baja",'Mapa final'!#REF!="Mayor"),CONCATENATE("R1C",'Mapa final'!#REF!),"")</f>
        <v>#REF!</v>
      </c>
      <c r="AE46" s="33" t="e">
        <f>IF(AND('Mapa final'!#REF!="Muy Baja",'Mapa final'!#REF!="Mayor"),CONCATENATE("R1C",'Mapa final'!#REF!),"")</f>
        <v>#REF!</v>
      </c>
      <c r="AF46" s="33" t="e">
        <f>IF(AND('Mapa final'!#REF!="Muy Baja",'Mapa final'!#REF!="Mayor"),CONCATENATE("R1C",'Mapa final'!#REF!),"")</f>
        <v>#REF!</v>
      </c>
      <c r="AG46" s="34" t="e">
        <f>IF(AND('Mapa final'!#REF!="Muy Baja",'Mapa final'!#REF!="Mayor"),CONCATENATE("R1C",'Mapa final'!#REF!),"")</f>
        <v>#REF!</v>
      </c>
      <c r="AH46" s="35" t="str">
        <f ca="1">IF(AND('Mapa final'!$AG$13="Muy Baja",'Mapa final'!$AI$13="Catastrófico"),CONCATENATE("R1C",'Mapa final'!$W$13),"")</f>
        <v/>
      </c>
      <c r="AI46" s="36" t="str">
        <f ca="1">IF(AND('Mapa final'!$AG$14="Muy Baja",'Mapa final'!$AI$14="Catastrófico"),CONCATENATE("R1C",'Mapa final'!$W$14),"")</f>
        <v/>
      </c>
      <c r="AJ46" s="36" t="e">
        <f>IF(AND('Mapa final'!#REF!="Muy Baja",'Mapa final'!#REF!="Catastrófico"),CONCATENATE("R1C",'Mapa final'!#REF!),"")</f>
        <v>#REF!</v>
      </c>
      <c r="AK46" s="36" t="e">
        <f>IF(AND('Mapa final'!#REF!="Muy Baja",'Mapa final'!#REF!="Catastrófico"),CONCATENATE("R1C",'Mapa final'!#REF!),"")</f>
        <v>#REF!</v>
      </c>
      <c r="AL46" s="36" t="e">
        <f>IF(AND('Mapa final'!#REF!="Muy Baja",'Mapa final'!#REF!="Catastrófico"),CONCATENATE("R1C",'Mapa final'!#REF!),"")</f>
        <v>#REF!</v>
      </c>
      <c r="AM46" s="37" t="e">
        <f>IF(AND('Mapa final'!#REF!="Muy Baja",'Mapa final'!#REF!="Catastrófico"),CONCATENATE("R1C",'Mapa final'!#REF!),"")</f>
        <v>#REF!</v>
      </c>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ht="46.5" customHeight="1" x14ac:dyDescent="0.25">
      <c r="A47" s="69"/>
      <c r="B47" s="537"/>
      <c r="C47" s="537"/>
      <c r="D47" s="538"/>
      <c r="E47" s="615"/>
      <c r="F47" s="616"/>
      <c r="G47" s="616"/>
      <c r="H47" s="616"/>
      <c r="I47" s="617"/>
      <c r="J47" s="62" t="str">
        <f ca="1">IF(AND('Mapa final'!$AG$15="Muy Baja",'Mapa final'!$AI$15="Leve"),CONCATENATE("R2C",'Mapa final'!$W$15),"")</f>
        <v/>
      </c>
      <c r="K47" s="63" t="str">
        <f ca="1">IF(AND('Mapa final'!$AG$16="Muy Baja",'Mapa final'!$AI$16="Leve"),CONCATENATE("R2C",'Mapa final'!$W$16),"")</f>
        <v/>
      </c>
      <c r="L47" s="63" t="e">
        <f>IF(AND('Mapa final'!#REF!="Muy Baja",'Mapa final'!#REF!="Leve"),CONCATENATE("R2C",'Mapa final'!#REF!),"")</f>
        <v>#REF!</v>
      </c>
      <c r="M47" s="63" t="e">
        <f>IF(AND('Mapa final'!#REF!="Muy Baja",'Mapa final'!#REF!="Leve"),CONCATENATE("R2C",'Mapa final'!#REF!),"")</f>
        <v>#REF!</v>
      </c>
      <c r="N47" s="63" t="e">
        <f>IF(AND('Mapa final'!#REF!="Muy Baja",'Mapa final'!#REF!="Leve"),CONCATENATE("R2C",'Mapa final'!#REF!),"")</f>
        <v>#REF!</v>
      </c>
      <c r="O47" s="64" t="e">
        <f>IF(AND('Mapa final'!#REF!="Muy Baja",'Mapa final'!#REF!="Leve"),CONCATENATE("R2C",'Mapa final'!#REF!),"")</f>
        <v>#REF!</v>
      </c>
      <c r="P47" s="62" t="str">
        <f ca="1">IF(AND('Mapa final'!$AG$15="Muy Baja",'Mapa final'!$AI$15="Menor"),CONCATENATE("R2C",'Mapa final'!$W$15),"")</f>
        <v/>
      </c>
      <c r="Q47" s="63" t="str">
        <f ca="1">IF(AND('Mapa final'!$AG$16="Muy Baja",'Mapa final'!$AI$16="Menor"),CONCATENATE("R2C",'Mapa final'!$W$16),"")</f>
        <v/>
      </c>
      <c r="R47" s="63" t="e">
        <f>IF(AND('Mapa final'!#REF!="Muy Baja",'Mapa final'!#REF!="Menor"),CONCATENATE("R2C",'Mapa final'!#REF!),"")</f>
        <v>#REF!</v>
      </c>
      <c r="S47" s="63" t="e">
        <f>IF(AND('Mapa final'!#REF!="Muy Baja",'Mapa final'!#REF!="Menor"),CONCATENATE("R2C",'Mapa final'!#REF!),"")</f>
        <v>#REF!</v>
      </c>
      <c r="T47" s="63" t="e">
        <f>IF(AND('Mapa final'!#REF!="Muy Baja",'Mapa final'!#REF!="Menor"),CONCATENATE("R2C",'Mapa final'!#REF!),"")</f>
        <v>#REF!</v>
      </c>
      <c r="U47" s="64" t="e">
        <f>IF(AND('Mapa final'!#REF!="Muy Baja",'Mapa final'!#REF!="Menor"),CONCATENATE("R2C",'Mapa final'!#REF!),"")</f>
        <v>#REF!</v>
      </c>
      <c r="V47" s="53" t="str">
        <f ca="1">IF(AND('Mapa final'!$AG$15="Muy Baja",'Mapa final'!$AI$15="Moderado"),CONCATENATE("R2C",'Mapa final'!$W$15),"")</f>
        <v/>
      </c>
      <c r="W47" s="54" t="str">
        <f ca="1">IF(AND('Mapa final'!$AG$16="Muy Baja",'Mapa final'!$AI$16="Moderado"),CONCATENATE("R2C",'Mapa final'!$W$16),"")</f>
        <v/>
      </c>
      <c r="X47" s="54" t="e">
        <f>IF(AND('Mapa final'!#REF!="Muy Baja",'Mapa final'!#REF!="Moderado"),CONCATENATE("R2C",'Mapa final'!#REF!),"")</f>
        <v>#REF!</v>
      </c>
      <c r="Y47" s="54" t="e">
        <f>IF(AND('Mapa final'!#REF!="Muy Baja",'Mapa final'!#REF!="Moderado"),CONCATENATE("R2C",'Mapa final'!#REF!),"")</f>
        <v>#REF!</v>
      </c>
      <c r="Z47" s="54" t="e">
        <f>IF(AND('Mapa final'!#REF!="Muy Baja",'Mapa final'!#REF!="Moderado"),CONCATENATE("R2C",'Mapa final'!#REF!),"")</f>
        <v>#REF!</v>
      </c>
      <c r="AA47" s="55" t="e">
        <f>IF(AND('Mapa final'!#REF!="Muy Baja",'Mapa final'!#REF!="Moderado"),CONCATENATE("R2C",'Mapa final'!#REF!),"")</f>
        <v>#REF!</v>
      </c>
      <c r="AB47" s="38" t="str">
        <f ca="1">IF(AND('Mapa final'!$AG$15="Muy Baja",'Mapa final'!$AI$15="Mayor"),CONCATENATE("R2C",'Mapa final'!$W$15),"")</f>
        <v/>
      </c>
      <c r="AC47" s="39" t="str">
        <f ca="1">IF(AND('Mapa final'!$AG$16="Muy Baja",'Mapa final'!$AI$16="Mayor"),CONCATENATE("R2C",'Mapa final'!$W$16),"")</f>
        <v/>
      </c>
      <c r="AD47" s="39" t="e">
        <f>IF(AND('Mapa final'!#REF!="Muy Baja",'Mapa final'!#REF!="Mayor"),CONCATENATE("R2C",'Mapa final'!#REF!),"")</f>
        <v>#REF!</v>
      </c>
      <c r="AE47" s="39" t="e">
        <f>IF(AND('Mapa final'!#REF!="Muy Baja",'Mapa final'!#REF!="Mayor"),CONCATENATE("R2C",'Mapa final'!#REF!),"")</f>
        <v>#REF!</v>
      </c>
      <c r="AF47" s="39" t="e">
        <f>IF(AND('Mapa final'!#REF!="Muy Baja",'Mapa final'!#REF!="Mayor"),CONCATENATE("R2C",'Mapa final'!#REF!),"")</f>
        <v>#REF!</v>
      </c>
      <c r="AG47" s="40" t="e">
        <f>IF(AND('Mapa final'!#REF!="Muy Baja",'Mapa final'!#REF!="Mayor"),CONCATENATE("R2C",'Mapa final'!#REF!),"")</f>
        <v>#REF!</v>
      </c>
      <c r="AH47" s="41" t="str">
        <f ca="1">IF(AND('Mapa final'!$AG$15="Muy Baja",'Mapa final'!$AI$15="Catastrófico"),CONCATENATE("R2C",'Mapa final'!$W$15),"")</f>
        <v/>
      </c>
      <c r="AI47" s="42" t="str">
        <f ca="1">IF(AND('Mapa final'!$AG$16="Muy Baja",'Mapa final'!$AI$16="Catastrófico"),CONCATENATE("R2C",'Mapa final'!$W$16),"")</f>
        <v/>
      </c>
      <c r="AJ47" s="42" t="e">
        <f>IF(AND('Mapa final'!#REF!="Muy Baja",'Mapa final'!#REF!="Catastrófico"),CONCATENATE("R2C",'Mapa final'!#REF!),"")</f>
        <v>#REF!</v>
      </c>
      <c r="AK47" s="42" t="e">
        <f>IF(AND('Mapa final'!#REF!="Muy Baja",'Mapa final'!#REF!="Catastrófico"),CONCATENATE("R2C",'Mapa final'!#REF!),"")</f>
        <v>#REF!</v>
      </c>
      <c r="AL47" s="42" t="e">
        <f>IF(AND('Mapa final'!#REF!="Muy Baja",'Mapa final'!#REF!="Catastrófico"),CONCATENATE("R2C",'Mapa final'!#REF!),"")</f>
        <v>#REF!</v>
      </c>
      <c r="AM47" s="43" t="e">
        <f>IF(AND('Mapa final'!#REF!="Muy Baja",'Mapa final'!#REF!="Catastrófico"),CONCATENATE("R2C",'Mapa final'!#REF!),"")</f>
        <v>#REF!</v>
      </c>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ht="15" customHeight="1" x14ac:dyDescent="0.25">
      <c r="A48" s="69"/>
      <c r="B48" s="537"/>
      <c r="C48" s="537"/>
      <c r="D48" s="538"/>
      <c r="E48" s="615"/>
      <c r="F48" s="616"/>
      <c r="G48" s="616"/>
      <c r="H48" s="616"/>
      <c r="I48" s="617"/>
      <c r="J48" s="62" t="str">
        <f ca="1">IF(AND('Mapa final'!$AG$17="Muy Baja",'Mapa final'!$AI$17="Leve"),CONCATENATE("R3C",'Mapa final'!$W$17),"")</f>
        <v/>
      </c>
      <c r="K48" s="63" t="str">
        <f ca="1">IF(AND('Mapa final'!$AG$18="Muy Baja",'Mapa final'!$AI$18="Leve"),CONCATENATE("R3C",'Mapa final'!$W$18),"")</f>
        <v/>
      </c>
      <c r="L48" s="63" t="str">
        <f ca="1">IF(AND('Mapa final'!$AG$19="Muy Baja",'Mapa final'!$AI$19="Leve"),CONCATENATE("R3C",'Mapa final'!$W$19),"")</f>
        <v/>
      </c>
      <c r="M48" s="63" t="e">
        <f>IF(AND('Mapa final'!#REF!="Muy Baja",'Mapa final'!#REF!="Leve"),CONCATENATE("R3C",'Mapa final'!#REF!),"")</f>
        <v>#REF!</v>
      </c>
      <c r="N48" s="63" t="e">
        <f>IF(AND('Mapa final'!#REF!="Muy Baja",'Mapa final'!#REF!="Leve"),CONCATENATE("R3C",'Mapa final'!#REF!),"")</f>
        <v>#REF!</v>
      </c>
      <c r="O48" s="64" t="e">
        <f>IF(AND('Mapa final'!#REF!="Muy Baja",'Mapa final'!#REF!="Leve"),CONCATENATE("R3C",'Mapa final'!#REF!),"")</f>
        <v>#REF!</v>
      </c>
      <c r="P48" s="62" t="str">
        <f ca="1">IF(AND('Mapa final'!$AG$17="Muy Baja",'Mapa final'!$AI$17="Menor"),CONCATENATE("R3C",'Mapa final'!$W$17),"")</f>
        <v/>
      </c>
      <c r="Q48" s="63" t="str">
        <f ca="1">IF(AND('Mapa final'!$AG$18="Muy Baja",'Mapa final'!$AI$18="Menor"),CONCATENATE("R3C",'Mapa final'!$W$18),"")</f>
        <v/>
      </c>
      <c r="R48" s="63" t="str">
        <f ca="1">IF(AND('Mapa final'!$AG$19="Muy Baja",'Mapa final'!$AI$19="Menor"),CONCATENATE("R3C",'Mapa final'!$W$19),"")</f>
        <v/>
      </c>
      <c r="S48" s="63" t="e">
        <f>IF(AND('Mapa final'!#REF!="Muy Baja",'Mapa final'!#REF!="Menor"),CONCATENATE("R3C",'Mapa final'!#REF!),"")</f>
        <v>#REF!</v>
      </c>
      <c r="T48" s="63" t="e">
        <f>IF(AND('Mapa final'!#REF!="Muy Baja",'Mapa final'!#REF!="Menor"),CONCATENATE("R3C",'Mapa final'!#REF!),"")</f>
        <v>#REF!</v>
      </c>
      <c r="U48" s="64" t="e">
        <f>IF(AND('Mapa final'!#REF!="Muy Baja",'Mapa final'!#REF!="Menor"),CONCATENATE("R3C",'Mapa final'!#REF!),"")</f>
        <v>#REF!</v>
      </c>
      <c r="V48" s="53" t="str">
        <f ca="1">IF(AND('Mapa final'!$AG$17="Muy Baja",'Mapa final'!$AI$17="Moderado"),CONCATENATE("R3C",'Mapa final'!$W$17),"")</f>
        <v/>
      </c>
      <c r="W48" s="54" t="str">
        <f ca="1">IF(AND('Mapa final'!$AG$18="Muy Baja",'Mapa final'!$AI$18="Moderado"),CONCATENATE("R3C",'Mapa final'!$W$18),"")</f>
        <v/>
      </c>
      <c r="X48" s="54" t="str">
        <f ca="1">IF(AND('Mapa final'!$AG$19="Muy Baja",'Mapa final'!$AI$19="Moderado"),CONCATENATE("R3C",'Mapa final'!$W$19),"")</f>
        <v/>
      </c>
      <c r="Y48" s="54" t="e">
        <f>IF(AND('Mapa final'!#REF!="Muy Baja",'Mapa final'!#REF!="Moderado"),CONCATENATE("R3C",'Mapa final'!#REF!),"")</f>
        <v>#REF!</v>
      </c>
      <c r="Z48" s="54" t="e">
        <f>IF(AND('Mapa final'!#REF!="Muy Baja",'Mapa final'!#REF!="Moderado"),CONCATENATE("R3C",'Mapa final'!#REF!),"")</f>
        <v>#REF!</v>
      </c>
      <c r="AA48" s="55" t="e">
        <f>IF(AND('Mapa final'!#REF!="Muy Baja",'Mapa final'!#REF!="Moderado"),CONCATENATE("R3C",'Mapa final'!#REF!),"")</f>
        <v>#REF!</v>
      </c>
      <c r="AB48" s="38" t="str">
        <f ca="1">IF(AND('Mapa final'!$AG$17="Muy Baja",'Mapa final'!$AI$17="Mayor"),CONCATENATE("R3C",'Mapa final'!$W$17),"")</f>
        <v>R3C1</v>
      </c>
      <c r="AC48" s="39" t="str">
        <f ca="1">IF(AND('Mapa final'!$AG$18="Muy Baja",'Mapa final'!$AI$18="Mayor"),CONCATENATE("R3C",'Mapa final'!$W$18),"")</f>
        <v>R3C2</v>
      </c>
      <c r="AD48" s="39" t="str">
        <f ca="1">IF(AND('Mapa final'!$AG$19="Muy Baja",'Mapa final'!$AI$19="Mayor"),CONCATENATE("R3C",'Mapa final'!$W$19),"")</f>
        <v>R3C3</v>
      </c>
      <c r="AE48" s="39" t="e">
        <f>IF(AND('Mapa final'!#REF!="Muy Baja",'Mapa final'!#REF!="Mayor"),CONCATENATE("R3C",'Mapa final'!#REF!),"")</f>
        <v>#REF!</v>
      </c>
      <c r="AF48" s="39" t="e">
        <f>IF(AND('Mapa final'!#REF!="Muy Baja",'Mapa final'!#REF!="Mayor"),CONCATENATE("R3C",'Mapa final'!#REF!),"")</f>
        <v>#REF!</v>
      </c>
      <c r="AG48" s="40" t="e">
        <f>IF(AND('Mapa final'!#REF!="Muy Baja",'Mapa final'!#REF!="Mayor"),CONCATENATE("R3C",'Mapa final'!#REF!),"")</f>
        <v>#REF!</v>
      </c>
      <c r="AH48" s="41" t="str">
        <f ca="1">IF(AND('Mapa final'!$AG$17="Muy Baja",'Mapa final'!$AI$17="Catastrófico"),CONCATENATE("R3C",'Mapa final'!$W$17),"")</f>
        <v/>
      </c>
      <c r="AI48" s="42" t="str">
        <f ca="1">IF(AND('Mapa final'!$AG$18="Muy Baja",'Mapa final'!$AI$18="Catastrófico"),CONCATENATE("R3C",'Mapa final'!$W$18),"")</f>
        <v/>
      </c>
      <c r="AJ48" s="42" t="str">
        <f ca="1">IF(AND('Mapa final'!$AG$19="Muy Baja",'Mapa final'!$AI$19="Catastrófico"),CONCATENATE("R3C",'Mapa final'!$W$19),"")</f>
        <v/>
      </c>
      <c r="AK48" s="42" t="e">
        <f>IF(AND('Mapa final'!#REF!="Muy Baja",'Mapa final'!#REF!="Catastrófico"),CONCATENATE("R3C",'Mapa final'!#REF!),"")</f>
        <v>#REF!</v>
      </c>
      <c r="AL48" s="42" t="e">
        <f>IF(AND('Mapa final'!#REF!="Muy Baja",'Mapa final'!#REF!="Catastrófico"),CONCATENATE("R3C",'Mapa final'!#REF!),"")</f>
        <v>#REF!</v>
      </c>
      <c r="AM48" s="43" t="e">
        <f>IF(AND('Mapa final'!#REF!="Muy Baja",'Mapa final'!#REF!="Catastrófico"),CONCATENATE("R3C",'Mapa final'!#REF!),"")</f>
        <v>#REF!</v>
      </c>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ht="15" customHeight="1" x14ac:dyDescent="0.25">
      <c r="A49" s="69"/>
      <c r="B49" s="537"/>
      <c r="C49" s="537"/>
      <c r="D49" s="538"/>
      <c r="E49" s="618"/>
      <c r="F49" s="616"/>
      <c r="G49" s="616"/>
      <c r="H49" s="616"/>
      <c r="I49" s="617"/>
      <c r="J49" s="62" t="str">
        <f ca="1">IF(AND('Mapa final'!$AG$20="Muy Baja",'Mapa final'!$AI$20="Leve"),CONCATENATE("R4C",'Mapa final'!$W$20),"")</f>
        <v/>
      </c>
      <c r="K49" s="63" t="str">
        <f ca="1">IF(AND('Mapa final'!$AG$21="Muy Baja",'Mapa final'!$AI$21="Leve"),CONCATENATE("R4C",'Mapa final'!$W$21),"")</f>
        <v/>
      </c>
      <c r="L49" s="63" t="e">
        <f>IF(AND('Mapa final'!#REF!="Muy Baja",'Mapa final'!#REF!="Leve"),CONCATENATE("R4C",'Mapa final'!#REF!),"")</f>
        <v>#REF!</v>
      </c>
      <c r="M49" s="63" t="e">
        <f>IF(AND('Mapa final'!#REF!="Muy Baja",'Mapa final'!#REF!="Leve"),CONCATENATE("R4C",'Mapa final'!#REF!),"")</f>
        <v>#REF!</v>
      </c>
      <c r="N49" s="63" t="e">
        <f>IF(AND('Mapa final'!#REF!="Muy Baja",'Mapa final'!#REF!="Leve"),CONCATENATE("R4C",'Mapa final'!#REF!),"")</f>
        <v>#REF!</v>
      </c>
      <c r="O49" s="64" t="e">
        <f>IF(AND('Mapa final'!#REF!="Muy Baja",'Mapa final'!#REF!="Leve"),CONCATENATE("R4C",'Mapa final'!#REF!),"")</f>
        <v>#REF!</v>
      </c>
      <c r="P49" s="62" t="str">
        <f ca="1">IF(AND('Mapa final'!$AG$20="Muy Baja",'Mapa final'!$AI$20="Menor"),CONCATENATE("R4C",'Mapa final'!$W$20),"")</f>
        <v/>
      </c>
      <c r="Q49" s="63" t="str">
        <f ca="1">IF(AND('Mapa final'!$AG$21="Muy Baja",'Mapa final'!$AI$21="Menor"),CONCATENATE("R4C",'Mapa final'!$W$21),"")</f>
        <v/>
      </c>
      <c r="R49" s="63" t="e">
        <f>IF(AND('Mapa final'!#REF!="Muy Baja",'Mapa final'!#REF!="Menor"),CONCATENATE("R4C",'Mapa final'!#REF!),"")</f>
        <v>#REF!</v>
      </c>
      <c r="S49" s="63" t="e">
        <f>IF(AND('Mapa final'!#REF!="Muy Baja",'Mapa final'!#REF!="Menor"),CONCATENATE("R4C",'Mapa final'!#REF!),"")</f>
        <v>#REF!</v>
      </c>
      <c r="T49" s="63" t="e">
        <f>IF(AND('Mapa final'!#REF!="Muy Baja",'Mapa final'!#REF!="Menor"),CONCATENATE("R4C",'Mapa final'!#REF!),"")</f>
        <v>#REF!</v>
      </c>
      <c r="U49" s="64" t="e">
        <f>IF(AND('Mapa final'!#REF!="Muy Baja",'Mapa final'!#REF!="Menor"),CONCATENATE("R4C",'Mapa final'!#REF!),"")</f>
        <v>#REF!</v>
      </c>
      <c r="V49" s="53" t="str">
        <f ca="1">IF(AND('Mapa final'!$AG$20="Muy Baja",'Mapa final'!$AI$20="Moderado"),CONCATENATE("R4C",'Mapa final'!$W$20),"")</f>
        <v/>
      </c>
      <c r="W49" s="54" t="str">
        <f ca="1">IF(AND('Mapa final'!$AG$21="Muy Baja",'Mapa final'!$AI$21="Moderado"),CONCATENATE("R4C",'Mapa final'!$W$21),"")</f>
        <v>R4C2</v>
      </c>
      <c r="X49" s="54" t="e">
        <f>IF(AND('Mapa final'!#REF!="Muy Baja",'Mapa final'!#REF!="Moderado"),CONCATENATE("R4C",'Mapa final'!#REF!),"")</f>
        <v>#REF!</v>
      </c>
      <c r="Y49" s="54" t="e">
        <f>IF(AND('Mapa final'!#REF!="Muy Baja",'Mapa final'!#REF!="Moderado"),CONCATENATE("R4C",'Mapa final'!#REF!),"")</f>
        <v>#REF!</v>
      </c>
      <c r="Z49" s="54" t="e">
        <f>IF(AND('Mapa final'!#REF!="Muy Baja",'Mapa final'!#REF!="Moderado"),CONCATENATE("R4C",'Mapa final'!#REF!),"")</f>
        <v>#REF!</v>
      </c>
      <c r="AA49" s="55" t="e">
        <f>IF(AND('Mapa final'!#REF!="Muy Baja",'Mapa final'!#REF!="Moderado"),CONCATENATE("R4C",'Mapa final'!#REF!),"")</f>
        <v>#REF!</v>
      </c>
      <c r="AB49" s="38" t="str">
        <f ca="1">IF(AND('Mapa final'!$AG$20="Muy Baja",'Mapa final'!$AI$20="Mayor"),CONCATENATE("R4C",'Mapa final'!$W$20),"")</f>
        <v/>
      </c>
      <c r="AC49" s="39" t="str">
        <f ca="1">IF(AND('Mapa final'!$AG$21="Muy Baja",'Mapa final'!$AI$21="Mayor"),CONCATENATE("R4C",'Mapa final'!$W$21),"")</f>
        <v/>
      </c>
      <c r="AD49" s="39" t="e">
        <f>IF(AND('Mapa final'!#REF!="Muy Baja",'Mapa final'!#REF!="Mayor"),CONCATENATE("R4C",'Mapa final'!#REF!),"")</f>
        <v>#REF!</v>
      </c>
      <c r="AE49" s="39" t="e">
        <f>IF(AND('Mapa final'!#REF!="Muy Baja",'Mapa final'!#REF!="Mayor"),CONCATENATE("R4C",'Mapa final'!#REF!),"")</f>
        <v>#REF!</v>
      </c>
      <c r="AF49" s="39" t="e">
        <f>IF(AND('Mapa final'!#REF!="Muy Baja",'Mapa final'!#REF!="Mayor"),CONCATENATE("R4C",'Mapa final'!#REF!),"")</f>
        <v>#REF!</v>
      </c>
      <c r="AG49" s="40" t="e">
        <f>IF(AND('Mapa final'!#REF!="Muy Baja",'Mapa final'!#REF!="Mayor"),CONCATENATE("R4C",'Mapa final'!#REF!),"")</f>
        <v>#REF!</v>
      </c>
      <c r="AH49" s="41" t="str">
        <f ca="1">IF(AND('Mapa final'!$AG$20="Muy Baja",'Mapa final'!$AI$20="Catastrófico"),CONCATENATE("R4C",'Mapa final'!$W$20),"")</f>
        <v/>
      </c>
      <c r="AI49" s="42" t="str">
        <f ca="1">IF(AND('Mapa final'!$AG$21="Muy Baja",'Mapa final'!$AI$21="Catastrófico"),CONCATENATE("R4C",'Mapa final'!$W$21),"")</f>
        <v/>
      </c>
      <c r="AJ49" s="42" t="e">
        <f>IF(AND('Mapa final'!#REF!="Muy Baja",'Mapa final'!#REF!="Catastrófico"),CONCATENATE("R4C",'Mapa final'!#REF!),"")</f>
        <v>#REF!</v>
      </c>
      <c r="AK49" s="42" t="e">
        <f>IF(AND('Mapa final'!#REF!="Muy Baja",'Mapa final'!#REF!="Catastrófico"),CONCATENATE("R4C",'Mapa final'!#REF!),"")</f>
        <v>#REF!</v>
      </c>
      <c r="AL49" s="42" t="e">
        <f>IF(AND('Mapa final'!#REF!="Muy Baja",'Mapa final'!#REF!="Catastrófico"),CONCATENATE("R4C",'Mapa final'!#REF!),"")</f>
        <v>#REF!</v>
      </c>
      <c r="AM49" s="43" t="e">
        <f>IF(AND('Mapa final'!#REF!="Muy Baja",'Mapa final'!#REF!="Catastrófico"),CONCATENATE("R4C",'Mapa final'!#REF!),"")</f>
        <v>#REF!</v>
      </c>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ht="15" customHeight="1" x14ac:dyDescent="0.25">
      <c r="A50" s="69"/>
      <c r="B50" s="537"/>
      <c r="C50" s="537"/>
      <c r="D50" s="538"/>
      <c r="E50" s="618"/>
      <c r="F50" s="616"/>
      <c r="G50" s="616"/>
      <c r="H50" s="616"/>
      <c r="I50" s="617"/>
      <c r="J50" s="62" t="str">
        <f ca="1">IF(AND('Mapa final'!$AG$22="Muy Baja",'Mapa final'!$AI$22="Leve"),CONCATENATE("R5C",'Mapa final'!$W$22),"")</f>
        <v/>
      </c>
      <c r="K50" s="63" t="str">
        <f ca="1">IF(AND('Mapa final'!$AG$23="Muy Baja",'Mapa final'!$AI$23="Leve"),CONCATENATE("R5C",'Mapa final'!$W$23),"")</f>
        <v/>
      </c>
      <c r="L50" s="63" t="str">
        <f ca="1">IF(AND('Mapa final'!$AG$24="Muy Baja",'Mapa final'!$AI$24="Leve"),CONCATENATE("R5C",'Mapa final'!$W$24),"")</f>
        <v/>
      </c>
      <c r="M50" s="63" t="e">
        <f>IF(AND('Mapa final'!#REF!="Muy Baja",'Mapa final'!#REF!="Leve"),CONCATENATE("R5C",'Mapa final'!#REF!),"")</f>
        <v>#REF!</v>
      </c>
      <c r="N50" s="63" t="e">
        <f>IF(AND('Mapa final'!#REF!="Muy Baja",'Mapa final'!#REF!="Leve"),CONCATENATE("R5C",'Mapa final'!#REF!),"")</f>
        <v>#REF!</v>
      </c>
      <c r="O50" s="64" t="e">
        <f>IF(AND('Mapa final'!#REF!="Muy Baja",'Mapa final'!#REF!="Leve"),CONCATENATE("R5C",'Mapa final'!#REF!),"")</f>
        <v>#REF!</v>
      </c>
      <c r="P50" s="62" t="str">
        <f ca="1">IF(AND('Mapa final'!$AG$22="Muy Baja",'Mapa final'!$AI$22="Menor"),CONCATENATE("R5C",'Mapa final'!$W$22),"")</f>
        <v/>
      </c>
      <c r="Q50" s="63" t="str">
        <f ca="1">IF(AND('Mapa final'!$AG$23="Muy Baja",'Mapa final'!$AI$23="Menor"),CONCATENATE("R5C",'Mapa final'!$W$23),"")</f>
        <v/>
      </c>
      <c r="R50" s="63" t="str">
        <f ca="1">IF(AND('Mapa final'!$AG$24="Muy Baja",'Mapa final'!$AI$24="Menor"),CONCATENATE("R5C",'Mapa final'!$W$24),"")</f>
        <v/>
      </c>
      <c r="S50" s="63" t="e">
        <f>IF(AND('Mapa final'!#REF!="Muy Baja",'Mapa final'!#REF!="Menor"),CONCATENATE("R5C",'Mapa final'!#REF!),"")</f>
        <v>#REF!</v>
      </c>
      <c r="T50" s="63" t="e">
        <f>IF(AND('Mapa final'!#REF!="Muy Baja",'Mapa final'!#REF!="Menor"),CONCATENATE("R5C",'Mapa final'!#REF!),"")</f>
        <v>#REF!</v>
      </c>
      <c r="U50" s="64" t="e">
        <f>IF(AND('Mapa final'!#REF!="Muy Baja",'Mapa final'!#REF!="Menor"),CONCATENATE("R5C",'Mapa final'!#REF!),"")</f>
        <v>#REF!</v>
      </c>
      <c r="V50" s="53" t="str">
        <f ca="1">IF(AND('Mapa final'!$AG$22="Muy Baja",'Mapa final'!$AI$22="Moderado"),CONCATENATE("R5C",'Mapa final'!$W$22),"")</f>
        <v/>
      </c>
      <c r="W50" s="54" t="str">
        <f ca="1">IF(AND('Mapa final'!$AG$23="Muy Baja",'Mapa final'!$AI$23="Moderado"),CONCATENATE("R5C",'Mapa final'!$W$23),"")</f>
        <v/>
      </c>
      <c r="X50" s="54" t="str">
        <f ca="1">IF(AND('Mapa final'!$AG$24="Muy Baja",'Mapa final'!$AI$24="Moderado"),CONCATENATE("R5C",'Mapa final'!$W$24),"")</f>
        <v/>
      </c>
      <c r="Y50" s="54" t="e">
        <f>IF(AND('Mapa final'!#REF!="Muy Baja",'Mapa final'!#REF!="Moderado"),CONCATENATE("R5C",'Mapa final'!#REF!),"")</f>
        <v>#REF!</v>
      </c>
      <c r="Z50" s="54" t="e">
        <f>IF(AND('Mapa final'!#REF!="Muy Baja",'Mapa final'!#REF!="Moderado"),CONCATENATE("R5C",'Mapa final'!#REF!),"")</f>
        <v>#REF!</v>
      </c>
      <c r="AA50" s="55" t="e">
        <f>IF(AND('Mapa final'!#REF!="Muy Baja",'Mapa final'!#REF!="Moderado"),CONCATENATE("R5C",'Mapa final'!#REF!),"")</f>
        <v>#REF!</v>
      </c>
      <c r="AB50" s="38" t="str">
        <f ca="1">IF(AND('Mapa final'!$AG$22="Muy Baja",'Mapa final'!$AI$22="Mayor"),CONCATENATE("R5C",'Mapa final'!$W$22),"")</f>
        <v>R5C1</v>
      </c>
      <c r="AC50" s="39" t="str">
        <f ca="1">IF(AND('Mapa final'!$AG$23="Muy Baja",'Mapa final'!$AI$23="Mayor"),CONCATENATE("R5C",'Mapa final'!$W$23),"")</f>
        <v>R5C2</v>
      </c>
      <c r="AD50" s="39" t="str">
        <f ca="1">IF(AND('Mapa final'!$AG$24="Muy Baja",'Mapa final'!$AI$24="Mayor"),CONCATENATE("R5C",'Mapa final'!$W$24),"")</f>
        <v>R5C3</v>
      </c>
      <c r="AE50" s="39" t="e">
        <f>IF(AND('Mapa final'!#REF!="Muy Baja",'Mapa final'!#REF!="Mayor"),CONCATENATE("R5C",'Mapa final'!#REF!),"")</f>
        <v>#REF!</v>
      </c>
      <c r="AF50" s="39" t="e">
        <f>IF(AND('Mapa final'!#REF!="Muy Baja",'Mapa final'!#REF!="Mayor"),CONCATENATE("R5C",'Mapa final'!#REF!),"")</f>
        <v>#REF!</v>
      </c>
      <c r="AG50" s="40" t="e">
        <f>IF(AND('Mapa final'!#REF!="Muy Baja",'Mapa final'!#REF!="Mayor"),CONCATENATE("R5C",'Mapa final'!#REF!),"")</f>
        <v>#REF!</v>
      </c>
      <c r="AH50" s="41" t="str">
        <f ca="1">IF(AND('Mapa final'!$AG$22="Muy Baja",'Mapa final'!$AI$22="Catastrófico"),CONCATENATE("R5C",'Mapa final'!$W$22),"")</f>
        <v/>
      </c>
      <c r="AI50" s="42" t="str">
        <f ca="1">IF(AND('Mapa final'!$AG$23="Muy Baja",'Mapa final'!$AI$23="Catastrófico"),CONCATENATE("R5C",'Mapa final'!$W$23),"")</f>
        <v/>
      </c>
      <c r="AJ50" s="42" t="str">
        <f ca="1">IF(AND('Mapa final'!$AG$24="Muy Baja",'Mapa final'!$AI$24="Catastrófico"),CONCATENATE("R5C",'Mapa final'!$W$24),"")</f>
        <v/>
      </c>
      <c r="AK50" s="42" t="e">
        <f>IF(AND('Mapa final'!#REF!="Muy Baja",'Mapa final'!#REF!="Catastrófico"),CONCATENATE("R5C",'Mapa final'!#REF!),"")</f>
        <v>#REF!</v>
      </c>
      <c r="AL50" s="42" t="e">
        <f>IF(AND('Mapa final'!#REF!="Muy Baja",'Mapa final'!#REF!="Catastrófico"),CONCATENATE("R5C",'Mapa final'!#REF!),"")</f>
        <v>#REF!</v>
      </c>
      <c r="AM50" s="43" t="e">
        <f>IF(AND('Mapa final'!#REF!="Muy Baja",'Mapa final'!#REF!="Catastrófico"),CONCATENATE("R5C",'Mapa final'!#REF!),"")</f>
        <v>#REF!</v>
      </c>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 customHeight="1" x14ac:dyDescent="0.25">
      <c r="A51" s="69"/>
      <c r="B51" s="537"/>
      <c r="C51" s="537"/>
      <c r="D51" s="538"/>
      <c r="E51" s="618"/>
      <c r="F51" s="616"/>
      <c r="G51" s="616"/>
      <c r="H51" s="616"/>
      <c r="I51" s="617"/>
      <c r="J51" s="62" t="str">
        <f ca="1">IF(AND('Mapa final'!$AG$25="Muy Baja",'Mapa final'!$AI$25="Leve"),CONCATENATE("R6C",'Mapa final'!$W$25),"")</f>
        <v/>
      </c>
      <c r="K51" s="63" t="str">
        <f ca="1">IF(AND('Mapa final'!$AG$26="Muy Baja",'Mapa final'!$AI$26="Leve"),CONCATENATE("R6C",'Mapa final'!$W$26),"")</f>
        <v/>
      </c>
      <c r="L51" s="63" t="e">
        <f>IF(AND('Mapa final'!#REF!="Muy Baja",'Mapa final'!#REF!="Leve"),CONCATENATE("R6C",'Mapa final'!#REF!),"")</f>
        <v>#REF!</v>
      </c>
      <c r="M51" s="63" t="e">
        <f>IF(AND('Mapa final'!#REF!="Muy Baja",'Mapa final'!#REF!="Leve"),CONCATENATE("R6C",'Mapa final'!#REF!),"")</f>
        <v>#REF!</v>
      </c>
      <c r="N51" s="63" t="e">
        <f>IF(AND('Mapa final'!#REF!="Muy Baja",'Mapa final'!#REF!="Leve"),CONCATENATE("R6C",'Mapa final'!#REF!),"")</f>
        <v>#REF!</v>
      </c>
      <c r="O51" s="64" t="e">
        <f>IF(AND('Mapa final'!#REF!="Muy Baja",'Mapa final'!#REF!="Leve"),CONCATENATE("R6C",'Mapa final'!#REF!),"")</f>
        <v>#REF!</v>
      </c>
      <c r="P51" s="62" t="str">
        <f ca="1">IF(AND('Mapa final'!$AG$25="Muy Baja",'Mapa final'!$AI$25="Menor"),CONCATENATE("R6C",'Mapa final'!$W$25),"")</f>
        <v/>
      </c>
      <c r="Q51" s="63" t="str">
        <f ca="1">IF(AND('Mapa final'!$AG$26="Muy Baja",'Mapa final'!$AI$26="Menor"),CONCATENATE("R6C",'Mapa final'!$W$26),"")</f>
        <v/>
      </c>
      <c r="R51" s="63" t="e">
        <f>IF(AND('Mapa final'!#REF!="Muy Baja",'Mapa final'!#REF!="Menor"),CONCATENATE("R6C",'Mapa final'!#REF!),"")</f>
        <v>#REF!</v>
      </c>
      <c r="S51" s="63" t="e">
        <f>IF(AND('Mapa final'!#REF!="Muy Baja",'Mapa final'!#REF!="Menor"),CONCATENATE("R6C",'Mapa final'!#REF!),"")</f>
        <v>#REF!</v>
      </c>
      <c r="T51" s="63" t="e">
        <f>IF(AND('Mapa final'!#REF!="Muy Baja",'Mapa final'!#REF!="Menor"),CONCATENATE("R6C",'Mapa final'!#REF!),"")</f>
        <v>#REF!</v>
      </c>
      <c r="U51" s="64" t="e">
        <f>IF(AND('Mapa final'!#REF!="Muy Baja",'Mapa final'!#REF!="Menor"),CONCATENATE("R6C",'Mapa final'!#REF!),"")</f>
        <v>#REF!</v>
      </c>
      <c r="V51" s="53" t="str">
        <f ca="1">IF(AND('Mapa final'!$AG$25="Muy Baja",'Mapa final'!$AI$25="Moderado"),CONCATENATE("R6C",'Mapa final'!$W$25),"")</f>
        <v/>
      </c>
      <c r="W51" s="54" t="str">
        <f ca="1">IF(AND('Mapa final'!$AG$26="Muy Baja",'Mapa final'!$AI$26="Moderado"),CONCATENATE("R6C",'Mapa final'!$W$26),"")</f>
        <v/>
      </c>
      <c r="X51" s="54" t="e">
        <f>IF(AND('Mapa final'!#REF!="Muy Baja",'Mapa final'!#REF!="Moderado"),CONCATENATE("R6C",'Mapa final'!#REF!),"")</f>
        <v>#REF!</v>
      </c>
      <c r="Y51" s="54" t="e">
        <f>IF(AND('Mapa final'!#REF!="Muy Baja",'Mapa final'!#REF!="Moderado"),CONCATENATE("R6C",'Mapa final'!#REF!),"")</f>
        <v>#REF!</v>
      </c>
      <c r="Z51" s="54" t="e">
        <f>IF(AND('Mapa final'!#REF!="Muy Baja",'Mapa final'!#REF!="Moderado"),CONCATENATE("R6C",'Mapa final'!#REF!),"")</f>
        <v>#REF!</v>
      </c>
      <c r="AA51" s="55" t="e">
        <f>IF(AND('Mapa final'!#REF!="Muy Baja",'Mapa final'!#REF!="Moderado"),CONCATENATE("R6C",'Mapa final'!#REF!),"")</f>
        <v>#REF!</v>
      </c>
      <c r="AB51" s="38" t="str">
        <f ca="1">IF(AND('Mapa final'!$AG$25="Muy Baja",'Mapa final'!$AI$25="Mayor"),CONCATENATE("R6C",'Mapa final'!$W$25),"")</f>
        <v/>
      </c>
      <c r="AC51" s="39" t="str">
        <f ca="1">IF(AND('Mapa final'!$AG$26="Muy Baja",'Mapa final'!$AI$26="Mayor"),CONCATENATE("R6C",'Mapa final'!$W$26),"")</f>
        <v/>
      </c>
      <c r="AD51" s="39" t="e">
        <f>IF(AND('Mapa final'!#REF!="Muy Baja",'Mapa final'!#REF!="Mayor"),CONCATENATE("R6C",'Mapa final'!#REF!),"")</f>
        <v>#REF!</v>
      </c>
      <c r="AE51" s="39" t="e">
        <f>IF(AND('Mapa final'!#REF!="Muy Baja",'Mapa final'!#REF!="Mayor"),CONCATENATE("R6C",'Mapa final'!#REF!),"")</f>
        <v>#REF!</v>
      </c>
      <c r="AF51" s="39" t="e">
        <f>IF(AND('Mapa final'!#REF!="Muy Baja",'Mapa final'!#REF!="Mayor"),CONCATENATE("R6C",'Mapa final'!#REF!),"")</f>
        <v>#REF!</v>
      </c>
      <c r="AG51" s="40" t="e">
        <f>IF(AND('Mapa final'!#REF!="Muy Baja",'Mapa final'!#REF!="Mayor"),CONCATENATE("R6C",'Mapa final'!#REF!),"")</f>
        <v>#REF!</v>
      </c>
      <c r="AH51" s="41" t="str">
        <f ca="1">IF(AND('Mapa final'!$AG$25="Muy Baja",'Mapa final'!$AI$25="Catastrófico"),CONCATENATE("R6C",'Mapa final'!$W$25),"")</f>
        <v/>
      </c>
      <c r="AI51" s="42" t="str">
        <f ca="1">IF(AND('Mapa final'!$AG$26="Muy Baja",'Mapa final'!$AI$26="Catastrófico"),CONCATENATE("R6C",'Mapa final'!$W$26),"")</f>
        <v/>
      </c>
      <c r="AJ51" s="42" t="e">
        <f>IF(AND('Mapa final'!#REF!="Muy Baja",'Mapa final'!#REF!="Catastrófico"),CONCATENATE("R6C",'Mapa final'!#REF!),"")</f>
        <v>#REF!</v>
      </c>
      <c r="AK51" s="42" t="e">
        <f>IF(AND('Mapa final'!#REF!="Muy Baja",'Mapa final'!#REF!="Catastrófico"),CONCATENATE("R6C",'Mapa final'!#REF!),"")</f>
        <v>#REF!</v>
      </c>
      <c r="AL51" s="42" t="e">
        <f>IF(AND('Mapa final'!#REF!="Muy Baja",'Mapa final'!#REF!="Catastrófico"),CONCATENATE("R6C",'Mapa final'!#REF!),"")</f>
        <v>#REF!</v>
      </c>
      <c r="AM51" s="43" t="e">
        <f>IF(AND('Mapa final'!#REF!="Muy Baja",'Mapa final'!#REF!="Catastrófico"),CONCATENATE("R6C",'Mapa final'!#REF!),"")</f>
        <v>#REF!</v>
      </c>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ht="15" customHeight="1" x14ac:dyDescent="0.25">
      <c r="A52" s="69"/>
      <c r="B52" s="537"/>
      <c r="C52" s="537"/>
      <c r="D52" s="538"/>
      <c r="E52" s="618"/>
      <c r="F52" s="616"/>
      <c r="G52" s="616"/>
      <c r="H52" s="616"/>
      <c r="I52" s="617"/>
      <c r="J52" s="62" t="str">
        <f ca="1">IF(AND('Mapa final'!$AG$27="Muy Baja",'Mapa final'!$AI$27="Leve"),CONCATENATE("R7C",'Mapa final'!$W$27),"")</f>
        <v/>
      </c>
      <c r="K52" s="63" t="str">
        <f ca="1">IF(AND('Mapa final'!$AG$28="Muy Baja",'Mapa final'!$AI$28="Leve"),CONCATENATE("R7C",'Mapa final'!$W$28),"")</f>
        <v/>
      </c>
      <c r="L52" s="63" t="e">
        <f>IF(AND('Mapa final'!#REF!="Muy Baja",'Mapa final'!#REF!="Leve"),CONCATENATE("R7C",'Mapa final'!#REF!),"")</f>
        <v>#REF!</v>
      </c>
      <c r="M52" s="63" t="e">
        <f>IF(AND('Mapa final'!#REF!="Muy Baja",'Mapa final'!#REF!="Leve"),CONCATENATE("R7C",'Mapa final'!#REF!),"")</f>
        <v>#REF!</v>
      </c>
      <c r="N52" s="63" t="e">
        <f>IF(AND('Mapa final'!#REF!="Muy Baja",'Mapa final'!#REF!="Leve"),CONCATENATE("R7C",'Mapa final'!#REF!),"")</f>
        <v>#REF!</v>
      </c>
      <c r="O52" s="64" t="e">
        <f>IF(AND('Mapa final'!#REF!="Muy Baja",'Mapa final'!#REF!="Leve"),CONCATENATE("R7C",'Mapa final'!#REF!),"")</f>
        <v>#REF!</v>
      </c>
      <c r="P52" s="62" t="str">
        <f ca="1">IF(AND('Mapa final'!$AG$27="Muy Baja",'Mapa final'!$AI$27="Menor"),CONCATENATE("R7C",'Mapa final'!$W$27),"")</f>
        <v/>
      </c>
      <c r="Q52" s="63" t="str">
        <f ca="1">IF(AND('Mapa final'!$AG$28="Muy Baja",'Mapa final'!$AI$28="Menor"),CONCATENATE("R7C",'Mapa final'!$W$28),"")</f>
        <v/>
      </c>
      <c r="R52" s="63" t="e">
        <f>IF(AND('Mapa final'!#REF!="Muy Baja",'Mapa final'!#REF!="Menor"),CONCATENATE("R7C",'Mapa final'!#REF!),"")</f>
        <v>#REF!</v>
      </c>
      <c r="S52" s="63" t="e">
        <f>IF(AND('Mapa final'!#REF!="Muy Baja",'Mapa final'!#REF!="Menor"),CONCATENATE("R7C",'Mapa final'!#REF!),"")</f>
        <v>#REF!</v>
      </c>
      <c r="T52" s="63" t="e">
        <f>IF(AND('Mapa final'!#REF!="Muy Baja",'Mapa final'!#REF!="Menor"),CONCATENATE("R7C",'Mapa final'!#REF!),"")</f>
        <v>#REF!</v>
      </c>
      <c r="U52" s="64" t="e">
        <f>IF(AND('Mapa final'!#REF!="Muy Baja",'Mapa final'!#REF!="Menor"),CONCATENATE("R7C",'Mapa final'!#REF!),"")</f>
        <v>#REF!</v>
      </c>
      <c r="V52" s="53" t="str">
        <f ca="1">IF(AND('Mapa final'!$AG$27="Muy Baja",'Mapa final'!$AI$27="Moderado"),CONCATENATE("R7C",'Mapa final'!$W$27),"")</f>
        <v/>
      </c>
      <c r="W52" s="54" t="str">
        <f ca="1">IF(AND('Mapa final'!$AG$28="Muy Baja",'Mapa final'!$AI$28="Moderado"),CONCATENATE("R7C",'Mapa final'!$W$28),"")</f>
        <v/>
      </c>
      <c r="X52" s="54" t="e">
        <f>IF(AND('Mapa final'!#REF!="Muy Baja",'Mapa final'!#REF!="Moderado"),CONCATENATE("R7C",'Mapa final'!#REF!),"")</f>
        <v>#REF!</v>
      </c>
      <c r="Y52" s="54" t="e">
        <f>IF(AND('Mapa final'!#REF!="Muy Baja",'Mapa final'!#REF!="Moderado"),CONCATENATE("R7C",'Mapa final'!#REF!),"")</f>
        <v>#REF!</v>
      </c>
      <c r="Z52" s="54" t="e">
        <f>IF(AND('Mapa final'!#REF!="Muy Baja",'Mapa final'!#REF!="Moderado"),CONCATENATE("R7C",'Mapa final'!#REF!),"")</f>
        <v>#REF!</v>
      </c>
      <c r="AA52" s="55" t="e">
        <f>IF(AND('Mapa final'!#REF!="Muy Baja",'Mapa final'!#REF!="Moderado"),CONCATENATE("R7C",'Mapa final'!#REF!),"")</f>
        <v>#REF!</v>
      </c>
      <c r="AB52" s="38" t="str">
        <f ca="1">IF(AND('Mapa final'!$AG$27="Muy Baja",'Mapa final'!$AI$27="Mayor"),CONCATENATE("R7C",'Mapa final'!$W$27),"")</f>
        <v/>
      </c>
      <c r="AC52" s="39" t="str">
        <f ca="1">IF(AND('Mapa final'!$AG$28="Muy Baja",'Mapa final'!$AI$28="Mayor"),CONCATENATE("R7C",'Mapa final'!$W$28),"")</f>
        <v/>
      </c>
      <c r="AD52" s="39" t="e">
        <f>IF(AND('Mapa final'!#REF!="Muy Baja",'Mapa final'!#REF!="Mayor"),CONCATENATE("R7C",'Mapa final'!#REF!),"")</f>
        <v>#REF!</v>
      </c>
      <c r="AE52" s="39" t="e">
        <f>IF(AND('Mapa final'!#REF!="Muy Baja",'Mapa final'!#REF!="Mayor"),CONCATENATE("R7C",'Mapa final'!#REF!),"")</f>
        <v>#REF!</v>
      </c>
      <c r="AF52" s="39" t="e">
        <f>IF(AND('Mapa final'!#REF!="Muy Baja",'Mapa final'!#REF!="Mayor"),CONCATENATE("R7C",'Mapa final'!#REF!),"")</f>
        <v>#REF!</v>
      </c>
      <c r="AG52" s="40" t="e">
        <f>IF(AND('Mapa final'!#REF!="Muy Baja",'Mapa final'!#REF!="Mayor"),CONCATENATE("R7C",'Mapa final'!#REF!),"")</f>
        <v>#REF!</v>
      </c>
      <c r="AH52" s="41" t="str">
        <f ca="1">IF(AND('Mapa final'!$AG$27="Muy Baja",'Mapa final'!$AI$27="Catastrófico"),CONCATENATE("R7C",'Mapa final'!$W$27),"")</f>
        <v/>
      </c>
      <c r="AI52" s="42" t="str">
        <f ca="1">IF(AND('Mapa final'!$AG$28="Muy Baja",'Mapa final'!$AI$28="Catastrófico"),CONCATENATE("R7C",'Mapa final'!$W$28),"")</f>
        <v/>
      </c>
      <c r="AJ52" s="42" t="e">
        <f>IF(AND('Mapa final'!#REF!="Muy Baja",'Mapa final'!#REF!="Catastrófico"),CONCATENATE("R7C",'Mapa final'!#REF!),"")</f>
        <v>#REF!</v>
      </c>
      <c r="AK52" s="42" t="e">
        <f>IF(AND('Mapa final'!#REF!="Muy Baja",'Mapa final'!#REF!="Catastrófico"),CONCATENATE("R7C",'Mapa final'!#REF!),"")</f>
        <v>#REF!</v>
      </c>
      <c r="AL52" s="42" t="e">
        <f>IF(AND('Mapa final'!#REF!="Muy Baja",'Mapa final'!#REF!="Catastrófico"),CONCATENATE("R7C",'Mapa final'!#REF!),"")</f>
        <v>#REF!</v>
      </c>
      <c r="AM52" s="43" t="e">
        <f>IF(AND('Mapa final'!#REF!="Muy Baja",'Mapa final'!#REF!="Catastrófico"),CONCATENATE("R7C",'Mapa final'!#REF!),"")</f>
        <v>#REF!</v>
      </c>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537"/>
      <c r="C53" s="537"/>
      <c r="D53" s="538"/>
      <c r="E53" s="618"/>
      <c r="F53" s="616"/>
      <c r="G53" s="616"/>
      <c r="H53" s="616"/>
      <c r="I53" s="617"/>
      <c r="J53" s="62" t="str">
        <f ca="1">IF(AND('Mapa final'!$AG$29="Muy Baja",'Mapa final'!$AI$29="Leve"),CONCATENATE("R8C",'Mapa final'!$W$29),"")</f>
        <v/>
      </c>
      <c r="K53" s="63" t="str">
        <f ca="1">IF(AND('Mapa final'!$AG$30="Muy Baja",'Mapa final'!$AI$30="Leve"),CONCATENATE("R8C",'Mapa final'!$W$30),"")</f>
        <v/>
      </c>
      <c r="L53" s="63" t="str">
        <f ca="1">IF(AND('Mapa final'!$AG$31="Muy Baja",'Mapa final'!$AI$31="Leve"),CONCATENATE("R8C",'Mapa final'!$W$31),"")</f>
        <v/>
      </c>
      <c r="M53" s="63" t="str">
        <f ca="1">IF(AND('Mapa final'!$AG$32="Muy Baja",'Mapa final'!$AI$32="Leve"),CONCATENATE("R8C",'Mapa final'!$W$32),"")</f>
        <v/>
      </c>
      <c r="N53" s="63" t="e">
        <f>IF(AND('Mapa final'!#REF!="Muy Baja",'Mapa final'!#REF!="Leve"),CONCATENATE("R8C",'Mapa final'!#REF!),"")</f>
        <v>#REF!</v>
      </c>
      <c r="O53" s="64" t="e">
        <f>IF(AND('Mapa final'!#REF!="Muy Baja",'Mapa final'!#REF!="Leve"),CONCATENATE("R8C",'Mapa final'!#REF!),"")</f>
        <v>#REF!</v>
      </c>
      <c r="P53" s="62" t="str">
        <f ca="1">IF(AND('Mapa final'!$AG$29="Muy Baja",'Mapa final'!$AI$29="Menor"),CONCATENATE("R8C",'Mapa final'!$W$29),"")</f>
        <v/>
      </c>
      <c r="Q53" s="63" t="str">
        <f ca="1">IF(AND('Mapa final'!$AG$30="Muy Baja",'Mapa final'!$AI$30="Menor"),CONCATENATE("R8C",'Mapa final'!$W$30),"")</f>
        <v/>
      </c>
      <c r="R53" s="63" t="str">
        <f ca="1">IF(AND('Mapa final'!$AG$31="Muy Baja",'Mapa final'!$AI$31="Menor"),CONCATENATE("R8C",'Mapa final'!$W$31),"")</f>
        <v/>
      </c>
      <c r="S53" s="63" t="str">
        <f ca="1">IF(AND('Mapa final'!$AG$32="Muy Baja",'Mapa final'!$AI$32="Menor"),CONCATENATE("R8C",'Mapa final'!$W$32),"")</f>
        <v/>
      </c>
      <c r="T53" s="63" t="e">
        <f>IF(AND('Mapa final'!#REF!="Muy Baja",'Mapa final'!#REF!="Menor"),CONCATENATE("R8C",'Mapa final'!#REF!),"")</f>
        <v>#REF!</v>
      </c>
      <c r="U53" s="64" t="e">
        <f>IF(AND('Mapa final'!#REF!="Muy Baja",'Mapa final'!#REF!="Menor"),CONCATENATE("R8C",'Mapa final'!#REF!),"")</f>
        <v>#REF!</v>
      </c>
      <c r="V53" s="53" t="str">
        <f ca="1">IF(AND('Mapa final'!$AG$29="Muy Baja",'Mapa final'!$AI$29="Moderado"),CONCATENATE("R8C",'Mapa final'!$W$29),"")</f>
        <v/>
      </c>
      <c r="W53" s="54" t="str">
        <f ca="1">IF(AND('Mapa final'!$AG$30="Muy Baja",'Mapa final'!$AI$30="Moderado"),CONCATENATE("R8C",'Mapa final'!$W$30),"")</f>
        <v/>
      </c>
      <c r="X53" s="54" t="str">
        <f ca="1">IF(AND('Mapa final'!$AG$31="Muy Baja",'Mapa final'!$AI$31="Moderado"),CONCATENATE("R8C",'Mapa final'!$W$31),"")</f>
        <v>R8C3</v>
      </c>
      <c r="Y53" s="54" t="str">
        <f ca="1">IF(AND('Mapa final'!$AG$32="Muy Baja",'Mapa final'!$AI$32="Moderado"),CONCATENATE("R8C",'Mapa final'!$W$32),"")</f>
        <v>R8C4</v>
      </c>
      <c r="Z53" s="54" t="e">
        <f>IF(AND('Mapa final'!#REF!="Muy Baja",'Mapa final'!#REF!="Moderado"),CONCATENATE("R8C",'Mapa final'!#REF!),"")</f>
        <v>#REF!</v>
      </c>
      <c r="AA53" s="55" t="e">
        <f>IF(AND('Mapa final'!#REF!="Muy Baja",'Mapa final'!#REF!="Moderado"),CONCATENATE("R8C",'Mapa final'!#REF!),"")</f>
        <v>#REF!</v>
      </c>
      <c r="AB53" s="38" t="str">
        <f ca="1">IF(AND('Mapa final'!$AG$29="Muy Baja",'Mapa final'!$AI$29="Mayor"),CONCATENATE("R8C",'Mapa final'!$W$29),"")</f>
        <v/>
      </c>
      <c r="AC53" s="39" t="str">
        <f ca="1">IF(AND('Mapa final'!$AG$30="Muy Baja",'Mapa final'!$AI$30="Mayor"),CONCATENATE("R8C",'Mapa final'!$W$30),"")</f>
        <v/>
      </c>
      <c r="AD53" s="39" t="str">
        <f ca="1">IF(AND('Mapa final'!$AG$31="Muy Baja",'Mapa final'!$AI$31="Mayor"),CONCATENATE("R8C",'Mapa final'!$W$31),"")</f>
        <v/>
      </c>
      <c r="AE53" s="39" t="str">
        <f ca="1">IF(AND('Mapa final'!$AG$32="Muy Baja",'Mapa final'!$AI$32="Mayor"),CONCATENATE("R8C",'Mapa final'!$W$32),"")</f>
        <v/>
      </c>
      <c r="AF53" s="39" t="e">
        <f>IF(AND('Mapa final'!#REF!="Muy Baja",'Mapa final'!#REF!="Mayor"),CONCATENATE("R8C",'Mapa final'!#REF!),"")</f>
        <v>#REF!</v>
      </c>
      <c r="AG53" s="40" t="e">
        <f>IF(AND('Mapa final'!#REF!="Muy Baja",'Mapa final'!#REF!="Mayor"),CONCATENATE("R8C",'Mapa final'!#REF!),"")</f>
        <v>#REF!</v>
      </c>
      <c r="AH53" s="41" t="str">
        <f ca="1">IF(AND('Mapa final'!$AG$29="Muy Baja",'Mapa final'!$AI$29="Catastrófico"),CONCATENATE("R8C",'Mapa final'!$W$29),"")</f>
        <v/>
      </c>
      <c r="AI53" s="42" t="str">
        <f ca="1">IF(AND('Mapa final'!$AG$30="Muy Baja",'Mapa final'!$AI$30="Catastrófico"),CONCATENATE("R8C",'Mapa final'!$W$30),"")</f>
        <v/>
      </c>
      <c r="AJ53" s="42" t="str">
        <f ca="1">IF(AND('Mapa final'!$AG$31="Muy Baja",'Mapa final'!$AI$31="Catastrófico"),CONCATENATE("R8C",'Mapa final'!$W$31),"")</f>
        <v/>
      </c>
      <c r="AK53" s="42" t="str">
        <f ca="1">IF(AND('Mapa final'!$AG$32="Muy Baja",'Mapa final'!$AI$32="Catastrófico"),CONCATENATE("R8C",'Mapa final'!$W$32),"")</f>
        <v/>
      </c>
      <c r="AL53" s="42" t="e">
        <f>IF(AND('Mapa final'!#REF!="Muy Baja",'Mapa final'!#REF!="Catastrófico"),CONCATENATE("R8C",'Mapa final'!#REF!),"")</f>
        <v>#REF!</v>
      </c>
      <c r="AM53" s="43" t="e">
        <f>IF(AND('Mapa final'!#REF!="Muy Baja",'Mapa final'!#REF!="Catastrófico"),CONCATENATE("R8C",'Mapa final'!#REF!),"")</f>
        <v>#REF!</v>
      </c>
      <c r="AN53" s="69"/>
      <c r="AO53" s="69"/>
      <c r="AP53" s="69"/>
      <c r="AQ53" s="69"/>
      <c r="AR53" s="69"/>
      <c r="AS53" s="69"/>
      <c r="AT53" s="69"/>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537"/>
      <c r="C54" s="537"/>
      <c r="D54" s="538"/>
      <c r="E54" s="618"/>
      <c r="F54" s="616"/>
      <c r="G54" s="616"/>
      <c r="H54" s="616"/>
      <c r="I54" s="617"/>
      <c r="J54" s="62" t="str">
        <f ca="1">IF(AND('Mapa final'!$AG$33="Muy Baja",'Mapa final'!$AI$33="Leve"),CONCATENATE("R9C",'Mapa final'!$W$33),"")</f>
        <v/>
      </c>
      <c r="K54" s="63" t="str">
        <f ca="1">IF(AND('Mapa final'!$AG$34="Muy Baja",'Mapa final'!$AI$34="Leve"),CONCATENATE("R9C",'Mapa final'!$W$34),"")</f>
        <v/>
      </c>
      <c r="L54" s="63" t="str">
        <f ca="1">IF(AND('Mapa final'!$AG$35="Muy Baja",'Mapa final'!$AI$35="Leve"),CONCATENATE("R9C",'Mapa final'!$W$35),"")</f>
        <v/>
      </c>
      <c r="M54" s="63" t="str">
        <f ca="1">IF(AND('Mapa final'!$AG$36="Muy Baja",'Mapa final'!$AI$36="Leve"),CONCATENATE("R9C",'Mapa final'!$W$36),"")</f>
        <v/>
      </c>
      <c r="N54" s="63" t="str">
        <f ca="1">IF(AND('Mapa final'!$AG$37="Muy Baja",'Mapa final'!$AI$37="Leve"),CONCATENATE("R9C",'Mapa final'!$W$37),"")</f>
        <v/>
      </c>
      <c r="O54" s="64" t="e">
        <f>IF(AND('Mapa final'!#REF!="Muy Baja",'Mapa final'!#REF!="Leve"),CONCATENATE("R9C",'Mapa final'!#REF!),"")</f>
        <v>#REF!</v>
      </c>
      <c r="P54" s="62" t="str">
        <f ca="1">IF(AND('Mapa final'!$AG$33="Muy Baja",'Mapa final'!$AI$33="Menor"),CONCATENATE("R9C",'Mapa final'!$W$33),"")</f>
        <v/>
      </c>
      <c r="Q54" s="63" t="str">
        <f ca="1">IF(AND('Mapa final'!$AG$34="Muy Baja",'Mapa final'!$AI$34="Menor"),CONCATENATE("R9C",'Mapa final'!$W$34),"")</f>
        <v/>
      </c>
      <c r="R54" s="63" t="str">
        <f ca="1">IF(AND('Mapa final'!$AG$35="Muy Baja",'Mapa final'!$AI$35="Menor"),CONCATENATE("R9C",'Mapa final'!$W$35),"")</f>
        <v/>
      </c>
      <c r="S54" s="63" t="str">
        <f ca="1">IF(AND('Mapa final'!$AG$36="Muy Baja",'Mapa final'!$AI$36="Menor"),CONCATENATE("R9C",'Mapa final'!$W$36),"")</f>
        <v/>
      </c>
      <c r="T54" s="63" t="str">
        <f ca="1">IF(AND('Mapa final'!$AG$37="Muy Baja",'Mapa final'!$AI$37="Menor"),CONCATENATE("R9C",'Mapa final'!$W$37),"")</f>
        <v/>
      </c>
      <c r="U54" s="64" t="e">
        <f>IF(AND('Mapa final'!#REF!="Muy Baja",'Mapa final'!#REF!="Menor"),CONCATENATE("R9C",'Mapa final'!#REF!),"")</f>
        <v>#REF!</v>
      </c>
      <c r="V54" s="53" t="str">
        <f ca="1">IF(AND('Mapa final'!$AG$33="Muy Baja",'Mapa final'!$AI$33="Moderado"),CONCATENATE("R9C",'Mapa final'!$W$33),"")</f>
        <v/>
      </c>
      <c r="W54" s="54" t="str">
        <f ca="1">IF(AND('Mapa final'!$AG$34="Muy Baja",'Mapa final'!$AI$34="Moderado"),CONCATENATE("R9C",'Mapa final'!$W$34),"")</f>
        <v/>
      </c>
      <c r="X54" s="54" t="str">
        <f ca="1">IF(AND('Mapa final'!$AG$35="Muy Baja",'Mapa final'!$AI$35="Moderado"),CONCATENATE("R9C",'Mapa final'!$W$35),"")</f>
        <v/>
      </c>
      <c r="Y54" s="54" t="str">
        <f ca="1">IF(AND('Mapa final'!$AG$36="Muy Baja",'Mapa final'!$AI$36="Moderado"),CONCATENATE("R9C",'Mapa final'!$W$36),"")</f>
        <v/>
      </c>
      <c r="Z54" s="54" t="str">
        <f ca="1">IF(AND('Mapa final'!$AG$37="Muy Baja",'Mapa final'!$AI$37="Moderado"),CONCATENATE("R9C",'Mapa final'!$W$37),"")</f>
        <v/>
      </c>
      <c r="AA54" s="55" t="e">
        <f>IF(AND('Mapa final'!#REF!="Muy Baja",'Mapa final'!#REF!="Moderado"),CONCATENATE("R9C",'Mapa final'!#REF!),"")</f>
        <v>#REF!</v>
      </c>
      <c r="AB54" s="38" t="str">
        <f ca="1">IF(AND('Mapa final'!$AG$33="Muy Baja",'Mapa final'!$AI$33="Mayor"),CONCATENATE("R9C",'Mapa final'!$W$33),"")</f>
        <v/>
      </c>
      <c r="AC54" s="39" t="str">
        <f ca="1">IF(AND('Mapa final'!$AG$34="Muy Baja",'Mapa final'!$AI$34="Mayor"),CONCATENATE("R9C",'Mapa final'!$W$34),"")</f>
        <v/>
      </c>
      <c r="AD54" s="39" t="str">
        <f ca="1">IF(AND('Mapa final'!$AG$35="Muy Baja",'Mapa final'!$AI$35="Mayor"),CONCATENATE("R9C",'Mapa final'!$W$35),"")</f>
        <v/>
      </c>
      <c r="AE54" s="39" t="str">
        <f ca="1">IF(AND('Mapa final'!$AG$36="Muy Baja",'Mapa final'!$AI$36="Mayor"),CONCATENATE("R9C",'Mapa final'!$W$36),"")</f>
        <v/>
      </c>
      <c r="AF54" s="39" t="str">
        <f ca="1">IF(AND('Mapa final'!$AG$37="Muy Baja",'Mapa final'!$AI$37="Mayor"),CONCATENATE("R9C",'Mapa final'!$W$37),"")</f>
        <v/>
      </c>
      <c r="AG54" s="40" t="e">
        <f>IF(AND('Mapa final'!#REF!="Muy Baja",'Mapa final'!#REF!="Mayor"),CONCATENATE("R9C",'Mapa final'!#REF!),"")</f>
        <v>#REF!</v>
      </c>
      <c r="AH54" s="41" t="str">
        <f ca="1">IF(AND('Mapa final'!$AG$33="Muy Baja",'Mapa final'!$AI$33="Catastrófico"),CONCATENATE("R9C",'Mapa final'!$W$33),"")</f>
        <v/>
      </c>
      <c r="AI54" s="42" t="str">
        <f ca="1">IF(AND('Mapa final'!$AG$34="Muy Baja",'Mapa final'!$AI$34="Catastrófico"),CONCATENATE("R9C",'Mapa final'!$W$34),"")</f>
        <v/>
      </c>
      <c r="AJ54" s="42" t="str">
        <f ca="1">IF(AND('Mapa final'!$AG$35="Muy Baja",'Mapa final'!$AI$35="Catastrófico"),CONCATENATE("R9C",'Mapa final'!$W$35),"")</f>
        <v>R9C3</v>
      </c>
      <c r="AK54" s="42" t="str">
        <f ca="1">IF(AND('Mapa final'!$AG$36="Muy Baja",'Mapa final'!$AI$36="Catastrófico"),CONCATENATE("R9C",'Mapa final'!$W$36),"")</f>
        <v>R9C4</v>
      </c>
      <c r="AL54" s="42" t="str">
        <f ca="1">IF(AND('Mapa final'!$AG$37="Muy Baja",'Mapa final'!$AI$37="Catastrófico"),CONCATENATE("R9C",'Mapa final'!$W$37),"")</f>
        <v>R9C5</v>
      </c>
      <c r="AM54" s="43" t="e">
        <f>IF(AND('Mapa final'!#REF!="Muy Baja",'Mapa final'!#REF!="Catastrófico"),CONCATENATE("R9C",'Mapa final'!#REF!),"")</f>
        <v>#REF!</v>
      </c>
      <c r="AN54" s="69"/>
      <c r="AO54" s="69"/>
      <c r="AP54" s="69"/>
      <c r="AQ54" s="69"/>
      <c r="AR54" s="69"/>
      <c r="AS54" s="69"/>
      <c r="AT54" s="69"/>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ht="15.75" customHeight="1" thickBot="1" x14ac:dyDescent="0.3">
      <c r="A55" s="69"/>
      <c r="B55" s="537"/>
      <c r="C55" s="537"/>
      <c r="D55" s="538"/>
      <c r="E55" s="619"/>
      <c r="F55" s="620"/>
      <c r="G55" s="620"/>
      <c r="H55" s="620"/>
      <c r="I55" s="621"/>
      <c r="J55" s="65" t="str">
        <f ca="1">IF(AND('Mapa final'!$AG$38="Muy Baja",'Mapa final'!$AI$38="Leve"),CONCATENATE("R10C",'Mapa final'!$W$38),"")</f>
        <v/>
      </c>
      <c r="K55" s="66" t="str">
        <f ca="1">IF(AND('Mapa final'!$AG$39="Muy Baja",'Mapa final'!$AI$39="Leve"),CONCATENATE("R10C",'Mapa final'!$W$39),"")</f>
        <v/>
      </c>
      <c r="L55" s="66" t="e">
        <f>IF(AND('Mapa final'!#REF!="Muy Baja",'Mapa final'!#REF!="Leve"),CONCATENATE("R10C",'Mapa final'!#REF!),"")</f>
        <v>#REF!</v>
      </c>
      <c r="M55" s="66" t="e">
        <f>IF(AND('Mapa final'!#REF!="Muy Baja",'Mapa final'!#REF!="Leve"),CONCATENATE("R10C",'Mapa final'!#REF!),"")</f>
        <v>#REF!</v>
      </c>
      <c r="N55" s="66" t="e">
        <f>IF(AND('Mapa final'!#REF!="Muy Baja",'Mapa final'!#REF!="Leve"),CONCATENATE("R10C",'Mapa final'!#REF!),"")</f>
        <v>#REF!</v>
      </c>
      <c r="O55" s="67" t="e">
        <f>IF(AND('Mapa final'!#REF!="Muy Baja",'Mapa final'!#REF!="Leve"),CONCATENATE("R10C",'Mapa final'!#REF!),"")</f>
        <v>#REF!</v>
      </c>
      <c r="P55" s="65" t="str">
        <f ca="1">IF(AND('Mapa final'!$AG$38="Muy Baja",'Mapa final'!$AI$38="Menor"),CONCATENATE("R10C",'Mapa final'!$W$38),"")</f>
        <v/>
      </c>
      <c r="Q55" s="66" t="str">
        <f ca="1">IF(AND('Mapa final'!$AG$39="Muy Baja",'Mapa final'!$AI$39="Menor"),CONCATENATE("R10C",'Mapa final'!$W$39),"")</f>
        <v/>
      </c>
      <c r="R55" s="66" t="e">
        <f>IF(AND('Mapa final'!#REF!="Muy Baja",'Mapa final'!#REF!="Menor"),CONCATENATE("R10C",'Mapa final'!#REF!),"")</f>
        <v>#REF!</v>
      </c>
      <c r="S55" s="66" t="e">
        <f>IF(AND('Mapa final'!#REF!="Muy Baja",'Mapa final'!#REF!="Menor"),CONCATENATE("R10C",'Mapa final'!#REF!),"")</f>
        <v>#REF!</v>
      </c>
      <c r="T55" s="66" t="e">
        <f>IF(AND('Mapa final'!#REF!="Muy Baja",'Mapa final'!#REF!="Menor"),CONCATENATE("R10C",'Mapa final'!#REF!),"")</f>
        <v>#REF!</v>
      </c>
      <c r="U55" s="67" t="e">
        <f>IF(AND('Mapa final'!#REF!="Muy Baja",'Mapa final'!#REF!="Menor"),CONCATENATE("R10C",'Mapa final'!#REF!),"")</f>
        <v>#REF!</v>
      </c>
      <c r="V55" s="56" t="str">
        <f ca="1">IF(AND('Mapa final'!$AG$38="Muy Baja",'Mapa final'!$AI$38="Moderado"),CONCATENATE("R10C",'Mapa final'!$W$38),"")</f>
        <v/>
      </c>
      <c r="W55" s="57" t="str">
        <f ca="1">IF(AND('Mapa final'!$AG$39="Muy Baja",'Mapa final'!$AI$39="Moderado"),CONCATENATE("R10C",'Mapa final'!$W$39),"")</f>
        <v/>
      </c>
      <c r="X55" s="57" t="e">
        <f>IF(AND('Mapa final'!#REF!="Muy Baja",'Mapa final'!#REF!="Moderado"),CONCATENATE("R10C",'Mapa final'!#REF!),"")</f>
        <v>#REF!</v>
      </c>
      <c r="Y55" s="57" t="e">
        <f>IF(AND('Mapa final'!#REF!="Muy Baja",'Mapa final'!#REF!="Moderado"),CONCATENATE("R10C",'Mapa final'!#REF!),"")</f>
        <v>#REF!</v>
      </c>
      <c r="Z55" s="57" t="e">
        <f>IF(AND('Mapa final'!#REF!="Muy Baja",'Mapa final'!#REF!="Moderado"),CONCATENATE("R10C",'Mapa final'!#REF!),"")</f>
        <v>#REF!</v>
      </c>
      <c r="AA55" s="58" t="e">
        <f>IF(AND('Mapa final'!#REF!="Muy Baja",'Mapa final'!#REF!="Moderado"),CONCATENATE("R10C",'Mapa final'!#REF!),"")</f>
        <v>#REF!</v>
      </c>
      <c r="AB55" s="44" t="str">
        <f ca="1">IF(AND('Mapa final'!$AG$38="Muy Baja",'Mapa final'!$AI$38="Mayor"),CONCATENATE("R10C",'Mapa final'!$W$38),"")</f>
        <v/>
      </c>
      <c r="AC55" s="45" t="str">
        <f ca="1">IF(AND('Mapa final'!$AG$39="Muy Baja",'Mapa final'!$AI$39="Mayor"),CONCATENATE("R10C",'Mapa final'!$W$39),"")</f>
        <v/>
      </c>
      <c r="AD55" s="45" t="e">
        <f>IF(AND('Mapa final'!#REF!="Muy Baja",'Mapa final'!#REF!="Mayor"),CONCATENATE("R10C",'Mapa final'!#REF!),"")</f>
        <v>#REF!</v>
      </c>
      <c r="AE55" s="45" t="e">
        <f>IF(AND('Mapa final'!#REF!="Muy Baja",'Mapa final'!#REF!="Mayor"),CONCATENATE("R10C",'Mapa final'!#REF!),"")</f>
        <v>#REF!</v>
      </c>
      <c r="AF55" s="45" t="e">
        <f>IF(AND('Mapa final'!#REF!="Muy Baja",'Mapa final'!#REF!="Mayor"),CONCATENATE("R10C",'Mapa final'!#REF!),"")</f>
        <v>#REF!</v>
      </c>
      <c r="AG55" s="46" t="e">
        <f>IF(AND('Mapa final'!#REF!="Muy Baja",'Mapa final'!#REF!="Mayor"),CONCATENATE("R10C",'Mapa final'!#REF!),"")</f>
        <v>#REF!</v>
      </c>
      <c r="AH55" s="47" t="str">
        <f ca="1">IF(AND('Mapa final'!$AG$38="Muy Baja",'Mapa final'!$AI$38="Catastrófico"),CONCATENATE("R10C",'Mapa final'!$W$38),"")</f>
        <v/>
      </c>
      <c r="AI55" s="48" t="str">
        <f ca="1">IF(AND('Mapa final'!$AG$39="Muy Baja",'Mapa final'!$AI$39="Catastrófico"),CONCATENATE("R10C",'Mapa final'!$W$39),"")</f>
        <v/>
      </c>
      <c r="AJ55" s="48" t="e">
        <f>IF(AND('Mapa final'!#REF!="Muy Baja",'Mapa final'!#REF!="Catastrófico"),CONCATENATE("R10C",'Mapa final'!#REF!),"")</f>
        <v>#REF!</v>
      </c>
      <c r="AK55" s="48" t="e">
        <f>IF(AND('Mapa final'!#REF!="Muy Baja",'Mapa final'!#REF!="Catastrófico"),CONCATENATE("R10C",'Mapa final'!#REF!),"")</f>
        <v>#REF!</v>
      </c>
      <c r="AL55" s="48" t="e">
        <f>IF(AND('Mapa final'!#REF!="Muy Baja",'Mapa final'!#REF!="Catastrófico"),CONCATENATE("R10C",'Mapa final'!#REF!),"")</f>
        <v>#REF!</v>
      </c>
      <c r="AM55" s="49" t="e">
        <f>IF(AND('Mapa final'!#REF!="Muy Baja",'Mapa final'!#REF!="Catastrófico"),CONCATENATE("R10C",'Mapa final'!#REF!),"")</f>
        <v>#REF!</v>
      </c>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612" t="s">
        <v>138</v>
      </c>
      <c r="K56" s="613"/>
      <c r="L56" s="613"/>
      <c r="M56" s="613"/>
      <c r="N56" s="613"/>
      <c r="O56" s="614"/>
      <c r="P56" s="612" t="s">
        <v>139</v>
      </c>
      <c r="Q56" s="613"/>
      <c r="R56" s="613"/>
      <c r="S56" s="613"/>
      <c r="T56" s="613"/>
      <c r="U56" s="614"/>
      <c r="V56" s="612" t="s">
        <v>140</v>
      </c>
      <c r="W56" s="613"/>
      <c r="X56" s="613"/>
      <c r="Y56" s="613"/>
      <c r="Z56" s="613"/>
      <c r="AA56" s="614"/>
      <c r="AB56" s="612" t="s">
        <v>141</v>
      </c>
      <c r="AC56" s="660"/>
      <c r="AD56" s="613"/>
      <c r="AE56" s="613"/>
      <c r="AF56" s="613"/>
      <c r="AG56" s="614"/>
      <c r="AH56" s="612" t="s">
        <v>142</v>
      </c>
      <c r="AI56" s="613"/>
      <c r="AJ56" s="613"/>
      <c r="AK56" s="613"/>
      <c r="AL56" s="613"/>
      <c r="AM56" s="614"/>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618"/>
      <c r="K57" s="616"/>
      <c r="L57" s="616"/>
      <c r="M57" s="616"/>
      <c r="N57" s="616"/>
      <c r="O57" s="617"/>
      <c r="P57" s="618"/>
      <c r="Q57" s="616"/>
      <c r="R57" s="616"/>
      <c r="S57" s="616"/>
      <c r="T57" s="616"/>
      <c r="U57" s="617"/>
      <c r="V57" s="618"/>
      <c r="W57" s="616"/>
      <c r="X57" s="616"/>
      <c r="Y57" s="616"/>
      <c r="Z57" s="616"/>
      <c r="AA57" s="617"/>
      <c r="AB57" s="618"/>
      <c r="AC57" s="616"/>
      <c r="AD57" s="616"/>
      <c r="AE57" s="616"/>
      <c r="AF57" s="616"/>
      <c r="AG57" s="617"/>
      <c r="AH57" s="618"/>
      <c r="AI57" s="616"/>
      <c r="AJ57" s="616"/>
      <c r="AK57" s="616"/>
      <c r="AL57" s="616"/>
      <c r="AM57" s="617"/>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618"/>
      <c r="K58" s="616"/>
      <c r="L58" s="616"/>
      <c r="M58" s="616"/>
      <c r="N58" s="616"/>
      <c r="O58" s="617"/>
      <c r="P58" s="618"/>
      <c r="Q58" s="616"/>
      <c r="R58" s="616"/>
      <c r="S58" s="616"/>
      <c r="T58" s="616"/>
      <c r="U58" s="617"/>
      <c r="V58" s="618"/>
      <c r="W58" s="616"/>
      <c r="X58" s="616"/>
      <c r="Y58" s="616"/>
      <c r="Z58" s="616"/>
      <c r="AA58" s="617"/>
      <c r="AB58" s="618"/>
      <c r="AC58" s="616"/>
      <c r="AD58" s="616"/>
      <c r="AE58" s="616"/>
      <c r="AF58" s="616"/>
      <c r="AG58" s="617"/>
      <c r="AH58" s="618"/>
      <c r="AI58" s="616"/>
      <c r="AJ58" s="616"/>
      <c r="AK58" s="616"/>
      <c r="AL58" s="616"/>
      <c r="AM58" s="617"/>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618"/>
      <c r="K59" s="616"/>
      <c r="L59" s="616"/>
      <c r="M59" s="616"/>
      <c r="N59" s="616"/>
      <c r="O59" s="617"/>
      <c r="P59" s="618"/>
      <c r="Q59" s="616"/>
      <c r="R59" s="616"/>
      <c r="S59" s="616"/>
      <c r="T59" s="616"/>
      <c r="U59" s="617"/>
      <c r="V59" s="618"/>
      <c r="W59" s="616"/>
      <c r="X59" s="616"/>
      <c r="Y59" s="616"/>
      <c r="Z59" s="616"/>
      <c r="AA59" s="617"/>
      <c r="AB59" s="618"/>
      <c r="AC59" s="616"/>
      <c r="AD59" s="616"/>
      <c r="AE59" s="616"/>
      <c r="AF59" s="616"/>
      <c r="AG59" s="617"/>
      <c r="AH59" s="618"/>
      <c r="AI59" s="616"/>
      <c r="AJ59" s="616"/>
      <c r="AK59" s="616"/>
      <c r="AL59" s="616"/>
      <c r="AM59" s="617"/>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618"/>
      <c r="K60" s="616"/>
      <c r="L60" s="616"/>
      <c r="M60" s="616"/>
      <c r="N60" s="616"/>
      <c r="O60" s="617"/>
      <c r="P60" s="618"/>
      <c r="Q60" s="616"/>
      <c r="R60" s="616"/>
      <c r="S60" s="616"/>
      <c r="T60" s="616"/>
      <c r="U60" s="617"/>
      <c r="V60" s="618"/>
      <c r="W60" s="616"/>
      <c r="X60" s="616"/>
      <c r="Y60" s="616"/>
      <c r="Z60" s="616"/>
      <c r="AA60" s="617"/>
      <c r="AB60" s="618"/>
      <c r="AC60" s="616"/>
      <c r="AD60" s="616"/>
      <c r="AE60" s="616"/>
      <c r="AF60" s="616"/>
      <c r="AG60" s="617"/>
      <c r="AH60" s="618"/>
      <c r="AI60" s="616"/>
      <c r="AJ60" s="616"/>
      <c r="AK60" s="616"/>
      <c r="AL60" s="616"/>
      <c r="AM60" s="617"/>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ht="15.75" thickBot="1" x14ac:dyDescent="0.3">
      <c r="A61" s="69"/>
      <c r="B61" s="69"/>
      <c r="C61" s="69"/>
      <c r="D61" s="69"/>
      <c r="E61" s="69"/>
      <c r="F61" s="69"/>
      <c r="G61" s="69"/>
      <c r="H61" s="69"/>
      <c r="I61" s="69"/>
      <c r="J61" s="619"/>
      <c r="K61" s="620"/>
      <c r="L61" s="620"/>
      <c r="M61" s="620"/>
      <c r="N61" s="620"/>
      <c r="O61" s="621"/>
      <c r="P61" s="619"/>
      <c r="Q61" s="620"/>
      <c r="R61" s="620"/>
      <c r="S61" s="620"/>
      <c r="T61" s="620"/>
      <c r="U61" s="621"/>
      <c r="V61" s="619"/>
      <c r="W61" s="620"/>
      <c r="X61" s="620"/>
      <c r="Y61" s="620"/>
      <c r="Z61" s="620"/>
      <c r="AA61" s="621"/>
      <c r="AB61" s="619"/>
      <c r="AC61" s="620"/>
      <c r="AD61" s="620"/>
      <c r="AE61" s="620"/>
      <c r="AF61" s="620"/>
      <c r="AG61" s="621"/>
      <c r="AH61" s="619"/>
      <c r="AI61" s="620"/>
      <c r="AJ61" s="620"/>
      <c r="AK61" s="620"/>
      <c r="AL61" s="620"/>
      <c r="AM61" s="621"/>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row>
    <row r="63" spans="1:80" ht="15" customHeight="1" x14ac:dyDescent="0.25">
      <c r="A63" s="69"/>
      <c r="B63" s="73"/>
      <c r="C63" s="73"/>
      <c r="D63" s="73"/>
      <c r="E63" s="73"/>
      <c r="F63" s="73"/>
      <c r="G63" s="73"/>
      <c r="H63" s="73"/>
      <c r="I63" s="73"/>
      <c r="J63" s="73"/>
      <c r="K63" s="73"/>
      <c r="L63" s="73"/>
      <c r="M63" s="73"/>
      <c r="N63" s="73"/>
      <c r="O63" s="73"/>
      <c r="P63" s="73"/>
      <c r="Q63" s="73"/>
      <c r="R63" s="73"/>
      <c r="S63" s="73"/>
      <c r="T63" s="73"/>
      <c r="U63" s="73"/>
      <c r="V63" s="73"/>
      <c r="W63" s="73"/>
      <c r="X63" s="73"/>
      <c r="Y63" s="73"/>
      <c r="Z63" s="73"/>
      <c r="AA63" s="73"/>
      <c r="AB63" s="73"/>
      <c r="AC63" s="73"/>
      <c r="AD63" s="73"/>
      <c r="AE63" s="73"/>
      <c r="AF63" s="73"/>
      <c r="AG63" s="73"/>
      <c r="AH63" s="73"/>
      <c r="AI63" s="73"/>
      <c r="AJ63" s="73"/>
      <c r="AK63" s="73"/>
      <c r="AL63" s="73"/>
      <c r="AM63" s="73"/>
      <c r="AN63" s="73"/>
      <c r="AO63" s="73"/>
      <c r="AP63" s="73"/>
      <c r="AQ63" s="73"/>
      <c r="AR63" s="73"/>
      <c r="AS63" s="73"/>
      <c r="AT63" s="73"/>
      <c r="AU63" s="69"/>
      <c r="AV63" s="69"/>
      <c r="AW63" s="69"/>
      <c r="AX63" s="69"/>
      <c r="AY63" s="69"/>
      <c r="AZ63" s="69"/>
      <c r="BA63" s="69"/>
      <c r="BB63" s="69"/>
      <c r="BC63" s="69"/>
      <c r="BD63" s="69"/>
      <c r="BE63" s="69"/>
      <c r="BF63" s="69"/>
      <c r="BG63" s="69"/>
      <c r="BH63" s="69"/>
    </row>
    <row r="64" spans="1:80" ht="15" customHeight="1" x14ac:dyDescent="0.25">
      <c r="A64" s="69"/>
      <c r="B64" s="73"/>
      <c r="C64" s="73"/>
      <c r="D64" s="73"/>
      <c r="E64" s="73"/>
      <c r="F64" s="73"/>
      <c r="G64" s="73"/>
      <c r="H64" s="73"/>
      <c r="I64" s="73"/>
      <c r="J64" s="73"/>
      <c r="K64" s="73"/>
      <c r="L64" s="73"/>
      <c r="M64" s="73"/>
      <c r="N64" s="73"/>
      <c r="O64" s="73"/>
      <c r="P64" s="73"/>
      <c r="Q64" s="73"/>
      <c r="R64" s="73"/>
      <c r="S64" s="73"/>
      <c r="T64" s="73"/>
      <c r="U64" s="73"/>
      <c r="V64" s="73"/>
      <c r="W64" s="73"/>
      <c r="X64" s="73"/>
      <c r="Y64" s="73"/>
      <c r="Z64" s="73"/>
      <c r="AA64" s="73"/>
      <c r="AB64" s="73"/>
      <c r="AC64" s="73"/>
      <c r="AD64" s="73"/>
      <c r="AE64" s="73"/>
      <c r="AF64" s="73"/>
      <c r="AG64" s="73"/>
      <c r="AH64" s="73"/>
      <c r="AI64" s="73"/>
      <c r="AJ64" s="73"/>
      <c r="AK64" s="73"/>
      <c r="AL64" s="73"/>
      <c r="AM64" s="73"/>
      <c r="AN64" s="73"/>
      <c r="AO64" s="73"/>
      <c r="AP64" s="73"/>
      <c r="AQ64" s="73"/>
      <c r="AR64" s="73"/>
      <c r="AS64" s="73"/>
      <c r="AT64" s="73"/>
      <c r="AU64" s="69"/>
      <c r="AV64" s="69"/>
      <c r="AW64" s="69"/>
      <c r="AX64" s="69"/>
      <c r="AY64" s="69"/>
      <c r="AZ64" s="69"/>
      <c r="BA64" s="69"/>
      <c r="BB64" s="69"/>
      <c r="BC64" s="69"/>
      <c r="BD64" s="69"/>
      <c r="BE64" s="69"/>
      <c r="BF64" s="69"/>
      <c r="BG64" s="69"/>
      <c r="BH64" s="69"/>
    </row>
    <row r="65" spans="1:6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row>
    <row r="66" spans="1:6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row>
    <row r="67" spans="1:6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row>
    <row r="68" spans="1:6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row>
    <row r="69" spans="1:6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row>
    <row r="70" spans="1:6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row>
    <row r="71" spans="1:6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row>
    <row r="72" spans="1:6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row>
    <row r="73" spans="1:6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row>
    <row r="74" spans="1:6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row>
    <row r="75" spans="1:6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row>
    <row r="76" spans="1:6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row>
    <row r="77" spans="1:6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row>
    <row r="78" spans="1:6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row>
    <row r="79" spans="1:6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row>
    <row r="80" spans="1:6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row>
    <row r="81" spans="1:60"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row>
    <row r="82" spans="1:60"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row>
    <row r="83" spans="1:60"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row>
    <row r="84" spans="1:60"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row>
    <row r="85" spans="1:60"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row>
    <row r="86" spans="1:60"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row>
    <row r="87" spans="1:60"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row>
    <row r="88" spans="1:60"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row>
    <row r="89" spans="1:60"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row>
    <row r="90" spans="1:60"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row>
    <row r="91" spans="1:60"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row>
    <row r="92" spans="1:60"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row>
    <row r="93" spans="1:60"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row>
    <row r="94" spans="1:60"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row>
    <row r="95" spans="1:60"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row>
    <row r="96" spans="1:60"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row>
    <row r="97" spans="1:60"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row>
    <row r="98" spans="1:60"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row>
    <row r="99" spans="1:60"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row>
    <row r="100" spans="1:60"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row>
    <row r="101" spans="1:60"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row>
    <row r="102" spans="1:60"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row>
    <row r="103" spans="1:60"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row>
    <row r="104" spans="1:60"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row>
    <row r="105" spans="1:60"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row>
    <row r="106" spans="1:60"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row>
    <row r="107" spans="1:60"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row>
    <row r="108" spans="1:60"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row>
    <row r="109" spans="1:60"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row>
    <row r="110" spans="1:60"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row>
    <row r="111" spans="1:60"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row>
    <row r="112" spans="1:60"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row>
    <row r="113" spans="1:60"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row>
    <row r="114" spans="1:60"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row>
    <row r="115" spans="1:60"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row>
    <row r="116" spans="1:60"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row>
    <row r="117" spans="1:60"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row>
    <row r="118" spans="1:60"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row>
    <row r="119" spans="1:60"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row>
    <row r="120" spans="1:60"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row>
    <row r="121" spans="1:60"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row>
    <row r="122" spans="1:60" x14ac:dyDescent="0.25">
      <c r="A122" s="69"/>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row>
    <row r="123" spans="1:60" x14ac:dyDescent="0.25">
      <c r="A123" s="69"/>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row>
    <row r="124" spans="1:60" x14ac:dyDescent="0.25">
      <c r="A124" s="69"/>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row>
    <row r="125" spans="1:60" x14ac:dyDescent="0.25">
      <c r="A125" s="69"/>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row>
    <row r="126" spans="1:60" x14ac:dyDescent="0.25">
      <c r="A126" s="69"/>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row>
    <row r="127" spans="1:60" x14ac:dyDescent="0.25">
      <c r="A127" s="69"/>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row>
    <row r="128" spans="1:60" x14ac:dyDescent="0.25">
      <c r="A128" s="69"/>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row>
    <row r="129" spans="1:60" x14ac:dyDescent="0.25">
      <c r="A129" s="69"/>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row>
    <row r="130" spans="1:60" x14ac:dyDescent="0.25">
      <c r="A130" s="69"/>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row>
    <row r="131" spans="1:60" x14ac:dyDescent="0.25">
      <c r="A131" s="69"/>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row>
    <row r="132" spans="1:60" x14ac:dyDescent="0.25">
      <c r="A132" s="69"/>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row>
    <row r="133" spans="1:60" x14ac:dyDescent="0.25">
      <c r="A133" s="69"/>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row>
    <row r="134" spans="1:60" x14ac:dyDescent="0.25">
      <c r="A134" s="69"/>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row>
    <row r="135" spans="1:60" x14ac:dyDescent="0.25">
      <c r="A135" s="69"/>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row>
    <row r="136" spans="1:60" x14ac:dyDescent="0.25">
      <c r="A136" s="69"/>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row>
    <row r="137" spans="1:60" x14ac:dyDescent="0.25">
      <c r="A137" s="69"/>
      <c r="B137" s="69"/>
      <c r="C137" s="69"/>
      <c r="D137" s="69"/>
      <c r="E137" s="69"/>
      <c r="F137" s="69"/>
      <c r="G137" s="69"/>
      <c r="H137" s="69"/>
      <c r="I137" s="69"/>
      <c r="J137" s="69"/>
      <c r="K137" s="69"/>
      <c r="L137" s="69"/>
      <c r="M137" s="69"/>
      <c r="N137" s="69"/>
      <c r="O137" s="69"/>
      <c r="P137" s="69"/>
      <c r="Q137" s="69"/>
      <c r="R137" s="69"/>
      <c r="S137" s="69"/>
      <c r="T137" s="69"/>
      <c r="U137" s="69"/>
      <c r="V137" s="69"/>
      <c r="W137" s="69"/>
      <c r="X137" s="69"/>
      <c r="Y137" s="69"/>
      <c r="Z137" s="69"/>
      <c r="AA137" s="69"/>
      <c r="AB137" s="69"/>
      <c r="AC137" s="69"/>
      <c r="AD137" s="69"/>
      <c r="AE137" s="69"/>
      <c r="AF137" s="69"/>
      <c r="AG137" s="69"/>
      <c r="AH137" s="69"/>
      <c r="AI137" s="69"/>
      <c r="AJ137" s="69"/>
      <c r="AK137" s="69"/>
      <c r="AL137" s="69"/>
      <c r="AM137" s="69"/>
      <c r="AN137" s="69"/>
      <c r="AO137" s="69"/>
      <c r="AP137" s="69"/>
      <c r="AQ137" s="69"/>
      <c r="AR137" s="69"/>
      <c r="AS137" s="69"/>
      <c r="AT137" s="69"/>
      <c r="AU137" s="69"/>
      <c r="AV137" s="69"/>
      <c r="AW137" s="69"/>
      <c r="AX137" s="69"/>
      <c r="AY137" s="69"/>
      <c r="AZ137" s="69"/>
      <c r="BA137" s="69"/>
      <c r="BB137" s="69"/>
      <c r="BC137" s="69"/>
      <c r="BD137" s="69"/>
      <c r="BE137" s="69"/>
      <c r="BF137" s="69"/>
      <c r="BG137" s="69"/>
      <c r="BH137" s="69"/>
    </row>
    <row r="138" spans="1:60" x14ac:dyDescent="0.25">
      <c r="A138" s="69"/>
      <c r="B138" s="69"/>
      <c r="C138" s="69"/>
      <c r="D138" s="69"/>
      <c r="E138" s="69"/>
      <c r="F138" s="69"/>
      <c r="G138" s="69"/>
      <c r="H138" s="69"/>
      <c r="I138" s="69"/>
      <c r="J138" s="69"/>
      <c r="K138" s="69"/>
      <c r="L138" s="69"/>
      <c r="M138" s="69"/>
      <c r="N138" s="69"/>
      <c r="O138" s="69"/>
      <c r="P138" s="69"/>
      <c r="Q138" s="69"/>
      <c r="R138" s="69"/>
      <c r="S138" s="69"/>
      <c r="T138" s="69"/>
      <c r="U138" s="69"/>
      <c r="V138" s="69"/>
      <c r="W138" s="69"/>
      <c r="X138" s="69"/>
      <c r="Y138" s="69"/>
      <c r="Z138" s="69"/>
      <c r="AA138" s="69"/>
      <c r="AB138" s="69"/>
      <c r="AC138" s="69"/>
      <c r="AD138" s="69"/>
      <c r="AE138" s="69"/>
      <c r="AF138" s="69"/>
      <c r="AG138" s="69"/>
      <c r="AH138" s="69"/>
      <c r="AI138" s="69"/>
      <c r="AJ138" s="69"/>
      <c r="AK138" s="69"/>
      <c r="AL138" s="69"/>
      <c r="AM138" s="69"/>
      <c r="AN138" s="69"/>
      <c r="AO138" s="69"/>
      <c r="AP138" s="69"/>
      <c r="AQ138" s="69"/>
      <c r="AR138" s="69"/>
      <c r="AS138" s="69"/>
      <c r="AT138" s="69"/>
      <c r="AU138" s="69"/>
      <c r="AV138" s="69"/>
      <c r="AW138" s="69"/>
      <c r="AX138" s="69"/>
      <c r="AY138" s="69"/>
      <c r="AZ138" s="69"/>
      <c r="BA138" s="69"/>
      <c r="BB138" s="69"/>
      <c r="BC138" s="69"/>
      <c r="BD138" s="69"/>
      <c r="BE138" s="69"/>
      <c r="BF138" s="69"/>
      <c r="BG138" s="69"/>
      <c r="BH138" s="69"/>
    </row>
    <row r="139" spans="1:60" x14ac:dyDescent="0.25">
      <c r="A139" s="69"/>
      <c r="B139" s="69"/>
      <c r="C139" s="69"/>
      <c r="D139" s="69"/>
      <c r="E139" s="69"/>
      <c r="F139" s="69"/>
      <c r="G139" s="69"/>
      <c r="H139" s="69"/>
      <c r="I139" s="69"/>
      <c r="J139" s="69"/>
      <c r="K139" s="69"/>
      <c r="L139" s="69"/>
      <c r="M139" s="69"/>
      <c r="N139" s="69"/>
      <c r="O139" s="69"/>
      <c r="P139" s="69"/>
      <c r="Q139" s="69"/>
      <c r="R139" s="69"/>
      <c r="S139" s="69"/>
      <c r="T139" s="69"/>
      <c r="U139" s="69"/>
      <c r="V139" s="69"/>
      <c r="W139" s="69"/>
      <c r="X139" s="69"/>
      <c r="Y139" s="69"/>
      <c r="Z139" s="69"/>
      <c r="AA139" s="69"/>
      <c r="AB139" s="69"/>
      <c r="AC139" s="69"/>
      <c r="AD139" s="69"/>
      <c r="AE139" s="69"/>
      <c r="AF139" s="69"/>
      <c r="AG139" s="69"/>
      <c r="AH139" s="69"/>
      <c r="AI139" s="69"/>
      <c r="AJ139" s="69"/>
      <c r="AK139" s="69"/>
      <c r="AL139" s="69"/>
      <c r="AM139" s="69"/>
      <c r="AN139" s="69"/>
      <c r="AO139" s="69"/>
      <c r="AP139" s="69"/>
      <c r="AQ139" s="69"/>
      <c r="AR139" s="69"/>
      <c r="AS139" s="69"/>
      <c r="AT139" s="69"/>
      <c r="AU139" s="69"/>
      <c r="AV139" s="69"/>
      <c r="AW139" s="69"/>
      <c r="AX139" s="69"/>
      <c r="AY139" s="69"/>
      <c r="AZ139" s="69"/>
      <c r="BA139" s="69"/>
      <c r="BB139" s="69"/>
      <c r="BC139" s="69"/>
      <c r="BD139" s="69"/>
      <c r="BE139" s="69"/>
      <c r="BF139" s="69"/>
      <c r="BG139" s="69"/>
      <c r="BH139" s="69"/>
    </row>
    <row r="140" spans="1:60" x14ac:dyDescent="0.25">
      <c r="A140" s="69"/>
      <c r="B140" s="69"/>
      <c r="C140" s="69"/>
      <c r="D140" s="69"/>
      <c r="E140" s="69"/>
      <c r="F140" s="69"/>
      <c r="G140" s="69"/>
      <c r="H140" s="69"/>
      <c r="I140" s="69"/>
      <c r="J140" s="69"/>
      <c r="K140" s="69"/>
      <c r="L140" s="69"/>
      <c r="M140" s="69"/>
      <c r="N140" s="69"/>
      <c r="O140" s="69"/>
      <c r="P140" s="69"/>
      <c r="Q140" s="69"/>
      <c r="R140" s="69"/>
      <c r="S140" s="69"/>
      <c r="T140" s="69"/>
      <c r="U140" s="69"/>
      <c r="V140" s="69"/>
      <c r="W140" s="69"/>
      <c r="X140" s="69"/>
      <c r="Y140" s="69"/>
      <c r="Z140" s="69"/>
      <c r="AA140" s="69"/>
      <c r="AB140" s="69"/>
      <c r="AC140" s="69"/>
      <c r="AD140" s="69"/>
      <c r="AE140" s="69"/>
      <c r="AF140" s="69"/>
      <c r="AG140" s="69"/>
      <c r="AH140" s="69"/>
      <c r="AI140" s="69"/>
      <c r="AJ140" s="69"/>
      <c r="AK140" s="69"/>
      <c r="AL140" s="69"/>
      <c r="AM140" s="69"/>
      <c r="AN140" s="69"/>
      <c r="AO140" s="69"/>
      <c r="AP140" s="69"/>
      <c r="AQ140" s="69"/>
      <c r="AR140" s="69"/>
      <c r="AS140" s="69"/>
      <c r="AT140" s="69"/>
      <c r="AU140" s="69"/>
      <c r="AV140" s="69"/>
      <c r="AW140" s="69"/>
      <c r="AX140" s="69"/>
      <c r="AY140" s="69"/>
      <c r="AZ140" s="69"/>
      <c r="BA140" s="69"/>
      <c r="BB140" s="69"/>
      <c r="BC140" s="69"/>
      <c r="BD140" s="69"/>
      <c r="BE140" s="69"/>
      <c r="BF140" s="69"/>
      <c r="BG140" s="69"/>
      <c r="BH140" s="69"/>
    </row>
    <row r="141" spans="1:60" x14ac:dyDescent="0.25">
      <c r="A141" s="69"/>
      <c r="B141" s="69"/>
      <c r="C141" s="69"/>
      <c r="D141" s="69"/>
      <c r="E141" s="69"/>
      <c r="F141" s="69"/>
      <c r="G141" s="69"/>
      <c r="H141" s="69"/>
      <c r="I141" s="69"/>
      <c r="J141" s="69"/>
      <c r="K141" s="69"/>
      <c r="L141" s="69"/>
      <c r="M141" s="69"/>
      <c r="N141" s="69"/>
      <c r="O141" s="69"/>
      <c r="P141" s="69"/>
      <c r="Q141" s="69"/>
      <c r="R141" s="69"/>
      <c r="S141" s="69"/>
      <c r="T141" s="69"/>
      <c r="U141" s="69"/>
      <c r="V141" s="69"/>
      <c r="W141" s="69"/>
      <c r="X141" s="69"/>
      <c r="Y141" s="69"/>
      <c r="Z141" s="69"/>
      <c r="AA141" s="69"/>
      <c r="AB141" s="69"/>
      <c r="AC141" s="69"/>
      <c r="AD141" s="69"/>
      <c r="AE141" s="69"/>
      <c r="AF141" s="69"/>
      <c r="AG141" s="69"/>
      <c r="AH141" s="69"/>
      <c r="AI141" s="69"/>
      <c r="AJ141" s="69"/>
      <c r="AK141" s="69"/>
      <c r="AL141" s="69"/>
      <c r="AM141" s="69"/>
      <c r="AN141" s="69"/>
      <c r="AO141" s="69"/>
      <c r="AP141" s="69"/>
      <c r="AQ141" s="69"/>
      <c r="AR141" s="69"/>
      <c r="AS141" s="69"/>
      <c r="AT141" s="69"/>
      <c r="AU141" s="69"/>
      <c r="AV141" s="69"/>
      <c r="AW141" s="69"/>
      <c r="AX141" s="69"/>
      <c r="AY141" s="69"/>
      <c r="AZ141" s="69"/>
      <c r="BA141" s="69"/>
      <c r="BB141" s="69"/>
      <c r="BC141" s="69"/>
      <c r="BD141" s="69"/>
      <c r="BE141" s="69"/>
      <c r="BF141" s="69"/>
      <c r="BG141" s="69"/>
      <c r="BH141" s="69"/>
    </row>
    <row r="142" spans="1:60" x14ac:dyDescent="0.25">
      <c r="A142" s="69"/>
      <c r="B142" s="69"/>
      <c r="C142" s="69"/>
      <c r="D142" s="69"/>
      <c r="E142" s="69"/>
      <c r="F142" s="69"/>
      <c r="G142" s="69"/>
      <c r="H142" s="69"/>
      <c r="I142" s="69"/>
      <c r="J142" s="69"/>
      <c r="K142" s="69"/>
      <c r="L142" s="69"/>
      <c r="M142" s="69"/>
      <c r="N142" s="69"/>
      <c r="O142" s="69"/>
      <c r="P142" s="69"/>
      <c r="Q142" s="69"/>
      <c r="R142" s="69"/>
      <c r="S142" s="69"/>
      <c r="T142" s="69"/>
      <c r="U142" s="69"/>
      <c r="V142" s="69"/>
      <c r="W142" s="69"/>
      <c r="X142" s="69"/>
      <c r="Y142" s="69"/>
      <c r="Z142" s="69"/>
      <c r="AA142" s="69"/>
      <c r="AB142" s="69"/>
      <c r="AC142" s="69"/>
      <c r="AD142" s="69"/>
      <c r="AE142" s="69"/>
      <c r="AF142" s="69"/>
      <c r="AG142" s="69"/>
      <c r="AH142" s="69"/>
      <c r="AI142" s="69"/>
      <c r="AJ142" s="69"/>
      <c r="AK142" s="69"/>
      <c r="AL142" s="69"/>
      <c r="AM142" s="69"/>
      <c r="AN142" s="69"/>
      <c r="AO142" s="69"/>
      <c r="AP142" s="69"/>
      <c r="AQ142" s="69"/>
      <c r="AR142" s="69"/>
      <c r="AS142" s="69"/>
      <c r="AT142" s="69"/>
      <c r="AU142" s="69"/>
      <c r="AV142" s="69"/>
      <c r="AW142" s="69"/>
      <c r="AX142" s="69"/>
      <c r="AY142" s="69"/>
      <c r="AZ142" s="69"/>
      <c r="BA142" s="69"/>
      <c r="BB142" s="69"/>
      <c r="BC142" s="69"/>
      <c r="BD142" s="69"/>
      <c r="BE142" s="69"/>
      <c r="BF142" s="69"/>
      <c r="BG142" s="69"/>
      <c r="BH142" s="69"/>
    </row>
    <row r="143" spans="1:60" x14ac:dyDescent="0.25">
      <c r="A143" s="69"/>
      <c r="B143" s="69"/>
      <c r="C143" s="69"/>
      <c r="D143" s="69"/>
      <c r="E143" s="69"/>
      <c r="F143" s="69"/>
      <c r="G143" s="69"/>
      <c r="H143" s="69"/>
      <c r="I143" s="69"/>
      <c r="J143" s="69"/>
      <c r="K143" s="69"/>
      <c r="L143" s="69"/>
      <c r="M143" s="69"/>
      <c r="N143" s="69"/>
      <c r="O143" s="69"/>
      <c r="P143" s="69"/>
      <c r="Q143" s="69"/>
      <c r="R143" s="69"/>
      <c r="S143" s="69"/>
      <c r="T143" s="69"/>
      <c r="U143" s="69"/>
      <c r="V143" s="69"/>
      <c r="W143" s="69"/>
      <c r="X143" s="69"/>
      <c r="Y143" s="69"/>
      <c r="Z143" s="69"/>
      <c r="AA143" s="69"/>
      <c r="AB143" s="69"/>
      <c r="AC143" s="69"/>
      <c r="AD143" s="69"/>
      <c r="AE143" s="69"/>
      <c r="AF143" s="69"/>
      <c r="AG143" s="69"/>
      <c r="AH143" s="69"/>
      <c r="AI143" s="69"/>
      <c r="AJ143" s="69"/>
      <c r="AK143" s="69"/>
      <c r="AL143" s="69"/>
      <c r="AM143" s="69"/>
      <c r="AN143" s="69"/>
      <c r="AO143" s="69"/>
      <c r="AP143" s="69"/>
      <c r="AQ143" s="69"/>
      <c r="AR143" s="69"/>
      <c r="AS143" s="69"/>
      <c r="AT143" s="69"/>
      <c r="AU143" s="69"/>
      <c r="AV143" s="69"/>
      <c r="AW143" s="69"/>
      <c r="AX143" s="69"/>
      <c r="AY143" s="69"/>
      <c r="AZ143" s="69"/>
      <c r="BA143" s="69"/>
      <c r="BB143" s="69"/>
      <c r="BC143" s="69"/>
      <c r="BD143" s="69"/>
      <c r="BE143" s="69"/>
      <c r="BF143" s="69"/>
      <c r="BG143" s="69"/>
      <c r="BH143" s="69"/>
    </row>
    <row r="144" spans="1:60" x14ac:dyDescent="0.25">
      <c r="A144" s="69"/>
      <c r="B144" s="69"/>
      <c r="C144" s="69"/>
      <c r="D144" s="69"/>
      <c r="E144" s="69"/>
      <c r="F144" s="69"/>
      <c r="G144" s="69"/>
      <c r="H144" s="69"/>
      <c r="I144" s="69"/>
      <c r="J144" s="69"/>
      <c r="K144" s="69"/>
      <c r="L144" s="69"/>
      <c r="M144" s="69"/>
      <c r="N144" s="69"/>
      <c r="O144" s="69"/>
      <c r="P144" s="69"/>
      <c r="Q144" s="69"/>
      <c r="R144" s="69"/>
      <c r="S144" s="69"/>
      <c r="T144" s="69"/>
      <c r="U144" s="69"/>
      <c r="V144" s="69"/>
      <c r="W144" s="69"/>
      <c r="X144" s="69"/>
      <c r="Y144" s="69"/>
      <c r="Z144" s="69"/>
      <c r="AA144" s="69"/>
      <c r="AB144" s="69"/>
      <c r="AC144" s="69"/>
      <c r="AD144" s="69"/>
      <c r="AE144" s="69"/>
      <c r="AF144" s="69"/>
      <c r="AG144" s="69"/>
      <c r="AH144" s="69"/>
      <c r="AI144" s="69"/>
      <c r="AJ144" s="69"/>
      <c r="AK144" s="69"/>
      <c r="AL144" s="69"/>
      <c r="AM144" s="69"/>
      <c r="AN144" s="69"/>
      <c r="AO144" s="69"/>
      <c r="AP144" s="69"/>
      <c r="AQ144" s="69"/>
      <c r="AR144" s="69"/>
      <c r="AS144" s="69"/>
      <c r="AT144" s="69"/>
      <c r="AU144" s="69"/>
      <c r="AV144" s="69"/>
      <c r="AW144" s="69"/>
      <c r="AX144" s="69"/>
      <c r="AY144" s="69"/>
      <c r="AZ144" s="69"/>
      <c r="BA144" s="69"/>
      <c r="BB144" s="69"/>
      <c r="BC144" s="69"/>
      <c r="BD144" s="69"/>
      <c r="BE144" s="69"/>
      <c r="BF144" s="69"/>
      <c r="BG144" s="69"/>
      <c r="BH144" s="69"/>
    </row>
    <row r="145" spans="1:60" x14ac:dyDescent="0.25">
      <c r="A145" s="69"/>
      <c r="B145" s="69"/>
      <c r="C145" s="69"/>
      <c r="D145" s="69"/>
      <c r="E145" s="69"/>
      <c r="F145" s="69"/>
      <c r="G145" s="69"/>
      <c r="H145" s="69"/>
      <c r="I145" s="69"/>
      <c r="J145" s="69"/>
      <c r="K145" s="69"/>
      <c r="L145" s="69"/>
      <c r="M145" s="69"/>
      <c r="N145" s="69"/>
      <c r="O145" s="69"/>
      <c r="P145" s="69"/>
      <c r="Q145" s="69"/>
      <c r="R145" s="69"/>
      <c r="S145" s="69"/>
      <c r="T145" s="69"/>
      <c r="U145" s="69"/>
      <c r="V145" s="69"/>
      <c r="W145" s="69"/>
      <c r="X145" s="69"/>
      <c r="Y145" s="69"/>
      <c r="Z145" s="69"/>
      <c r="AA145" s="69"/>
      <c r="AB145" s="69"/>
      <c r="AC145" s="69"/>
      <c r="AD145" s="69"/>
      <c r="AE145" s="69"/>
      <c r="AF145" s="69"/>
      <c r="AG145" s="69"/>
      <c r="AH145" s="69"/>
      <c r="AI145" s="69"/>
      <c r="AJ145" s="69"/>
      <c r="AK145" s="69"/>
      <c r="AL145" s="69"/>
      <c r="AM145" s="69"/>
      <c r="AN145" s="69"/>
      <c r="AO145" s="69"/>
      <c r="AP145" s="69"/>
      <c r="AQ145" s="69"/>
      <c r="AR145" s="69"/>
      <c r="AS145" s="69"/>
      <c r="AT145" s="69"/>
      <c r="AU145" s="69"/>
      <c r="AV145" s="69"/>
      <c r="AW145" s="69"/>
      <c r="AX145" s="69"/>
      <c r="AY145" s="69"/>
      <c r="AZ145" s="69"/>
      <c r="BA145" s="69"/>
      <c r="BB145" s="69"/>
      <c r="BC145" s="69"/>
      <c r="BD145" s="69"/>
      <c r="BE145" s="69"/>
      <c r="BF145" s="69"/>
      <c r="BG145" s="69"/>
      <c r="BH145" s="69"/>
    </row>
    <row r="146" spans="1:60" x14ac:dyDescent="0.25">
      <c r="A146" s="69"/>
      <c r="B146" s="69"/>
      <c r="C146" s="69"/>
      <c r="D146" s="69"/>
      <c r="E146" s="69"/>
      <c r="F146" s="69"/>
      <c r="G146" s="69"/>
      <c r="H146" s="69"/>
      <c r="I146" s="69"/>
      <c r="J146" s="69"/>
      <c r="K146" s="69"/>
      <c r="L146" s="69"/>
      <c r="M146" s="69"/>
      <c r="N146" s="69"/>
      <c r="O146" s="69"/>
      <c r="P146" s="69"/>
      <c r="Q146" s="69"/>
      <c r="R146" s="69"/>
      <c r="S146" s="69"/>
      <c r="T146" s="69"/>
      <c r="U146" s="69"/>
      <c r="V146" s="69"/>
      <c r="W146" s="69"/>
      <c r="X146" s="69"/>
      <c r="Y146" s="69"/>
      <c r="Z146" s="69"/>
      <c r="AA146" s="69"/>
      <c r="AB146" s="69"/>
      <c r="AC146" s="69"/>
      <c r="AD146" s="69"/>
      <c r="AE146" s="69"/>
      <c r="AF146" s="69"/>
      <c r="AG146" s="69"/>
      <c r="AH146" s="69"/>
      <c r="AI146" s="69"/>
      <c r="AJ146" s="69"/>
      <c r="AK146" s="69"/>
      <c r="AL146" s="69"/>
      <c r="AM146" s="69"/>
      <c r="AN146" s="69"/>
      <c r="AO146" s="69"/>
      <c r="AP146" s="69"/>
      <c r="AQ146" s="69"/>
      <c r="AR146" s="69"/>
      <c r="AS146" s="69"/>
      <c r="AT146" s="69"/>
      <c r="AU146" s="69"/>
      <c r="AV146" s="69"/>
      <c r="AW146" s="69"/>
      <c r="AX146" s="69"/>
      <c r="AY146" s="69"/>
      <c r="AZ146" s="69"/>
      <c r="BA146" s="69"/>
      <c r="BB146" s="69"/>
      <c r="BC146" s="69"/>
      <c r="BD146" s="69"/>
      <c r="BE146" s="69"/>
      <c r="BF146" s="69"/>
      <c r="BG146" s="69"/>
      <c r="BH146" s="69"/>
    </row>
    <row r="147" spans="1:60" x14ac:dyDescent="0.25">
      <c r="A147" s="69"/>
      <c r="B147" s="69"/>
      <c r="C147" s="69"/>
      <c r="D147" s="69"/>
      <c r="E147" s="69"/>
      <c r="F147" s="69"/>
      <c r="G147" s="69"/>
      <c r="H147" s="69"/>
      <c r="I147" s="69"/>
      <c r="J147" s="69"/>
      <c r="K147" s="69"/>
      <c r="L147" s="69"/>
      <c r="M147" s="69"/>
      <c r="N147" s="69"/>
      <c r="O147" s="69"/>
      <c r="P147" s="69"/>
      <c r="Q147" s="69"/>
      <c r="R147" s="69"/>
      <c r="S147" s="69"/>
      <c r="T147" s="69"/>
      <c r="U147" s="69"/>
      <c r="V147" s="69"/>
      <c r="W147" s="69"/>
      <c r="X147" s="69"/>
      <c r="Y147" s="69"/>
      <c r="Z147" s="69"/>
      <c r="AA147" s="69"/>
      <c r="AB147" s="69"/>
      <c r="AC147" s="69"/>
      <c r="AD147" s="69"/>
      <c r="AE147" s="69"/>
      <c r="AF147" s="69"/>
      <c r="AG147" s="69"/>
      <c r="AH147" s="69"/>
      <c r="AI147" s="69"/>
      <c r="AJ147" s="69"/>
      <c r="AK147" s="69"/>
      <c r="AL147" s="69"/>
      <c r="AM147" s="69"/>
      <c r="AN147" s="69"/>
      <c r="AO147" s="69"/>
      <c r="AP147" s="69"/>
      <c r="AQ147" s="69"/>
      <c r="AR147" s="69"/>
      <c r="AS147" s="69"/>
      <c r="AT147" s="69"/>
      <c r="AU147" s="69"/>
      <c r="AV147" s="69"/>
      <c r="AW147" s="69"/>
      <c r="AX147" s="69"/>
      <c r="AY147" s="69"/>
      <c r="AZ147" s="69"/>
      <c r="BA147" s="69"/>
      <c r="BB147" s="69"/>
      <c r="BC147" s="69"/>
      <c r="BD147" s="69"/>
      <c r="BE147" s="69"/>
      <c r="BF147" s="69"/>
      <c r="BG147" s="69"/>
      <c r="BH147" s="69"/>
    </row>
    <row r="148" spans="1:60" x14ac:dyDescent="0.25">
      <c r="A148" s="69"/>
      <c r="B148" s="69"/>
      <c r="C148" s="69"/>
      <c r="D148" s="69"/>
      <c r="E148" s="69"/>
      <c r="F148" s="69"/>
      <c r="G148" s="69"/>
      <c r="H148" s="69"/>
      <c r="I148" s="69"/>
      <c r="J148" s="69"/>
      <c r="K148" s="69"/>
      <c r="L148" s="69"/>
      <c r="M148" s="69"/>
      <c r="N148" s="69"/>
      <c r="O148" s="69"/>
      <c r="P148" s="69"/>
      <c r="Q148" s="69"/>
      <c r="R148" s="69"/>
      <c r="S148" s="69"/>
      <c r="T148" s="69"/>
      <c r="U148" s="69"/>
      <c r="V148" s="69"/>
      <c r="W148" s="69"/>
      <c r="X148" s="69"/>
      <c r="Y148" s="69"/>
      <c r="Z148" s="69"/>
      <c r="AA148" s="69"/>
      <c r="AB148" s="69"/>
      <c r="AC148" s="69"/>
      <c r="AD148" s="69"/>
      <c r="AE148" s="69"/>
      <c r="AF148" s="69"/>
      <c r="AG148" s="69"/>
      <c r="AH148" s="69"/>
      <c r="AI148" s="69"/>
      <c r="AJ148" s="69"/>
      <c r="AK148" s="69"/>
      <c r="AL148" s="69"/>
      <c r="AM148" s="69"/>
      <c r="AN148" s="69"/>
      <c r="AO148" s="69"/>
      <c r="AP148" s="69"/>
      <c r="AQ148" s="69"/>
      <c r="AR148" s="69"/>
      <c r="AS148" s="69"/>
      <c r="AT148" s="69"/>
      <c r="AU148" s="69"/>
      <c r="AV148" s="69"/>
      <c r="AW148" s="69"/>
      <c r="AX148" s="69"/>
      <c r="AY148" s="69"/>
      <c r="AZ148" s="69"/>
      <c r="BA148" s="69"/>
      <c r="BB148" s="69"/>
      <c r="BC148" s="69"/>
      <c r="BD148" s="69"/>
      <c r="BE148" s="69"/>
      <c r="BF148" s="69"/>
      <c r="BG148" s="69"/>
      <c r="BH148" s="69"/>
    </row>
    <row r="149" spans="1:60" x14ac:dyDescent="0.25">
      <c r="A149" s="69"/>
      <c r="B149" s="69"/>
      <c r="C149" s="69"/>
      <c r="D149" s="69"/>
      <c r="E149" s="69"/>
      <c r="F149" s="69"/>
      <c r="G149" s="69"/>
      <c r="H149" s="69"/>
      <c r="I149" s="69"/>
      <c r="J149" s="69"/>
      <c r="K149" s="69"/>
      <c r="L149" s="69"/>
      <c r="M149" s="69"/>
      <c r="N149" s="69"/>
      <c r="O149" s="69"/>
      <c r="P149" s="69"/>
      <c r="Q149" s="69"/>
      <c r="R149" s="69"/>
      <c r="S149" s="69"/>
      <c r="T149" s="69"/>
      <c r="U149" s="69"/>
      <c r="V149" s="69"/>
      <c r="W149" s="69"/>
      <c r="X149" s="69"/>
      <c r="Y149" s="69"/>
      <c r="Z149" s="69"/>
      <c r="AA149" s="69"/>
      <c r="AB149" s="69"/>
      <c r="AC149" s="69"/>
      <c r="AD149" s="69"/>
      <c r="AE149" s="69"/>
      <c r="AF149" s="69"/>
      <c r="AG149" s="69"/>
      <c r="AH149" s="69"/>
      <c r="AI149" s="69"/>
      <c r="AJ149" s="69"/>
      <c r="AK149" s="69"/>
      <c r="AL149" s="69"/>
      <c r="AM149" s="69"/>
      <c r="AN149" s="69"/>
      <c r="AO149" s="69"/>
      <c r="AP149" s="69"/>
      <c r="AQ149" s="69"/>
      <c r="AR149" s="69"/>
      <c r="AS149" s="69"/>
      <c r="AT149" s="69"/>
      <c r="AU149" s="69"/>
      <c r="AV149" s="69"/>
      <c r="AW149" s="69"/>
      <c r="AX149" s="69"/>
      <c r="AY149" s="69"/>
      <c r="AZ149" s="69"/>
      <c r="BA149" s="69"/>
      <c r="BB149" s="69"/>
      <c r="BC149" s="69"/>
      <c r="BD149" s="69"/>
      <c r="BE149" s="69"/>
      <c r="BF149" s="69"/>
      <c r="BG149" s="69"/>
      <c r="BH149" s="69"/>
    </row>
    <row r="150" spans="1:60" x14ac:dyDescent="0.25">
      <c r="A150" s="69"/>
      <c r="B150" s="69"/>
      <c r="C150" s="69"/>
      <c r="D150" s="69"/>
      <c r="E150" s="69"/>
      <c r="F150" s="69"/>
      <c r="G150" s="69"/>
      <c r="H150" s="69"/>
      <c r="I150" s="69"/>
      <c r="J150" s="69"/>
      <c r="K150" s="69"/>
      <c r="L150" s="69"/>
      <c r="M150" s="69"/>
      <c r="N150" s="69"/>
      <c r="O150" s="69"/>
      <c r="P150" s="69"/>
      <c r="Q150" s="69"/>
      <c r="R150" s="69"/>
      <c r="S150" s="69"/>
      <c r="T150" s="69"/>
      <c r="U150" s="69"/>
      <c r="V150" s="69"/>
      <c r="W150" s="69"/>
      <c r="X150" s="69"/>
      <c r="Y150" s="69"/>
      <c r="Z150" s="69"/>
      <c r="AA150" s="69"/>
      <c r="AB150" s="69"/>
      <c r="AC150" s="69"/>
      <c r="AD150" s="69"/>
      <c r="AE150" s="69"/>
      <c r="AF150" s="69"/>
      <c r="AG150" s="69"/>
      <c r="AH150" s="69"/>
      <c r="AI150" s="69"/>
      <c r="AJ150" s="69"/>
      <c r="AK150" s="69"/>
      <c r="AL150" s="69"/>
      <c r="AM150" s="69"/>
      <c r="AN150" s="69"/>
      <c r="AO150" s="69"/>
      <c r="AP150" s="69"/>
      <c r="AQ150" s="69"/>
      <c r="AR150" s="69"/>
      <c r="AS150" s="69"/>
      <c r="AT150" s="69"/>
      <c r="AU150" s="69"/>
      <c r="AV150" s="69"/>
      <c r="AW150" s="69"/>
      <c r="AX150" s="69"/>
      <c r="AY150" s="69"/>
      <c r="AZ150" s="69"/>
      <c r="BA150" s="69"/>
      <c r="BB150" s="69"/>
      <c r="BC150" s="69"/>
      <c r="BD150" s="69"/>
      <c r="BE150" s="69"/>
      <c r="BF150" s="69"/>
      <c r="BG150" s="69"/>
      <c r="BH150" s="69"/>
    </row>
    <row r="151" spans="1:60" x14ac:dyDescent="0.25">
      <c r="A151" s="69"/>
      <c r="B151" s="69"/>
      <c r="C151" s="69"/>
      <c r="D151" s="69"/>
      <c r="E151" s="69"/>
      <c r="F151" s="69"/>
      <c r="G151" s="69"/>
      <c r="H151" s="69"/>
      <c r="I151" s="69"/>
      <c r="J151" s="69"/>
      <c r="K151" s="69"/>
      <c r="L151" s="69"/>
      <c r="M151" s="69"/>
      <c r="N151" s="69"/>
      <c r="O151" s="69"/>
      <c r="P151" s="69"/>
      <c r="Q151" s="69"/>
      <c r="R151" s="69"/>
      <c r="S151" s="69"/>
      <c r="T151" s="69"/>
      <c r="U151" s="69"/>
      <c r="V151" s="69"/>
      <c r="W151" s="69"/>
      <c r="X151" s="69"/>
      <c r="Y151" s="69"/>
      <c r="Z151" s="69"/>
      <c r="AA151" s="69"/>
      <c r="AB151" s="69"/>
      <c r="AC151" s="69"/>
      <c r="AD151" s="69"/>
      <c r="AE151" s="69"/>
      <c r="AF151" s="69"/>
      <c r="AG151" s="69"/>
      <c r="AH151" s="69"/>
      <c r="AI151" s="69"/>
      <c r="AJ151" s="69"/>
      <c r="AK151" s="69"/>
      <c r="AL151" s="69"/>
      <c r="AM151" s="69"/>
      <c r="AN151" s="69"/>
      <c r="AO151" s="69"/>
      <c r="AP151" s="69"/>
      <c r="AQ151" s="69"/>
      <c r="AR151" s="69"/>
      <c r="AS151" s="69"/>
      <c r="AT151" s="69"/>
      <c r="AU151" s="69"/>
      <c r="AV151" s="69"/>
      <c r="AW151" s="69"/>
      <c r="AX151" s="69"/>
      <c r="AY151" s="69"/>
      <c r="AZ151" s="69"/>
      <c r="BA151" s="69"/>
      <c r="BB151" s="69"/>
      <c r="BC151" s="69"/>
      <c r="BD151" s="69"/>
      <c r="BE151" s="69"/>
      <c r="BF151" s="69"/>
      <c r="BG151" s="69"/>
      <c r="BH151" s="69"/>
    </row>
    <row r="152" spans="1:60" x14ac:dyDescent="0.25">
      <c r="A152" s="69"/>
      <c r="B152" s="69"/>
      <c r="C152" s="69"/>
      <c r="D152" s="69"/>
      <c r="E152" s="69"/>
      <c r="F152" s="69"/>
      <c r="G152" s="69"/>
      <c r="H152" s="69"/>
      <c r="I152" s="69"/>
      <c r="J152" s="69"/>
      <c r="K152" s="69"/>
      <c r="L152" s="69"/>
      <c r="M152" s="69"/>
      <c r="N152" s="69"/>
      <c r="O152" s="69"/>
      <c r="P152" s="69"/>
      <c r="Q152" s="69"/>
      <c r="R152" s="69"/>
      <c r="S152" s="69"/>
      <c r="T152" s="69"/>
      <c r="U152" s="69"/>
      <c r="V152" s="69"/>
      <c r="W152" s="69"/>
      <c r="X152" s="69"/>
      <c r="Y152" s="69"/>
      <c r="Z152" s="69"/>
      <c r="AA152" s="69"/>
      <c r="AB152" s="69"/>
      <c r="AC152" s="69"/>
      <c r="AD152" s="69"/>
      <c r="AE152" s="69"/>
      <c r="AF152" s="69"/>
      <c r="AG152" s="69"/>
      <c r="AH152" s="69"/>
      <c r="AI152" s="69"/>
      <c r="AJ152" s="69"/>
      <c r="AK152" s="69"/>
      <c r="AL152" s="69"/>
      <c r="AM152" s="69"/>
      <c r="AN152" s="69"/>
      <c r="AO152" s="69"/>
      <c r="AP152" s="69"/>
      <c r="AQ152" s="69"/>
      <c r="AR152" s="69"/>
      <c r="AS152" s="69"/>
      <c r="AT152" s="69"/>
      <c r="AU152" s="69"/>
      <c r="AV152" s="69"/>
      <c r="AW152" s="69"/>
      <c r="AX152" s="69"/>
      <c r="AY152" s="69"/>
      <c r="AZ152" s="69"/>
      <c r="BA152" s="69"/>
      <c r="BB152" s="69"/>
      <c r="BC152" s="69"/>
      <c r="BD152" s="69"/>
      <c r="BE152" s="69"/>
      <c r="BF152" s="69"/>
      <c r="BG152" s="69"/>
      <c r="BH152" s="69"/>
    </row>
    <row r="153" spans="1:60" x14ac:dyDescent="0.25">
      <c r="A153" s="69"/>
      <c r="B153" s="69"/>
      <c r="C153" s="69"/>
      <c r="D153" s="69"/>
      <c r="E153" s="69"/>
      <c r="F153" s="69"/>
      <c r="G153" s="69"/>
      <c r="H153" s="69"/>
      <c r="I153" s="69"/>
      <c r="J153" s="69"/>
      <c r="K153" s="69"/>
      <c r="L153" s="69"/>
      <c r="M153" s="69"/>
      <c r="N153" s="69"/>
      <c r="O153" s="69"/>
      <c r="P153" s="69"/>
      <c r="Q153" s="69"/>
      <c r="R153" s="69"/>
      <c r="S153" s="69"/>
      <c r="T153" s="69"/>
      <c r="U153" s="69"/>
      <c r="V153" s="69"/>
      <c r="W153" s="69"/>
      <c r="X153" s="69"/>
      <c r="Y153" s="69"/>
      <c r="Z153" s="69"/>
      <c r="AA153" s="69"/>
      <c r="AB153" s="69"/>
      <c r="AC153" s="69"/>
      <c r="AD153" s="69"/>
      <c r="AE153" s="69"/>
      <c r="AF153" s="69"/>
      <c r="AG153" s="69"/>
      <c r="AH153" s="69"/>
      <c r="AI153" s="69"/>
      <c r="AJ153" s="69"/>
      <c r="AK153" s="69"/>
      <c r="AL153" s="69"/>
      <c r="AM153" s="69"/>
      <c r="AN153" s="69"/>
      <c r="AO153" s="69"/>
      <c r="AP153" s="69"/>
      <c r="AQ153" s="69"/>
      <c r="AR153" s="69"/>
      <c r="AS153" s="69"/>
      <c r="AT153" s="69"/>
      <c r="AU153" s="69"/>
      <c r="AV153" s="69"/>
      <c r="AW153" s="69"/>
      <c r="AX153" s="69"/>
      <c r="AY153" s="69"/>
      <c r="AZ153" s="69"/>
      <c r="BA153" s="69"/>
      <c r="BB153" s="69"/>
      <c r="BC153" s="69"/>
      <c r="BD153" s="69"/>
      <c r="BE153" s="69"/>
      <c r="BF153" s="69"/>
      <c r="BG153" s="69"/>
      <c r="BH153" s="69"/>
    </row>
    <row r="154" spans="1:60" x14ac:dyDescent="0.25">
      <c r="A154" s="69"/>
      <c r="B154" s="69"/>
      <c r="C154" s="69"/>
      <c r="D154" s="69"/>
      <c r="E154" s="69"/>
      <c r="F154" s="69"/>
      <c r="G154" s="69"/>
      <c r="H154" s="69"/>
      <c r="I154" s="69"/>
      <c r="J154" s="69"/>
      <c r="K154" s="69"/>
      <c r="L154" s="69"/>
      <c r="M154" s="69"/>
      <c r="N154" s="69"/>
      <c r="O154" s="69"/>
      <c r="P154" s="69"/>
      <c r="Q154" s="69"/>
      <c r="R154" s="69"/>
      <c r="S154" s="69"/>
      <c r="T154" s="69"/>
      <c r="U154" s="69"/>
      <c r="V154" s="69"/>
      <c r="W154" s="69"/>
      <c r="X154" s="69"/>
      <c r="Y154" s="69"/>
      <c r="Z154" s="69"/>
      <c r="AA154" s="69"/>
      <c r="AB154" s="69"/>
      <c r="AC154" s="69"/>
      <c r="AD154" s="69"/>
      <c r="AE154" s="69"/>
      <c r="AF154" s="69"/>
      <c r="AG154" s="69"/>
      <c r="AH154" s="69"/>
      <c r="AI154" s="69"/>
      <c r="AJ154" s="69"/>
      <c r="AK154" s="69"/>
      <c r="AL154" s="69"/>
      <c r="AM154" s="69"/>
      <c r="AN154" s="69"/>
      <c r="AO154" s="69"/>
      <c r="AP154" s="69"/>
      <c r="AQ154" s="69"/>
      <c r="AR154" s="69"/>
      <c r="AS154" s="69"/>
      <c r="AT154" s="69"/>
      <c r="AU154" s="69"/>
      <c r="AV154" s="69"/>
      <c r="AW154" s="69"/>
      <c r="AX154" s="69"/>
      <c r="AY154" s="69"/>
      <c r="AZ154" s="69"/>
      <c r="BA154" s="69"/>
      <c r="BB154" s="69"/>
      <c r="BC154" s="69"/>
      <c r="BD154" s="69"/>
      <c r="BE154" s="69"/>
      <c r="BF154" s="69"/>
      <c r="BG154" s="69"/>
      <c r="BH154" s="69"/>
    </row>
    <row r="155" spans="1:60" x14ac:dyDescent="0.25">
      <c r="A155" s="69"/>
      <c r="B155" s="69"/>
      <c r="C155" s="69"/>
      <c r="D155" s="69"/>
      <c r="E155" s="69"/>
      <c r="F155" s="69"/>
      <c r="G155" s="69"/>
      <c r="H155" s="69"/>
      <c r="I155" s="69"/>
      <c r="J155" s="69"/>
      <c r="K155" s="69"/>
      <c r="L155" s="69"/>
      <c r="M155" s="69"/>
      <c r="N155" s="69"/>
      <c r="O155" s="69"/>
      <c r="P155" s="69"/>
      <c r="Q155" s="69"/>
      <c r="R155" s="69"/>
      <c r="S155" s="69"/>
      <c r="T155" s="69"/>
      <c r="U155" s="69"/>
      <c r="V155" s="69"/>
      <c r="W155" s="69"/>
      <c r="X155" s="69"/>
      <c r="Y155" s="69"/>
      <c r="Z155" s="69"/>
      <c r="AA155" s="69"/>
      <c r="AB155" s="69"/>
      <c r="AC155" s="69"/>
      <c r="AD155" s="69"/>
      <c r="AE155" s="69"/>
      <c r="AF155" s="69"/>
      <c r="AG155" s="69"/>
      <c r="AH155" s="69"/>
      <c r="AI155" s="69"/>
      <c r="AJ155" s="69"/>
      <c r="AK155" s="69"/>
      <c r="AL155" s="69"/>
      <c r="AM155" s="69"/>
      <c r="AN155" s="69"/>
      <c r="AO155" s="69"/>
      <c r="AP155" s="69"/>
      <c r="AQ155" s="69"/>
      <c r="AR155" s="69"/>
      <c r="AS155" s="69"/>
      <c r="AT155" s="69"/>
      <c r="AU155" s="69"/>
      <c r="AV155" s="69"/>
      <c r="AW155" s="69"/>
      <c r="AX155" s="69"/>
      <c r="AY155" s="69"/>
      <c r="AZ155" s="69"/>
      <c r="BA155" s="69"/>
      <c r="BB155" s="69"/>
      <c r="BC155" s="69"/>
      <c r="BD155" s="69"/>
      <c r="BE155" s="69"/>
      <c r="BF155" s="69"/>
      <c r="BG155" s="69"/>
      <c r="BH155" s="69"/>
    </row>
    <row r="156" spans="1:60" x14ac:dyDescent="0.25">
      <c r="A156" s="69"/>
      <c r="B156" s="69"/>
      <c r="C156" s="69"/>
      <c r="D156" s="69"/>
      <c r="E156" s="69"/>
      <c r="F156" s="69"/>
      <c r="G156" s="69"/>
      <c r="H156" s="69"/>
      <c r="I156" s="69"/>
      <c r="J156" s="69"/>
      <c r="K156" s="69"/>
      <c r="L156" s="69"/>
      <c r="M156" s="69"/>
      <c r="N156" s="69"/>
      <c r="O156" s="69"/>
      <c r="P156" s="69"/>
      <c r="Q156" s="69"/>
      <c r="R156" s="69"/>
      <c r="S156" s="69"/>
      <c r="T156" s="69"/>
      <c r="U156" s="69"/>
      <c r="V156" s="69"/>
      <c r="W156" s="69"/>
      <c r="X156" s="69"/>
      <c r="Y156" s="69"/>
      <c r="Z156" s="69"/>
      <c r="AA156" s="69"/>
      <c r="AB156" s="69"/>
      <c r="AC156" s="69"/>
      <c r="AD156" s="69"/>
      <c r="AE156" s="69"/>
      <c r="AF156" s="69"/>
      <c r="AG156" s="69"/>
      <c r="AH156" s="69"/>
      <c r="AI156" s="69"/>
      <c r="AJ156" s="69"/>
      <c r="AK156" s="69"/>
      <c r="AL156" s="69"/>
      <c r="AM156" s="69"/>
      <c r="AN156" s="69"/>
      <c r="AO156" s="69"/>
      <c r="AP156" s="69"/>
      <c r="AQ156" s="69"/>
      <c r="AR156" s="69"/>
      <c r="AS156" s="69"/>
      <c r="AT156" s="69"/>
      <c r="AU156" s="69"/>
      <c r="AV156" s="69"/>
      <c r="AW156" s="69"/>
      <c r="AX156" s="69"/>
      <c r="AY156" s="69"/>
      <c r="AZ156" s="69"/>
      <c r="BA156" s="69"/>
      <c r="BB156" s="69"/>
      <c r="BC156" s="69"/>
      <c r="BD156" s="69"/>
      <c r="BE156" s="69"/>
      <c r="BF156" s="69"/>
      <c r="BG156" s="69"/>
      <c r="BH156" s="69"/>
    </row>
    <row r="157" spans="1:60" x14ac:dyDescent="0.25">
      <c r="A157" s="69"/>
      <c r="B157" s="69"/>
      <c r="C157" s="69"/>
      <c r="D157" s="69"/>
      <c r="E157" s="69"/>
      <c r="F157" s="69"/>
      <c r="G157" s="69"/>
      <c r="H157" s="69"/>
      <c r="I157" s="69"/>
      <c r="J157" s="69"/>
      <c r="K157" s="69"/>
      <c r="L157" s="69"/>
      <c r="M157" s="69"/>
      <c r="N157" s="69"/>
      <c r="O157" s="69"/>
      <c r="P157" s="69"/>
      <c r="Q157" s="69"/>
      <c r="R157" s="69"/>
      <c r="S157" s="69"/>
      <c r="T157" s="69"/>
      <c r="U157" s="69"/>
      <c r="V157" s="69"/>
      <c r="W157" s="69"/>
      <c r="X157" s="69"/>
      <c r="Y157" s="69"/>
      <c r="Z157" s="69"/>
      <c r="AA157" s="69"/>
      <c r="AB157" s="69"/>
      <c r="AC157" s="69"/>
      <c r="AD157" s="69"/>
      <c r="AE157" s="69"/>
      <c r="AF157" s="69"/>
      <c r="AG157" s="69"/>
      <c r="AH157" s="69"/>
      <c r="AI157" s="69"/>
      <c r="AJ157" s="69"/>
      <c r="AK157" s="69"/>
      <c r="AL157" s="69"/>
      <c r="AM157" s="69"/>
      <c r="AN157" s="69"/>
      <c r="AO157" s="69"/>
      <c r="AP157" s="69"/>
      <c r="AQ157" s="69"/>
      <c r="AR157" s="69"/>
      <c r="AS157" s="69"/>
      <c r="AT157" s="69"/>
      <c r="AU157" s="69"/>
      <c r="AV157" s="69"/>
      <c r="AW157" s="69"/>
      <c r="AX157" s="69"/>
      <c r="AY157" s="69"/>
      <c r="AZ157" s="69"/>
      <c r="BA157" s="69"/>
      <c r="BB157" s="69"/>
      <c r="BC157" s="69"/>
      <c r="BD157" s="69"/>
      <c r="BE157" s="69"/>
      <c r="BF157" s="69"/>
      <c r="BG157" s="69"/>
      <c r="BH157" s="69"/>
    </row>
    <row r="158" spans="1:60" x14ac:dyDescent="0.25">
      <c r="A158" s="69"/>
      <c r="B158" s="69"/>
      <c r="C158" s="69"/>
      <c r="D158" s="69"/>
      <c r="E158" s="69"/>
      <c r="F158" s="69"/>
      <c r="G158" s="69"/>
      <c r="H158" s="69"/>
      <c r="I158" s="69"/>
      <c r="J158" s="69"/>
      <c r="K158" s="69"/>
      <c r="L158" s="69"/>
      <c r="M158" s="69"/>
      <c r="N158" s="69"/>
      <c r="O158" s="69"/>
      <c r="P158" s="69"/>
      <c r="Q158" s="69"/>
      <c r="R158" s="69"/>
      <c r="S158" s="69"/>
      <c r="T158" s="69"/>
      <c r="U158" s="69"/>
      <c r="V158" s="69"/>
      <c r="W158" s="69"/>
      <c r="X158" s="69"/>
      <c r="Y158" s="69"/>
      <c r="Z158" s="69"/>
      <c r="AA158" s="69"/>
      <c r="AB158" s="69"/>
      <c r="AC158" s="69"/>
      <c r="AD158" s="69"/>
      <c r="AE158" s="69"/>
      <c r="AF158" s="69"/>
      <c r="AG158" s="69"/>
      <c r="AH158" s="69"/>
      <c r="AI158" s="69"/>
      <c r="AJ158" s="69"/>
      <c r="AK158" s="69"/>
      <c r="AL158" s="69"/>
      <c r="AM158" s="69"/>
      <c r="AN158" s="69"/>
      <c r="AO158" s="69"/>
      <c r="AP158" s="69"/>
      <c r="AQ158" s="69"/>
      <c r="AR158" s="69"/>
      <c r="AS158" s="69"/>
      <c r="AT158" s="69"/>
      <c r="AU158" s="69"/>
      <c r="AV158" s="69"/>
      <c r="AW158" s="69"/>
      <c r="AX158" s="69"/>
      <c r="AY158" s="69"/>
      <c r="AZ158" s="69"/>
      <c r="BA158" s="69"/>
      <c r="BB158" s="69"/>
      <c r="BC158" s="69"/>
      <c r="BD158" s="69"/>
      <c r="BE158" s="69"/>
      <c r="BF158" s="69"/>
      <c r="BG158" s="69"/>
      <c r="BH158" s="69"/>
    </row>
    <row r="159" spans="1:60" x14ac:dyDescent="0.25">
      <c r="A159" s="69"/>
      <c r="B159" s="69"/>
      <c r="C159" s="69"/>
      <c r="D159" s="69"/>
      <c r="E159" s="69"/>
      <c r="F159" s="69"/>
      <c r="G159" s="69"/>
      <c r="H159" s="69"/>
      <c r="I159" s="69"/>
      <c r="J159" s="69"/>
      <c r="K159" s="69"/>
      <c r="L159" s="69"/>
      <c r="M159" s="69"/>
      <c r="N159" s="69"/>
      <c r="O159" s="69"/>
      <c r="P159" s="69"/>
      <c r="Q159" s="69"/>
      <c r="R159" s="69"/>
      <c r="S159" s="69"/>
      <c r="T159" s="69"/>
      <c r="U159" s="69"/>
      <c r="V159" s="69"/>
      <c r="W159" s="69"/>
      <c r="X159" s="69"/>
      <c r="Y159" s="69"/>
      <c r="Z159" s="69"/>
      <c r="AA159" s="69"/>
      <c r="AB159" s="69"/>
      <c r="AC159" s="69"/>
      <c r="AD159" s="69"/>
      <c r="AE159" s="69"/>
      <c r="AF159" s="69"/>
      <c r="AG159" s="69"/>
      <c r="AH159" s="69"/>
      <c r="AI159" s="69"/>
      <c r="AJ159" s="69"/>
      <c r="AK159" s="69"/>
      <c r="AL159" s="69"/>
      <c r="AM159" s="69"/>
      <c r="AN159" s="69"/>
      <c r="AO159" s="69"/>
      <c r="AP159" s="69"/>
      <c r="AQ159" s="69"/>
      <c r="AR159" s="69"/>
      <c r="AS159" s="69"/>
      <c r="AT159" s="69"/>
      <c r="AU159" s="69"/>
      <c r="AV159" s="69"/>
      <c r="AW159" s="69"/>
      <c r="AX159" s="69"/>
      <c r="AY159" s="69"/>
      <c r="AZ159" s="69"/>
      <c r="BA159" s="69"/>
      <c r="BB159" s="69"/>
      <c r="BC159" s="69"/>
      <c r="BD159" s="69"/>
      <c r="BE159" s="69"/>
      <c r="BF159" s="69"/>
      <c r="BG159" s="69"/>
      <c r="BH159" s="69"/>
    </row>
    <row r="160" spans="1:60" x14ac:dyDescent="0.25">
      <c r="A160" s="69"/>
      <c r="B160" s="69"/>
      <c r="C160" s="69"/>
      <c r="D160" s="69"/>
      <c r="E160" s="69"/>
      <c r="F160" s="69"/>
      <c r="G160" s="69"/>
      <c r="H160" s="69"/>
      <c r="I160" s="69"/>
      <c r="J160" s="69"/>
      <c r="K160" s="69"/>
      <c r="L160" s="69"/>
      <c r="M160" s="69"/>
      <c r="N160" s="69"/>
      <c r="O160" s="69"/>
      <c r="P160" s="69"/>
      <c r="Q160" s="69"/>
      <c r="R160" s="69"/>
      <c r="S160" s="69"/>
      <c r="T160" s="69"/>
      <c r="U160" s="69"/>
      <c r="V160" s="69"/>
      <c r="W160" s="69"/>
      <c r="X160" s="69"/>
      <c r="Y160" s="69"/>
      <c r="Z160" s="69"/>
      <c r="AA160" s="69"/>
      <c r="AB160" s="69"/>
      <c r="AC160" s="69"/>
      <c r="AD160" s="69"/>
      <c r="AE160" s="69"/>
      <c r="AF160" s="69"/>
      <c r="AG160" s="69"/>
      <c r="AH160" s="69"/>
      <c r="AI160" s="69"/>
      <c r="AJ160" s="69"/>
      <c r="AK160" s="69"/>
      <c r="AL160" s="69"/>
      <c r="AM160" s="69"/>
      <c r="AN160" s="69"/>
      <c r="AO160" s="69"/>
      <c r="AP160" s="69"/>
      <c r="AQ160" s="69"/>
      <c r="AR160" s="69"/>
      <c r="AS160" s="69"/>
      <c r="AT160" s="69"/>
      <c r="AU160" s="69"/>
      <c r="AV160" s="69"/>
      <c r="AW160" s="69"/>
      <c r="AX160" s="69"/>
      <c r="AY160" s="69"/>
      <c r="AZ160" s="69"/>
      <c r="BA160" s="69"/>
      <c r="BB160" s="69"/>
      <c r="BC160" s="69"/>
      <c r="BD160" s="69"/>
      <c r="BE160" s="69"/>
      <c r="BF160" s="69"/>
      <c r="BG160" s="69"/>
      <c r="BH160" s="69"/>
    </row>
    <row r="161" spans="1:60" x14ac:dyDescent="0.25">
      <c r="A161" s="69"/>
      <c r="B161" s="69"/>
      <c r="C161" s="69"/>
      <c r="D161" s="69"/>
      <c r="E161" s="69"/>
      <c r="F161" s="69"/>
      <c r="G161" s="69"/>
      <c r="H161" s="69"/>
      <c r="I161" s="69"/>
      <c r="J161" s="69"/>
      <c r="K161" s="69"/>
      <c r="L161" s="69"/>
      <c r="M161" s="69"/>
      <c r="N161" s="69"/>
      <c r="O161" s="69"/>
      <c r="P161" s="69"/>
      <c r="Q161" s="69"/>
      <c r="R161" s="69"/>
      <c r="S161" s="69"/>
      <c r="T161" s="69"/>
      <c r="U161" s="69"/>
      <c r="V161" s="69"/>
      <c r="W161" s="69"/>
      <c r="X161" s="69"/>
      <c r="Y161" s="69"/>
      <c r="Z161" s="69"/>
      <c r="AA161" s="69"/>
      <c r="AB161" s="69"/>
      <c r="AC161" s="69"/>
      <c r="AD161" s="69"/>
      <c r="AE161" s="69"/>
      <c r="AF161" s="69"/>
      <c r="AG161" s="69"/>
      <c r="AH161" s="69"/>
      <c r="AI161" s="69"/>
      <c r="AJ161" s="69"/>
      <c r="AK161" s="69"/>
      <c r="AL161" s="69"/>
      <c r="AM161" s="69"/>
      <c r="AN161" s="69"/>
      <c r="AO161" s="69"/>
      <c r="AP161" s="69"/>
      <c r="AQ161" s="69"/>
      <c r="AR161" s="69"/>
      <c r="AS161" s="69"/>
      <c r="AT161" s="69"/>
      <c r="AU161" s="69"/>
      <c r="AV161" s="69"/>
      <c r="AW161" s="69"/>
      <c r="AX161" s="69"/>
      <c r="AY161" s="69"/>
      <c r="AZ161" s="69"/>
      <c r="BA161" s="69"/>
      <c r="BB161" s="69"/>
      <c r="BC161" s="69"/>
      <c r="BD161" s="69"/>
      <c r="BE161" s="69"/>
      <c r="BF161" s="69"/>
      <c r="BG161" s="69"/>
      <c r="BH161" s="69"/>
    </row>
    <row r="162" spans="1:60" x14ac:dyDescent="0.25">
      <c r="A162" s="69"/>
      <c r="B162" s="69"/>
      <c r="C162" s="69"/>
      <c r="D162" s="69"/>
      <c r="E162" s="69"/>
      <c r="F162" s="69"/>
      <c r="G162" s="69"/>
      <c r="H162" s="69"/>
      <c r="I162" s="69"/>
      <c r="J162" s="69"/>
      <c r="K162" s="69"/>
      <c r="L162" s="69"/>
      <c r="M162" s="69"/>
      <c r="N162" s="69"/>
      <c r="O162" s="69"/>
      <c r="P162" s="69"/>
      <c r="Q162" s="69"/>
      <c r="R162" s="69"/>
      <c r="S162" s="69"/>
      <c r="T162" s="69"/>
      <c r="U162" s="69"/>
      <c r="V162" s="69"/>
      <c r="W162" s="69"/>
      <c r="X162" s="69"/>
      <c r="Y162" s="69"/>
      <c r="Z162" s="69"/>
      <c r="AA162" s="69"/>
      <c r="AB162" s="69"/>
      <c r="AC162" s="69"/>
      <c r="AD162" s="69"/>
      <c r="AE162" s="69"/>
      <c r="AF162" s="69"/>
      <c r="AG162" s="69"/>
      <c r="AH162" s="69"/>
      <c r="AI162" s="69"/>
      <c r="AJ162" s="69"/>
      <c r="AK162" s="69"/>
      <c r="AL162" s="69"/>
      <c r="AM162" s="69"/>
      <c r="AN162" s="69"/>
      <c r="AO162" s="69"/>
      <c r="AP162" s="69"/>
      <c r="AQ162" s="69"/>
      <c r="AR162" s="69"/>
      <c r="AS162" s="69"/>
      <c r="AT162" s="69"/>
      <c r="AU162" s="69"/>
      <c r="AV162" s="69"/>
      <c r="AW162" s="69"/>
      <c r="AX162" s="69"/>
      <c r="AY162" s="69"/>
      <c r="AZ162" s="69"/>
      <c r="BA162" s="69"/>
      <c r="BB162" s="69"/>
      <c r="BC162" s="69"/>
      <c r="BD162" s="69"/>
      <c r="BE162" s="69"/>
      <c r="BF162" s="69"/>
      <c r="BG162" s="69"/>
      <c r="BH162" s="69"/>
    </row>
    <row r="163" spans="1:60" x14ac:dyDescent="0.25">
      <c r="A163" s="69"/>
      <c r="B163" s="69"/>
      <c r="C163" s="69"/>
      <c r="D163" s="69"/>
      <c r="E163" s="69"/>
      <c r="F163" s="69"/>
      <c r="G163" s="69"/>
      <c r="H163" s="69"/>
      <c r="I163" s="69"/>
      <c r="J163" s="69"/>
      <c r="K163" s="69"/>
      <c r="L163" s="69"/>
      <c r="M163" s="69"/>
      <c r="N163" s="69"/>
      <c r="O163" s="69"/>
      <c r="P163" s="69"/>
      <c r="Q163" s="69"/>
      <c r="R163" s="69"/>
      <c r="S163" s="69"/>
      <c r="T163" s="69"/>
      <c r="U163" s="69"/>
      <c r="V163" s="69"/>
      <c r="W163" s="69"/>
      <c r="X163" s="69"/>
      <c r="Y163" s="69"/>
      <c r="Z163" s="69"/>
      <c r="AA163" s="69"/>
      <c r="AB163" s="69"/>
      <c r="AC163" s="69"/>
      <c r="AD163" s="69"/>
      <c r="AE163" s="69"/>
      <c r="AF163" s="69"/>
      <c r="AG163" s="69"/>
      <c r="AH163" s="69"/>
      <c r="AI163" s="69"/>
      <c r="AJ163" s="69"/>
      <c r="AK163" s="69"/>
      <c r="AL163" s="69"/>
      <c r="AM163" s="69"/>
      <c r="AN163" s="69"/>
      <c r="AO163" s="69"/>
      <c r="AP163" s="69"/>
      <c r="AQ163" s="69"/>
      <c r="AR163" s="69"/>
      <c r="AS163" s="69"/>
      <c r="AT163" s="69"/>
      <c r="AU163" s="69"/>
      <c r="AV163" s="69"/>
      <c r="AW163" s="69"/>
      <c r="AX163" s="69"/>
      <c r="AY163" s="69"/>
      <c r="AZ163" s="69"/>
      <c r="BA163" s="69"/>
      <c r="BB163" s="69"/>
      <c r="BC163" s="69"/>
      <c r="BD163" s="69"/>
      <c r="BE163" s="69"/>
      <c r="BF163" s="69"/>
      <c r="BG163" s="69"/>
      <c r="BH163" s="69"/>
    </row>
    <row r="164" spans="1:60" x14ac:dyDescent="0.25">
      <c r="A164" s="69"/>
      <c r="B164" s="69"/>
      <c r="C164" s="69"/>
      <c r="D164" s="69"/>
      <c r="E164" s="69"/>
      <c r="F164" s="69"/>
      <c r="G164" s="69"/>
      <c r="H164" s="69"/>
      <c r="I164" s="69"/>
      <c r="J164" s="69"/>
      <c r="K164" s="69"/>
      <c r="L164" s="69"/>
      <c r="M164" s="69"/>
      <c r="N164" s="69"/>
      <c r="O164" s="69"/>
      <c r="P164" s="69"/>
      <c r="Q164" s="69"/>
      <c r="R164" s="69"/>
      <c r="S164" s="69"/>
      <c r="T164" s="69"/>
      <c r="U164" s="69"/>
      <c r="V164" s="69"/>
      <c r="W164" s="69"/>
      <c r="X164" s="69"/>
      <c r="Y164" s="69"/>
      <c r="Z164" s="69"/>
      <c r="AA164" s="69"/>
      <c r="AB164" s="69"/>
      <c r="AC164" s="69"/>
      <c r="AD164" s="69"/>
      <c r="AE164" s="69"/>
      <c r="AF164" s="69"/>
      <c r="AG164" s="69"/>
      <c r="AH164" s="69"/>
      <c r="AI164" s="69"/>
      <c r="AJ164" s="69"/>
      <c r="AK164" s="69"/>
      <c r="AL164" s="69"/>
      <c r="AM164" s="69"/>
      <c r="AN164" s="69"/>
      <c r="AO164" s="69"/>
      <c r="AP164" s="69"/>
      <c r="AQ164" s="69"/>
      <c r="AR164" s="69"/>
      <c r="AS164" s="69"/>
      <c r="AT164" s="69"/>
      <c r="AU164" s="69"/>
      <c r="AV164" s="69"/>
      <c r="AW164" s="69"/>
      <c r="AX164" s="69"/>
      <c r="AY164" s="69"/>
      <c r="AZ164" s="69"/>
      <c r="BA164" s="69"/>
      <c r="BB164" s="69"/>
      <c r="BC164" s="69"/>
      <c r="BD164" s="69"/>
      <c r="BE164" s="69"/>
      <c r="BF164" s="69"/>
      <c r="BG164" s="69"/>
      <c r="BH164" s="69"/>
    </row>
    <row r="165" spans="1:60" x14ac:dyDescent="0.25">
      <c r="A165" s="69"/>
      <c r="B165" s="69"/>
      <c r="C165" s="69"/>
      <c r="D165" s="69"/>
      <c r="E165" s="69"/>
      <c r="F165" s="69"/>
      <c r="G165" s="69"/>
      <c r="H165" s="69"/>
      <c r="I165" s="69"/>
      <c r="J165" s="69"/>
      <c r="K165" s="69"/>
      <c r="L165" s="69"/>
      <c r="M165" s="69"/>
      <c r="N165" s="69"/>
      <c r="O165" s="69"/>
      <c r="P165" s="69"/>
      <c r="Q165" s="69"/>
      <c r="R165" s="69"/>
      <c r="S165" s="69"/>
      <c r="T165" s="69"/>
      <c r="U165" s="69"/>
      <c r="V165" s="69"/>
      <c r="W165" s="69"/>
      <c r="X165" s="69"/>
      <c r="Y165" s="69"/>
      <c r="Z165" s="69"/>
      <c r="AA165" s="69"/>
      <c r="AB165" s="69"/>
      <c r="AC165" s="69"/>
      <c r="AD165" s="69"/>
      <c r="AE165" s="69"/>
      <c r="AF165" s="69"/>
      <c r="AG165" s="69"/>
      <c r="AH165" s="69"/>
      <c r="AI165" s="69"/>
      <c r="AJ165" s="69"/>
      <c r="AK165" s="69"/>
      <c r="AL165" s="69"/>
      <c r="AM165" s="69"/>
      <c r="AN165" s="69"/>
      <c r="AO165" s="69"/>
      <c r="AP165" s="69"/>
      <c r="AQ165" s="69"/>
      <c r="AR165" s="69"/>
      <c r="AS165" s="69"/>
      <c r="AT165" s="69"/>
      <c r="AU165" s="69"/>
      <c r="AV165" s="69"/>
      <c r="AW165" s="69"/>
      <c r="AX165" s="69"/>
      <c r="AY165" s="69"/>
      <c r="AZ165" s="69"/>
      <c r="BA165" s="69"/>
      <c r="BB165" s="69"/>
      <c r="BC165" s="69"/>
      <c r="BD165" s="69"/>
      <c r="BE165" s="69"/>
      <c r="BF165" s="69"/>
      <c r="BG165" s="69"/>
      <c r="BH165" s="69"/>
    </row>
    <row r="166" spans="1:60" x14ac:dyDescent="0.25">
      <c r="A166" s="69"/>
      <c r="B166" s="69"/>
      <c r="C166" s="69"/>
      <c r="D166" s="69"/>
      <c r="E166" s="69"/>
      <c r="F166" s="69"/>
      <c r="G166" s="69"/>
      <c r="H166" s="69"/>
      <c r="I166" s="69"/>
      <c r="J166" s="69"/>
      <c r="K166" s="69"/>
      <c r="L166" s="69"/>
      <c r="M166" s="69"/>
      <c r="N166" s="69"/>
      <c r="O166" s="69"/>
      <c r="P166" s="69"/>
      <c r="Q166" s="69"/>
      <c r="R166" s="69"/>
      <c r="S166" s="69"/>
      <c r="T166" s="69"/>
      <c r="U166" s="69"/>
      <c r="V166" s="69"/>
      <c r="W166" s="69"/>
      <c r="X166" s="69"/>
      <c r="Y166" s="69"/>
      <c r="Z166" s="69"/>
      <c r="AA166" s="69"/>
      <c r="AB166" s="69"/>
      <c r="AC166" s="69"/>
      <c r="AD166" s="69"/>
      <c r="AE166" s="69"/>
      <c r="AF166" s="69"/>
      <c r="AG166" s="69"/>
      <c r="AH166" s="69"/>
      <c r="AI166" s="69"/>
      <c r="AJ166" s="69"/>
      <c r="AK166" s="69"/>
      <c r="AL166" s="69"/>
      <c r="AM166" s="69"/>
      <c r="AN166" s="69"/>
      <c r="AO166" s="69"/>
      <c r="AP166" s="69"/>
      <c r="AQ166" s="69"/>
      <c r="AR166" s="69"/>
      <c r="AS166" s="69"/>
      <c r="AT166" s="69"/>
      <c r="AU166" s="69"/>
      <c r="AV166" s="69"/>
      <c r="AW166" s="69"/>
      <c r="AX166" s="69"/>
      <c r="AY166" s="69"/>
      <c r="AZ166" s="69"/>
      <c r="BA166" s="69"/>
      <c r="BB166" s="69"/>
      <c r="BC166" s="69"/>
      <c r="BD166" s="69"/>
      <c r="BE166" s="69"/>
      <c r="BF166" s="69"/>
      <c r="BG166" s="69"/>
      <c r="BH166" s="69"/>
    </row>
    <row r="167" spans="1:60" x14ac:dyDescent="0.25">
      <c r="A167" s="69"/>
      <c r="B167" s="69"/>
      <c r="C167" s="69"/>
      <c r="D167" s="69"/>
      <c r="E167" s="69"/>
      <c r="F167" s="69"/>
      <c r="G167" s="69"/>
      <c r="H167" s="69"/>
      <c r="I167" s="69"/>
      <c r="J167" s="69"/>
      <c r="K167" s="69"/>
      <c r="L167" s="69"/>
      <c r="M167" s="69"/>
      <c r="N167" s="69"/>
      <c r="O167" s="69"/>
      <c r="P167" s="69"/>
      <c r="Q167" s="69"/>
      <c r="R167" s="69"/>
      <c r="S167" s="69"/>
      <c r="T167" s="69"/>
      <c r="U167" s="69"/>
      <c r="V167" s="69"/>
      <c r="W167" s="69"/>
      <c r="X167" s="69"/>
      <c r="Y167" s="69"/>
      <c r="Z167" s="69"/>
      <c r="AA167" s="69"/>
      <c r="AB167" s="69"/>
      <c r="AC167" s="69"/>
      <c r="AD167" s="69"/>
      <c r="AE167" s="69"/>
      <c r="AF167" s="69"/>
      <c r="AG167" s="69"/>
      <c r="AH167" s="69"/>
      <c r="AI167" s="69"/>
      <c r="AJ167" s="69"/>
      <c r="AK167" s="69"/>
      <c r="AL167" s="69"/>
      <c r="AM167" s="69"/>
      <c r="AN167" s="69"/>
      <c r="AO167" s="69"/>
      <c r="AP167" s="69"/>
      <c r="AQ167" s="69"/>
      <c r="AR167" s="69"/>
      <c r="AS167" s="69"/>
      <c r="AT167" s="69"/>
      <c r="AU167" s="69"/>
      <c r="AV167" s="69"/>
      <c r="AW167" s="69"/>
      <c r="AX167" s="69"/>
      <c r="AY167" s="69"/>
      <c r="AZ167" s="69"/>
      <c r="BA167" s="69"/>
      <c r="BB167" s="69"/>
      <c r="BC167" s="69"/>
      <c r="BD167" s="69"/>
      <c r="BE167" s="69"/>
      <c r="BF167" s="69"/>
      <c r="BG167" s="69"/>
      <c r="BH167" s="69"/>
    </row>
    <row r="168" spans="1:60" x14ac:dyDescent="0.25">
      <c r="A168" s="69"/>
      <c r="B168" s="69"/>
      <c r="C168" s="69"/>
      <c r="D168" s="69"/>
      <c r="E168" s="69"/>
      <c r="F168" s="69"/>
      <c r="G168" s="69"/>
      <c r="H168" s="69"/>
      <c r="I168" s="69"/>
      <c r="J168" s="69"/>
      <c r="K168" s="69"/>
      <c r="L168" s="69"/>
      <c r="M168" s="69"/>
      <c r="N168" s="69"/>
      <c r="O168" s="69"/>
      <c r="P168" s="69"/>
      <c r="Q168" s="69"/>
      <c r="R168" s="69"/>
      <c r="S168" s="69"/>
      <c r="T168" s="69"/>
      <c r="U168" s="69"/>
      <c r="V168" s="69"/>
      <c r="W168" s="69"/>
      <c r="X168" s="69"/>
      <c r="Y168" s="69"/>
      <c r="Z168" s="69"/>
      <c r="AA168" s="69"/>
      <c r="AB168" s="69"/>
      <c r="AC168" s="69"/>
      <c r="AD168" s="69"/>
      <c r="AE168" s="69"/>
      <c r="AF168" s="69"/>
      <c r="AG168" s="69"/>
      <c r="AH168" s="69"/>
      <c r="AI168" s="69"/>
      <c r="AJ168" s="69"/>
      <c r="AK168" s="69"/>
      <c r="AL168" s="69"/>
      <c r="AM168" s="69"/>
      <c r="AN168" s="69"/>
      <c r="AO168" s="69"/>
      <c r="AP168" s="69"/>
      <c r="AQ168" s="69"/>
      <c r="AR168" s="69"/>
      <c r="AS168" s="69"/>
      <c r="AT168" s="69"/>
      <c r="AU168" s="69"/>
      <c r="AV168" s="69"/>
      <c r="AW168" s="69"/>
      <c r="AX168" s="69"/>
      <c r="AY168" s="69"/>
      <c r="AZ168" s="69"/>
      <c r="BA168" s="69"/>
      <c r="BB168" s="69"/>
      <c r="BC168" s="69"/>
      <c r="BD168" s="69"/>
      <c r="BE168" s="69"/>
      <c r="BF168" s="69"/>
      <c r="BG168" s="69"/>
      <c r="BH168" s="69"/>
    </row>
    <row r="169" spans="1:60" x14ac:dyDescent="0.25">
      <c r="A169" s="69"/>
      <c r="B169" s="69"/>
      <c r="C169" s="69"/>
      <c r="D169" s="69"/>
      <c r="E169" s="69"/>
      <c r="F169" s="69"/>
      <c r="G169" s="69"/>
      <c r="H169" s="69"/>
      <c r="I169" s="69"/>
      <c r="J169" s="69"/>
      <c r="K169" s="69"/>
      <c r="L169" s="69"/>
      <c r="M169" s="69"/>
      <c r="N169" s="69"/>
      <c r="O169" s="69"/>
      <c r="P169" s="69"/>
      <c r="Q169" s="69"/>
      <c r="R169" s="69"/>
      <c r="S169" s="69"/>
      <c r="T169" s="69"/>
      <c r="U169" s="69"/>
      <c r="V169" s="69"/>
      <c r="W169" s="69"/>
      <c r="X169" s="69"/>
      <c r="Y169" s="69"/>
      <c r="Z169" s="69"/>
      <c r="AA169" s="69"/>
      <c r="AB169" s="69"/>
      <c r="AC169" s="69"/>
      <c r="AD169" s="69"/>
      <c r="AE169" s="69"/>
      <c r="AF169" s="69"/>
      <c r="AG169" s="69"/>
      <c r="AH169" s="69"/>
      <c r="AI169" s="69"/>
      <c r="AJ169" s="69"/>
      <c r="AK169" s="69"/>
      <c r="AL169" s="69"/>
      <c r="AM169" s="69"/>
      <c r="AN169" s="69"/>
      <c r="AO169" s="69"/>
      <c r="AP169" s="69"/>
      <c r="AQ169" s="69"/>
      <c r="AR169" s="69"/>
      <c r="AS169" s="69"/>
      <c r="AT169" s="69"/>
      <c r="AU169" s="69"/>
      <c r="AV169" s="69"/>
      <c r="AW169" s="69"/>
      <c r="AX169" s="69"/>
      <c r="AY169" s="69"/>
      <c r="AZ169" s="69"/>
      <c r="BA169" s="69"/>
      <c r="BB169" s="69"/>
      <c r="BC169" s="69"/>
      <c r="BD169" s="69"/>
      <c r="BE169" s="69"/>
      <c r="BF169" s="69"/>
      <c r="BG169" s="69"/>
      <c r="BH169" s="69"/>
    </row>
    <row r="170" spans="1:60" x14ac:dyDescent="0.25">
      <c r="A170" s="69"/>
      <c r="B170" s="69"/>
      <c r="C170" s="69"/>
      <c r="D170" s="69"/>
      <c r="E170" s="69"/>
      <c r="F170" s="69"/>
      <c r="G170" s="69"/>
      <c r="H170" s="69"/>
      <c r="I170" s="69"/>
      <c r="J170" s="69"/>
      <c r="K170" s="69"/>
      <c r="L170" s="69"/>
      <c r="M170" s="69"/>
      <c r="N170" s="69"/>
      <c r="O170" s="69"/>
      <c r="P170" s="69"/>
      <c r="Q170" s="69"/>
      <c r="R170" s="69"/>
      <c r="S170" s="69"/>
      <c r="T170" s="69"/>
      <c r="U170" s="69"/>
      <c r="V170" s="69"/>
      <c r="W170" s="69"/>
      <c r="X170" s="69"/>
      <c r="Y170" s="69"/>
      <c r="Z170" s="69"/>
      <c r="AA170" s="69"/>
      <c r="AB170" s="69"/>
      <c r="AC170" s="69"/>
      <c r="AD170" s="69"/>
      <c r="AE170" s="69"/>
      <c r="AF170" s="69"/>
      <c r="AG170" s="69"/>
      <c r="AH170" s="69"/>
      <c r="AI170" s="69"/>
      <c r="AJ170" s="69"/>
      <c r="AK170" s="69"/>
      <c r="AL170" s="69"/>
      <c r="AM170" s="69"/>
      <c r="AN170" s="69"/>
      <c r="AO170" s="69"/>
      <c r="AP170" s="69"/>
      <c r="AQ170" s="69"/>
      <c r="AR170" s="69"/>
      <c r="AS170" s="69"/>
      <c r="AT170" s="69"/>
      <c r="AU170" s="69"/>
      <c r="AV170" s="69"/>
      <c r="AW170" s="69"/>
      <c r="AX170" s="69"/>
      <c r="AY170" s="69"/>
      <c r="AZ170" s="69"/>
      <c r="BA170" s="69"/>
      <c r="BB170" s="69"/>
      <c r="BC170" s="69"/>
      <c r="BD170" s="69"/>
      <c r="BE170" s="69"/>
      <c r="BF170" s="69"/>
      <c r="BG170" s="69"/>
      <c r="BH170" s="69"/>
    </row>
    <row r="171" spans="1:60" x14ac:dyDescent="0.25">
      <c r="A171" s="69"/>
      <c r="B171" s="69"/>
      <c r="C171" s="69"/>
      <c r="D171" s="69"/>
      <c r="E171" s="69"/>
      <c r="F171" s="69"/>
      <c r="G171" s="69"/>
      <c r="H171" s="69"/>
      <c r="I171" s="69"/>
      <c r="J171" s="69"/>
      <c r="K171" s="69"/>
      <c r="L171" s="69"/>
      <c r="M171" s="69"/>
      <c r="N171" s="69"/>
      <c r="O171" s="69"/>
      <c r="P171" s="69"/>
      <c r="Q171" s="69"/>
      <c r="R171" s="69"/>
      <c r="S171" s="69"/>
      <c r="T171" s="69"/>
      <c r="U171" s="69"/>
      <c r="V171" s="69"/>
      <c r="W171" s="69"/>
      <c r="X171" s="69"/>
      <c r="Y171" s="69"/>
      <c r="Z171" s="69"/>
      <c r="AA171" s="69"/>
      <c r="AB171" s="69"/>
      <c r="AC171" s="69"/>
      <c r="AD171" s="69"/>
      <c r="AE171" s="69"/>
      <c r="AF171" s="69"/>
      <c r="AG171" s="69"/>
      <c r="AH171" s="69"/>
      <c r="AI171" s="69"/>
      <c r="AJ171" s="69"/>
      <c r="AK171" s="69"/>
      <c r="AL171" s="69"/>
      <c r="AM171" s="69"/>
      <c r="AN171" s="69"/>
      <c r="AO171" s="69"/>
      <c r="AP171" s="69"/>
      <c r="AQ171" s="69"/>
      <c r="AR171" s="69"/>
      <c r="AS171" s="69"/>
      <c r="AT171" s="69"/>
      <c r="AU171" s="69"/>
      <c r="AV171" s="69"/>
      <c r="AW171" s="69"/>
      <c r="AX171" s="69"/>
      <c r="AY171" s="69"/>
      <c r="AZ171" s="69"/>
      <c r="BA171" s="69"/>
      <c r="BB171" s="69"/>
      <c r="BC171" s="69"/>
      <c r="BD171" s="69"/>
      <c r="BE171" s="69"/>
      <c r="BF171" s="69"/>
      <c r="BG171" s="69"/>
      <c r="BH171" s="69"/>
    </row>
    <row r="172" spans="1:60" x14ac:dyDescent="0.25">
      <c r="A172" s="69"/>
      <c r="B172" s="69"/>
      <c r="C172" s="69"/>
      <c r="D172" s="69"/>
      <c r="E172" s="69"/>
      <c r="F172" s="69"/>
      <c r="G172" s="69"/>
      <c r="H172" s="69"/>
      <c r="I172" s="69"/>
      <c r="J172" s="69"/>
      <c r="K172" s="69"/>
      <c r="L172" s="69"/>
      <c r="M172" s="69"/>
      <c r="N172" s="69"/>
      <c r="O172" s="69"/>
      <c r="P172" s="69"/>
      <c r="Q172" s="69"/>
      <c r="R172" s="69"/>
      <c r="S172" s="69"/>
      <c r="T172" s="69"/>
      <c r="U172" s="69"/>
      <c r="V172" s="69"/>
      <c r="W172" s="69"/>
      <c r="X172" s="69"/>
      <c r="Y172" s="69"/>
      <c r="Z172" s="69"/>
      <c r="AA172" s="69"/>
      <c r="AB172" s="69"/>
      <c r="AC172" s="69"/>
      <c r="AD172" s="69"/>
      <c r="AE172" s="69"/>
      <c r="AF172" s="69"/>
      <c r="AG172" s="69"/>
      <c r="AH172" s="69"/>
      <c r="AI172" s="69"/>
      <c r="AJ172" s="69"/>
      <c r="AK172" s="69"/>
      <c r="AL172" s="69"/>
      <c r="AM172" s="69"/>
      <c r="AN172" s="69"/>
      <c r="AO172" s="69"/>
      <c r="AP172" s="69"/>
      <c r="AQ172" s="69"/>
      <c r="AR172" s="69"/>
      <c r="AS172" s="69"/>
      <c r="AT172" s="69"/>
      <c r="AU172" s="69"/>
      <c r="AV172" s="69"/>
      <c r="AW172" s="69"/>
      <c r="AX172" s="69"/>
      <c r="AY172" s="69"/>
      <c r="AZ172" s="69"/>
      <c r="BA172" s="69"/>
      <c r="BB172" s="69"/>
      <c r="BC172" s="69"/>
      <c r="BD172" s="69"/>
      <c r="BE172" s="69"/>
      <c r="BF172" s="69"/>
      <c r="BG172" s="69"/>
      <c r="BH172" s="69"/>
    </row>
    <row r="173" spans="1:60" x14ac:dyDescent="0.25">
      <c r="A173" s="69"/>
      <c r="B173" s="69"/>
      <c r="C173" s="69"/>
      <c r="D173" s="69"/>
      <c r="E173" s="69"/>
      <c r="F173" s="69"/>
      <c r="G173" s="69"/>
      <c r="H173" s="69"/>
      <c r="I173" s="69"/>
      <c r="J173" s="69"/>
      <c r="K173" s="69"/>
      <c r="L173" s="69"/>
      <c r="M173" s="69"/>
      <c r="N173" s="69"/>
      <c r="O173" s="69"/>
      <c r="P173" s="69"/>
      <c r="Q173" s="69"/>
      <c r="R173" s="69"/>
      <c r="S173" s="69"/>
      <c r="T173" s="69"/>
      <c r="U173" s="69"/>
      <c r="V173" s="69"/>
      <c r="W173" s="69"/>
      <c r="X173" s="69"/>
      <c r="Y173" s="69"/>
      <c r="Z173" s="69"/>
      <c r="AA173" s="69"/>
      <c r="AB173" s="69"/>
      <c r="AC173" s="69"/>
      <c r="AD173" s="69"/>
      <c r="AE173" s="69"/>
      <c r="AF173" s="69"/>
      <c r="AG173" s="69"/>
      <c r="AH173" s="69"/>
      <c r="AI173" s="69"/>
      <c r="AJ173" s="69"/>
      <c r="AK173" s="69"/>
      <c r="AL173" s="69"/>
      <c r="AM173" s="69"/>
      <c r="AN173" s="69"/>
      <c r="AO173" s="69"/>
      <c r="AP173" s="69"/>
      <c r="AQ173" s="69"/>
      <c r="AR173" s="69"/>
      <c r="AS173" s="69"/>
      <c r="AT173" s="69"/>
      <c r="AU173" s="69"/>
      <c r="AV173" s="69"/>
      <c r="AW173" s="69"/>
      <c r="AX173" s="69"/>
      <c r="AY173" s="69"/>
      <c r="AZ173" s="69"/>
      <c r="BA173" s="69"/>
      <c r="BB173" s="69"/>
      <c r="BC173" s="69"/>
      <c r="BD173" s="69"/>
      <c r="BE173" s="69"/>
      <c r="BF173" s="69"/>
      <c r="BG173" s="69"/>
      <c r="BH173" s="69"/>
    </row>
    <row r="174" spans="1:60" x14ac:dyDescent="0.25">
      <c r="A174" s="69"/>
      <c r="B174" s="69"/>
      <c r="C174" s="69"/>
      <c r="D174" s="69"/>
      <c r="E174" s="69"/>
      <c r="F174" s="69"/>
      <c r="G174" s="69"/>
      <c r="H174" s="69"/>
      <c r="I174" s="69"/>
      <c r="J174" s="69"/>
      <c r="K174" s="69"/>
      <c r="L174" s="69"/>
      <c r="M174" s="69"/>
      <c r="N174" s="69"/>
      <c r="O174" s="69"/>
      <c r="P174" s="69"/>
      <c r="Q174" s="69"/>
      <c r="R174" s="69"/>
      <c r="S174" s="69"/>
      <c r="T174" s="69"/>
      <c r="U174" s="69"/>
      <c r="V174" s="69"/>
      <c r="W174" s="69"/>
      <c r="X174" s="69"/>
      <c r="Y174" s="69"/>
      <c r="Z174" s="69"/>
      <c r="AA174" s="69"/>
      <c r="AB174" s="69"/>
      <c r="AC174" s="69"/>
      <c r="AD174" s="69"/>
      <c r="AE174" s="69"/>
      <c r="AF174" s="69"/>
      <c r="AG174" s="69"/>
      <c r="AH174" s="69"/>
      <c r="AI174" s="69"/>
      <c r="AJ174" s="69"/>
      <c r="AK174" s="69"/>
      <c r="AL174" s="69"/>
      <c r="AM174" s="69"/>
      <c r="AN174" s="69"/>
      <c r="AO174" s="69"/>
      <c r="AP174" s="69"/>
      <c r="AQ174" s="69"/>
      <c r="AR174" s="69"/>
      <c r="AS174" s="69"/>
      <c r="AT174" s="69"/>
      <c r="AU174" s="69"/>
      <c r="AV174" s="69"/>
      <c r="AW174" s="69"/>
      <c r="AX174" s="69"/>
      <c r="AY174" s="69"/>
      <c r="AZ174" s="69"/>
      <c r="BA174" s="69"/>
      <c r="BB174" s="69"/>
      <c r="BC174" s="69"/>
      <c r="BD174" s="69"/>
      <c r="BE174" s="69"/>
      <c r="BF174" s="69"/>
      <c r="BG174" s="69"/>
      <c r="BH174" s="69"/>
    </row>
    <row r="175" spans="1:60" x14ac:dyDescent="0.25">
      <c r="A175" s="69"/>
      <c r="B175" s="69"/>
      <c r="C175" s="69"/>
      <c r="D175" s="69"/>
      <c r="E175" s="69"/>
      <c r="F175" s="69"/>
      <c r="G175" s="69"/>
      <c r="H175" s="69"/>
      <c r="I175" s="69"/>
      <c r="J175" s="69"/>
      <c r="K175" s="69"/>
      <c r="L175" s="69"/>
      <c r="M175" s="69"/>
      <c r="N175" s="69"/>
      <c r="O175" s="69"/>
      <c r="P175" s="69"/>
      <c r="Q175" s="69"/>
      <c r="R175" s="69"/>
      <c r="S175" s="69"/>
      <c r="T175" s="69"/>
      <c r="U175" s="69"/>
      <c r="V175" s="69"/>
      <c r="W175" s="69"/>
      <c r="X175" s="69"/>
      <c r="Y175" s="69"/>
      <c r="Z175" s="69"/>
      <c r="AA175" s="69"/>
      <c r="AB175" s="69"/>
      <c r="AC175" s="69"/>
      <c r="AD175" s="69"/>
      <c r="AE175" s="69"/>
      <c r="AF175" s="69"/>
      <c r="AG175" s="69"/>
      <c r="AH175" s="69"/>
      <c r="AI175" s="69"/>
      <c r="AJ175" s="69"/>
      <c r="AK175" s="69"/>
      <c r="AL175" s="69"/>
      <c r="AM175" s="69"/>
      <c r="AN175" s="69"/>
      <c r="AO175" s="69"/>
      <c r="AP175" s="69"/>
      <c r="AQ175" s="69"/>
      <c r="AR175" s="69"/>
      <c r="AS175" s="69"/>
      <c r="AT175" s="69"/>
      <c r="AU175" s="69"/>
      <c r="AV175" s="69"/>
      <c r="AW175" s="69"/>
      <c r="AX175" s="69"/>
      <c r="AY175" s="69"/>
      <c r="AZ175" s="69"/>
      <c r="BA175" s="69"/>
      <c r="BB175" s="69"/>
      <c r="BC175" s="69"/>
      <c r="BD175" s="69"/>
      <c r="BE175" s="69"/>
      <c r="BF175" s="69"/>
      <c r="BG175" s="69"/>
      <c r="BH175" s="69"/>
    </row>
    <row r="176" spans="1:60" x14ac:dyDescent="0.25">
      <c r="A176" s="69"/>
      <c r="B176" s="69"/>
      <c r="C176" s="69"/>
      <c r="D176" s="69"/>
      <c r="E176" s="69"/>
      <c r="F176" s="69"/>
      <c r="G176" s="69"/>
      <c r="H176" s="69"/>
      <c r="I176" s="69"/>
      <c r="J176" s="69"/>
      <c r="K176" s="69"/>
      <c r="L176" s="69"/>
      <c r="M176" s="69"/>
      <c r="N176" s="69"/>
      <c r="O176" s="69"/>
      <c r="P176" s="69"/>
      <c r="Q176" s="69"/>
      <c r="R176" s="69"/>
      <c r="S176" s="69"/>
      <c r="T176" s="69"/>
      <c r="U176" s="69"/>
      <c r="V176" s="69"/>
      <c r="W176" s="69"/>
      <c r="X176" s="69"/>
      <c r="Y176" s="69"/>
      <c r="Z176" s="69"/>
      <c r="AA176" s="69"/>
      <c r="AB176" s="69"/>
      <c r="AC176" s="69"/>
      <c r="AD176" s="69"/>
      <c r="AE176" s="69"/>
      <c r="AF176" s="69"/>
      <c r="AG176" s="69"/>
      <c r="AH176" s="69"/>
      <c r="AI176" s="69"/>
      <c r="AJ176" s="69"/>
      <c r="AK176" s="69"/>
      <c r="AL176" s="69"/>
      <c r="AM176" s="69"/>
      <c r="AN176" s="69"/>
      <c r="AO176" s="69"/>
      <c r="AP176" s="69"/>
      <c r="AQ176" s="69"/>
      <c r="AR176" s="69"/>
      <c r="AS176" s="69"/>
      <c r="AT176" s="69"/>
      <c r="AU176" s="69"/>
      <c r="AV176" s="69"/>
      <c r="AW176" s="69"/>
      <c r="AX176" s="69"/>
      <c r="AY176" s="69"/>
      <c r="AZ176" s="69"/>
      <c r="BA176" s="69"/>
      <c r="BB176" s="69"/>
      <c r="BC176" s="69"/>
      <c r="BD176" s="69"/>
      <c r="BE176" s="69"/>
      <c r="BF176" s="69"/>
      <c r="BG176" s="69"/>
      <c r="BH176" s="69"/>
    </row>
    <row r="177" spans="1:60" x14ac:dyDescent="0.25">
      <c r="A177" s="69"/>
      <c r="B177" s="69"/>
      <c r="C177" s="69"/>
      <c r="D177" s="69"/>
      <c r="E177" s="69"/>
      <c r="F177" s="69"/>
      <c r="G177" s="69"/>
      <c r="H177" s="69"/>
      <c r="I177" s="69"/>
      <c r="J177" s="69"/>
      <c r="K177" s="69"/>
      <c r="L177" s="69"/>
      <c r="M177" s="69"/>
      <c r="N177" s="69"/>
      <c r="O177" s="69"/>
      <c r="P177" s="69"/>
      <c r="Q177" s="69"/>
      <c r="R177" s="69"/>
      <c r="S177" s="69"/>
      <c r="T177" s="69"/>
      <c r="U177" s="69"/>
      <c r="V177" s="69"/>
      <c r="W177" s="69"/>
      <c r="X177" s="69"/>
      <c r="Y177" s="69"/>
      <c r="Z177" s="69"/>
      <c r="AA177" s="69"/>
      <c r="AB177" s="69"/>
      <c r="AC177" s="69"/>
      <c r="AD177" s="69"/>
      <c r="AE177" s="69"/>
      <c r="AF177" s="69"/>
      <c r="AG177" s="69"/>
      <c r="AH177" s="69"/>
      <c r="AI177" s="69"/>
      <c r="AJ177" s="69"/>
      <c r="AK177" s="69"/>
      <c r="AL177" s="69"/>
      <c r="AM177" s="69"/>
      <c r="AN177" s="69"/>
      <c r="AO177" s="69"/>
      <c r="AP177" s="69"/>
      <c r="AQ177" s="69"/>
      <c r="AR177" s="69"/>
      <c r="AS177" s="69"/>
      <c r="AT177" s="69"/>
      <c r="AU177" s="69"/>
      <c r="AV177" s="69"/>
      <c r="AW177" s="69"/>
      <c r="AX177" s="69"/>
      <c r="AY177" s="69"/>
      <c r="AZ177" s="69"/>
      <c r="BA177" s="69"/>
      <c r="BB177" s="69"/>
      <c r="BC177" s="69"/>
      <c r="BD177" s="69"/>
      <c r="BE177" s="69"/>
      <c r="BF177" s="69"/>
      <c r="BG177" s="69"/>
      <c r="BH177" s="69"/>
    </row>
    <row r="178" spans="1:60" x14ac:dyDescent="0.25">
      <c r="A178" s="69"/>
      <c r="B178" s="69"/>
      <c r="C178" s="69"/>
      <c r="D178" s="69"/>
      <c r="E178" s="69"/>
      <c r="F178" s="69"/>
      <c r="G178" s="69"/>
      <c r="H178" s="69"/>
      <c r="I178" s="69"/>
      <c r="J178" s="69"/>
      <c r="K178" s="69"/>
      <c r="L178" s="69"/>
      <c r="M178" s="69"/>
      <c r="N178" s="69"/>
      <c r="O178" s="69"/>
      <c r="P178" s="69"/>
      <c r="Q178" s="69"/>
      <c r="R178" s="69"/>
      <c r="S178" s="69"/>
      <c r="T178" s="69"/>
      <c r="U178" s="69"/>
      <c r="V178" s="69"/>
      <c r="W178" s="69"/>
      <c r="X178" s="69"/>
      <c r="Y178" s="69"/>
      <c r="Z178" s="69"/>
      <c r="AA178" s="69"/>
      <c r="AB178" s="69"/>
      <c r="AC178" s="69"/>
      <c r="AD178" s="69"/>
      <c r="AE178" s="69"/>
      <c r="AF178" s="69"/>
      <c r="AG178" s="69"/>
      <c r="AH178" s="69"/>
      <c r="AI178" s="69"/>
      <c r="AJ178" s="69"/>
      <c r="AK178" s="69"/>
      <c r="AL178" s="69"/>
      <c r="AM178" s="69"/>
      <c r="AN178" s="69"/>
      <c r="AO178" s="69"/>
      <c r="AP178" s="69"/>
      <c r="AQ178" s="69"/>
      <c r="AR178" s="69"/>
      <c r="AS178" s="69"/>
      <c r="AT178" s="69"/>
      <c r="AU178" s="69"/>
      <c r="AV178" s="69"/>
      <c r="AW178" s="69"/>
      <c r="AX178" s="69"/>
      <c r="AY178" s="69"/>
      <c r="AZ178" s="69"/>
      <c r="BA178" s="69"/>
      <c r="BB178" s="69"/>
      <c r="BC178" s="69"/>
      <c r="BD178" s="69"/>
      <c r="BE178" s="69"/>
      <c r="BF178" s="69"/>
      <c r="BG178" s="69"/>
      <c r="BH178" s="69"/>
    </row>
    <row r="179" spans="1:60" x14ac:dyDescent="0.25">
      <c r="A179" s="69"/>
      <c r="B179" s="69"/>
      <c r="C179" s="69"/>
      <c r="D179" s="69"/>
      <c r="E179" s="69"/>
      <c r="F179" s="69"/>
      <c r="G179" s="69"/>
      <c r="H179" s="69"/>
      <c r="I179" s="69"/>
      <c r="J179" s="69"/>
      <c r="K179" s="69"/>
      <c r="L179" s="69"/>
      <c r="M179" s="69"/>
      <c r="N179" s="69"/>
      <c r="O179" s="69"/>
      <c r="P179" s="69"/>
      <c r="Q179" s="69"/>
      <c r="R179" s="69"/>
      <c r="S179" s="69"/>
      <c r="T179" s="69"/>
      <c r="U179" s="69"/>
      <c r="V179" s="69"/>
      <c r="W179" s="69"/>
      <c r="X179" s="69"/>
      <c r="Y179" s="69"/>
      <c r="Z179" s="69"/>
      <c r="AA179" s="69"/>
      <c r="AB179" s="69"/>
      <c r="AC179" s="69"/>
      <c r="AD179" s="69"/>
      <c r="AE179" s="69"/>
      <c r="AF179" s="69"/>
      <c r="AG179" s="69"/>
      <c r="AH179" s="69"/>
      <c r="AI179" s="69"/>
      <c r="AJ179" s="69"/>
      <c r="AK179" s="69"/>
      <c r="AL179" s="69"/>
      <c r="AM179" s="69"/>
      <c r="AN179" s="69"/>
      <c r="AO179" s="69"/>
      <c r="AP179" s="69"/>
      <c r="AQ179" s="69"/>
      <c r="AR179" s="69"/>
      <c r="AS179" s="69"/>
      <c r="AT179" s="69"/>
      <c r="AU179" s="69"/>
      <c r="AV179" s="69"/>
      <c r="AW179" s="69"/>
      <c r="AX179" s="69"/>
      <c r="AY179" s="69"/>
      <c r="AZ179" s="69"/>
      <c r="BA179" s="69"/>
      <c r="BB179" s="69"/>
      <c r="BC179" s="69"/>
      <c r="BD179" s="69"/>
      <c r="BE179" s="69"/>
      <c r="BF179" s="69"/>
      <c r="BG179" s="69"/>
      <c r="BH179" s="69"/>
    </row>
    <row r="180" spans="1:60" x14ac:dyDescent="0.25">
      <c r="A180" s="69"/>
      <c r="B180" s="69"/>
      <c r="C180" s="69"/>
      <c r="D180" s="69"/>
      <c r="E180" s="69"/>
      <c r="F180" s="69"/>
      <c r="G180" s="69"/>
      <c r="H180" s="69"/>
      <c r="I180" s="69"/>
      <c r="J180" s="69"/>
      <c r="K180" s="69"/>
      <c r="L180" s="69"/>
      <c r="M180" s="69"/>
      <c r="N180" s="69"/>
      <c r="O180" s="69"/>
      <c r="P180" s="69"/>
      <c r="Q180" s="69"/>
      <c r="R180" s="69"/>
      <c r="S180" s="69"/>
      <c r="T180" s="69"/>
      <c r="U180" s="69"/>
      <c r="V180" s="69"/>
      <c r="W180" s="69"/>
      <c r="X180" s="69"/>
      <c r="Y180" s="69"/>
      <c r="Z180" s="69"/>
      <c r="AA180" s="69"/>
      <c r="AB180" s="69"/>
      <c r="AC180" s="69"/>
      <c r="AD180" s="69"/>
      <c r="AE180" s="69"/>
      <c r="AF180" s="69"/>
      <c r="AG180" s="69"/>
      <c r="AH180" s="69"/>
      <c r="AI180" s="69"/>
      <c r="AJ180" s="69"/>
      <c r="AK180" s="69"/>
      <c r="AL180" s="69"/>
      <c r="AM180" s="69"/>
      <c r="AN180" s="69"/>
      <c r="AO180" s="69"/>
      <c r="AP180" s="69"/>
      <c r="AQ180" s="69"/>
      <c r="AR180" s="69"/>
      <c r="AS180" s="69"/>
      <c r="AT180" s="69"/>
      <c r="AU180" s="69"/>
      <c r="AV180" s="69"/>
      <c r="AW180" s="69"/>
      <c r="AX180" s="69"/>
      <c r="AY180" s="69"/>
      <c r="AZ180" s="69"/>
      <c r="BA180" s="69"/>
      <c r="BB180" s="69"/>
      <c r="BC180" s="69"/>
      <c r="BD180" s="69"/>
      <c r="BE180" s="69"/>
      <c r="BF180" s="69"/>
      <c r="BG180" s="69"/>
      <c r="BH180" s="69"/>
    </row>
    <row r="181" spans="1:60" x14ac:dyDescent="0.25">
      <c r="A181" s="69"/>
      <c r="B181" s="69"/>
      <c r="C181" s="69"/>
      <c r="D181" s="69"/>
      <c r="E181" s="69"/>
      <c r="F181" s="69"/>
      <c r="G181" s="69"/>
      <c r="H181" s="69"/>
      <c r="I181" s="69"/>
      <c r="J181" s="69"/>
      <c r="K181" s="69"/>
      <c r="L181" s="69"/>
      <c r="M181" s="69"/>
      <c r="N181" s="69"/>
      <c r="O181" s="69"/>
      <c r="P181" s="69"/>
      <c r="Q181" s="69"/>
      <c r="R181" s="69"/>
      <c r="S181" s="69"/>
      <c r="T181" s="69"/>
      <c r="U181" s="69"/>
      <c r="V181" s="69"/>
      <c r="W181" s="69"/>
      <c r="X181" s="69"/>
      <c r="Y181" s="69"/>
      <c r="Z181" s="69"/>
      <c r="AA181" s="69"/>
      <c r="AB181" s="69"/>
      <c r="AC181" s="69"/>
      <c r="AD181" s="69"/>
      <c r="AE181" s="69"/>
      <c r="AF181" s="69"/>
      <c r="AG181" s="69"/>
      <c r="AH181" s="69"/>
      <c r="AI181" s="69"/>
      <c r="AJ181" s="69"/>
      <c r="AK181" s="69"/>
      <c r="AL181" s="69"/>
      <c r="AM181" s="69"/>
      <c r="AN181" s="69"/>
      <c r="AO181" s="69"/>
      <c r="AP181" s="69"/>
      <c r="AQ181" s="69"/>
      <c r="AR181" s="69"/>
      <c r="AS181" s="69"/>
      <c r="AT181" s="69"/>
      <c r="AU181" s="69"/>
      <c r="AV181" s="69"/>
      <c r="AW181" s="69"/>
      <c r="AX181" s="69"/>
      <c r="AY181" s="69"/>
      <c r="AZ181" s="69"/>
      <c r="BA181" s="69"/>
      <c r="BB181" s="69"/>
      <c r="BC181" s="69"/>
      <c r="BD181" s="69"/>
      <c r="BE181" s="69"/>
      <c r="BF181" s="69"/>
      <c r="BG181" s="69"/>
      <c r="BH181" s="69"/>
    </row>
    <row r="182" spans="1:60" x14ac:dyDescent="0.25">
      <c r="A182" s="69"/>
      <c r="B182" s="69"/>
      <c r="C182" s="69"/>
      <c r="D182" s="69"/>
      <c r="E182" s="69"/>
      <c r="F182" s="69"/>
      <c r="G182" s="69"/>
      <c r="H182" s="69"/>
      <c r="I182" s="69"/>
      <c r="J182" s="69"/>
      <c r="K182" s="69"/>
      <c r="L182" s="69"/>
      <c r="M182" s="69"/>
      <c r="N182" s="69"/>
      <c r="O182" s="69"/>
      <c r="P182" s="69"/>
      <c r="Q182" s="69"/>
      <c r="R182" s="69"/>
      <c r="S182" s="69"/>
      <c r="T182" s="69"/>
      <c r="U182" s="69"/>
      <c r="V182" s="69"/>
      <c r="W182" s="69"/>
      <c r="X182" s="69"/>
      <c r="Y182" s="69"/>
      <c r="Z182" s="69"/>
      <c r="AA182" s="69"/>
      <c r="AB182" s="69"/>
      <c r="AC182" s="69"/>
      <c r="AD182" s="69"/>
      <c r="AE182" s="69"/>
      <c r="AF182" s="69"/>
      <c r="AG182" s="69"/>
      <c r="AH182" s="69"/>
      <c r="AI182" s="69"/>
      <c r="AJ182" s="69"/>
      <c r="AK182" s="69"/>
      <c r="AL182" s="69"/>
      <c r="AM182" s="69"/>
      <c r="AN182" s="69"/>
      <c r="AO182" s="69"/>
      <c r="AP182" s="69"/>
      <c r="AQ182" s="69"/>
      <c r="AR182" s="69"/>
      <c r="AS182" s="69"/>
      <c r="AT182" s="69"/>
      <c r="AU182" s="69"/>
      <c r="AV182" s="69"/>
      <c r="AW182" s="69"/>
      <c r="AX182" s="69"/>
      <c r="AY182" s="69"/>
      <c r="AZ182" s="69"/>
      <c r="BA182" s="69"/>
      <c r="BB182" s="69"/>
      <c r="BC182" s="69"/>
      <c r="BD182" s="69"/>
      <c r="BE182" s="69"/>
      <c r="BF182" s="69"/>
      <c r="BG182" s="69"/>
      <c r="BH182" s="69"/>
    </row>
    <row r="183" spans="1:60" x14ac:dyDescent="0.25">
      <c r="A183" s="69"/>
      <c r="B183" s="69"/>
      <c r="C183" s="69"/>
      <c r="D183" s="69"/>
      <c r="E183" s="69"/>
      <c r="F183" s="69"/>
      <c r="G183" s="69"/>
      <c r="H183" s="69"/>
      <c r="I183" s="69"/>
      <c r="J183" s="69"/>
      <c r="K183" s="69"/>
      <c r="L183" s="69"/>
      <c r="M183" s="69"/>
      <c r="N183" s="69"/>
      <c r="O183" s="69"/>
      <c r="P183" s="69"/>
      <c r="Q183" s="69"/>
      <c r="R183" s="69"/>
      <c r="S183" s="69"/>
      <c r="T183" s="69"/>
      <c r="U183" s="69"/>
      <c r="V183" s="69"/>
      <c r="W183" s="69"/>
      <c r="X183" s="69"/>
      <c r="Y183" s="69"/>
      <c r="Z183" s="69"/>
      <c r="AA183" s="69"/>
      <c r="AB183" s="69"/>
      <c r="AC183" s="69"/>
      <c r="AD183" s="69"/>
      <c r="AE183" s="69"/>
      <c r="AF183" s="69"/>
      <c r="AG183" s="69"/>
      <c r="AH183" s="69"/>
      <c r="AI183" s="69"/>
      <c r="AJ183" s="69"/>
      <c r="AK183" s="69"/>
      <c r="AL183" s="69"/>
      <c r="AM183" s="69"/>
      <c r="AN183" s="69"/>
      <c r="AO183" s="69"/>
      <c r="AP183" s="69"/>
      <c r="AQ183" s="69"/>
      <c r="AR183" s="69"/>
      <c r="AS183" s="69"/>
      <c r="AT183" s="69"/>
      <c r="AU183" s="69"/>
      <c r="AV183" s="69"/>
      <c r="AW183" s="69"/>
      <c r="AX183" s="69"/>
      <c r="AY183" s="69"/>
      <c r="AZ183" s="69"/>
      <c r="BA183" s="69"/>
      <c r="BB183" s="69"/>
      <c r="BC183" s="69"/>
      <c r="BD183" s="69"/>
      <c r="BE183" s="69"/>
      <c r="BF183" s="69"/>
      <c r="BG183" s="69"/>
      <c r="BH183" s="69"/>
    </row>
    <row r="184" spans="1:60" x14ac:dyDescent="0.25">
      <c r="A184" s="69"/>
      <c r="B184" s="69"/>
      <c r="C184" s="69"/>
      <c r="D184" s="69"/>
      <c r="E184" s="69"/>
      <c r="F184" s="69"/>
      <c r="G184" s="69"/>
      <c r="H184" s="69"/>
      <c r="I184" s="69"/>
      <c r="J184" s="69"/>
      <c r="K184" s="69"/>
      <c r="L184" s="69"/>
      <c r="M184" s="69"/>
      <c r="N184" s="69"/>
      <c r="O184" s="69"/>
      <c r="P184" s="69"/>
      <c r="Q184" s="69"/>
      <c r="R184" s="69"/>
      <c r="S184" s="69"/>
      <c r="T184" s="69"/>
      <c r="U184" s="69"/>
      <c r="V184" s="69"/>
      <c r="W184" s="69"/>
      <c r="X184" s="69"/>
      <c r="Y184" s="69"/>
      <c r="Z184" s="69"/>
      <c r="AA184" s="69"/>
      <c r="AB184" s="69"/>
      <c r="AC184" s="69"/>
      <c r="AD184" s="69"/>
      <c r="AE184" s="69"/>
      <c r="AF184" s="69"/>
      <c r="AG184" s="69"/>
      <c r="AH184" s="69"/>
      <c r="AI184" s="69"/>
      <c r="AJ184" s="69"/>
      <c r="AK184" s="69"/>
      <c r="AL184" s="69"/>
      <c r="AM184" s="69"/>
      <c r="AN184" s="69"/>
      <c r="AO184" s="69"/>
      <c r="AP184" s="69"/>
      <c r="AQ184" s="69"/>
      <c r="AR184" s="69"/>
      <c r="AS184" s="69"/>
      <c r="AT184" s="69"/>
      <c r="AU184" s="69"/>
      <c r="AV184" s="69"/>
      <c r="AW184" s="69"/>
      <c r="AX184" s="69"/>
      <c r="AY184" s="69"/>
      <c r="AZ184" s="69"/>
      <c r="BA184" s="69"/>
      <c r="BB184" s="69"/>
      <c r="BC184" s="69"/>
      <c r="BD184" s="69"/>
      <c r="BE184" s="69"/>
      <c r="BF184" s="69"/>
      <c r="BG184" s="69"/>
      <c r="BH184" s="69"/>
    </row>
    <row r="185" spans="1:60" x14ac:dyDescent="0.25">
      <c r="A185" s="69"/>
      <c r="B185" s="69"/>
      <c r="C185" s="69"/>
      <c r="D185" s="69"/>
      <c r="E185" s="69"/>
      <c r="F185" s="69"/>
      <c r="G185" s="69"/>
      <c r="H185" s="69"/>
      <c r="I185" s="69"/>
      <c r="J185" s="69"/>
      <c r="K185" s="69"/>
      <c r="L185" s="69"/>
      <c r="M185" s="69"/>
      <c r="N185" s="69"/>
      <c r="O185" s="69"/>
      <c r="P185" s="69"/>
      <c r="Q185" s="69"/>
      <c r="R185" s="69"/>
      <c r="S185" s="69"/>
      <c r="T185" s="69"/>
      <c r="U185" s="69"/>
      <c r="V185" s="69"/>
      <c r="W185" s="69"/>
      <c r="X185" s="69"/>
      <c r="Y185" s="69"/>
      <c r="Z185" s="69"/>
      <c r="AA185" s="69"/>
      <c r="AB185" s="69"/>
      <c r="AC185" s="69"/>
      <c r="AD185" s="69"/>
      <c r="AE185" s="69"/>
      <c r="AF185" s="69"/>
      <c r="AG185" s="69"/>
      <c r="AH185" s="69"/>
      <c r="AI185" s="69"/>
      <c r="AJ185" s="69"/>
      <c r="AK185" s="69"/>
      <c r="AL185" s="69"/>
      <c r="AM185" s="69"/>
      <c r="AN185" s="69"/>
      <c r="AO185" s="69"/>
      <c r="AP185" s="69"/>
      <c r="AQ185" s="69"/>
      <c r="AR185" s="69"/>
      <c r="AS185" s="69"/>
      <c r="AT185" s="69"/>
      <c r="AU185" s="69"/>
      <c r="AV185" s="69"/>
      <c r="AW185" s="69"/>
      <c r="AX185" s="69"/>
      <c r="AY185" s="69"/>
      <c r="AZ185" s="69"/>
      <c r="BA185" s="69"/>
      <c r="BB185" s="69"/>
      <c r="BC185" s="69"/>
      <c r="BD185" s="69"/>
      <c r="BE185" s="69"/>
      <c r="BF185" s="69"/>
      <c r="BG185" s="69"/>
      <c r="BH185" s="69"/>
    </row>
    <row r="186" spans="1:60" x14ac:dyDescent="0.25">
      <c r="A186" s="69"/>
      <c r="B186" s="69"/>
      <c r="C186" s="69"/>
      <c r="D186" s="69"/>
      <c r="E186" s="69"/>
      <c r="F186" s="69"/>
      <c r="G186" s="69"/>
      <c r="H186" s="69"/>
      <c r="I186" s="69"/>
      <c r="J186" s="69"/>
      <c r="K186" s="69"/>
      <c r="L186" s="69"/>
      <c r="M186" s="69"/>
      <c r="N186" s="69"/>
      <c r="O186" s="69"/>
      <c r="P186" s="69"/>
      <c r="Q186" s="69"/>
      <c r="R186" s="69"/>
      <c r="S186" s="69"/>
      <c r="T186" s="69"/>
      <c r="U186" s="69"/>
      <c r="V186" s="69"/>
      <c r="W186" s="69"/>
      <c r="X186" s="69"/>
      <c r="Y186" s="69"/>
      <c r="Z186" s="69"/>
      <c r="AA186" s="69"/>
      <c r="AB186" s="69"/>
      <c r="AC186" s="69"/>
      <c r="AD186" s="69"/>
      <c r="AE186" s="69"/>
      <c r="AF186" s="69"/>
      <c r="AG186" s="69"/>
      <c r="AH186" s="69"/>
      <c r="AI186" s="69"/>
      <c r="AJ186" s="69"/>
      <c r="AK186" s="69"/>
      <c r="AL186" s="69"/>
      <c r="AM186" s="69"/>
      <c r="AN186" s="69"/>
      <c r="AO186" s="69"/>
      <c r="AP186" s="69"/>
      <c r="AQ186" s="69"/>
      <c r="AR186" s="69"/>
      <c r="AS186" s="69"/>
      <c r="AT186" s="69"/>
      <c r="AU186" s="69"/>
      <c r="AV186" s="69"/>
      <c r="AW186" s="69"/>
      <c r="AX186" s="69"/>
      <c r="AY186" s="69"/>
      <c r="AZ186" s="69"/>
      <c r="BA186" s="69"/>
      <c r="BB186" s="69"/>
      <c r="BC186" s="69"/>
      <c r="BD186" s="69"/>
      <c r="BE186" s="69"/>
      <c r="BF186" s="69"/>
      <c r="BG186" s="69"/>
      <c r="BH186" s="69"/>
    </row>
    <row r="187" spans="1:60" x14ac:dyDescent="0.25">
      <c r="A187" s="69"/>
      <c r="B187" s="69"/>
      <c r="C187" s="69"/>
      <c r="D187" s="69"/>
      <c r="E187" s="69"/>
      <c r="F187" s="69"/>
      <c r="G187" s="69"/>
      <c r="H187" s="69"/>
      <c r="I187" s="69"/>
      <c r="J187" s="69"/>
      <c r="K187" s="69"/>
      <c r="L187" s="69"/>
      <c r="M187" s="69"/>
      <c r="N187" s="69"/>
      <c r="O187" s="69"/>
      <c r="P187" s="69"/>
      <c r="Q187" s="69"/>
      <c r="R187" s="69"/>
      <c r="S187" s="69"/>
      <c r="T187" s="69"/>
      <c r="U187" s="69"/>
      <c r="V187" s="69"/>
      <c r="W187" s="69"/>
      <c r="X187" s="69"/>
      <c r="Y187" s="69"/>
      <c r="Z187" s="69"/>
      <c r="AA187" s="69"/>
      <c r="AB187" s="69"/>
      <c r="AC187" s="69"/>
      <c r="AD187" s="69"/>
      <c r="AE187" s="69"/>
      <c r="AF187" s="69"/>
      <c r="AG187" s="69"/>
      <c r="AH187" s="69"/>
      <c r="AI187" s="69"/>
      <c r="AJ187" s="69"/>
      <c r="AK187" s="69"/>
      <c r="AL187" s="69"/>
      <c r="AM187" s="69"/>
      <c r="AN187" s="69"/>
      <c r="AO187" s="69"/>
      <c r="AP187" s="69"/>
      <c r="AQ187" s="69"/>
      <c r="AR187" s="69"/>
      <c r="AS187" s="69"/>
      <c r="AT187" s="69"/>
      <c r="AU187" s="69"/>
      <c r="AV187" s="69"/>
      <c r="AW187" s="69"/>
      <c r="AX187" s="69"/>
      <c r="AY187" s="69"/>
      <c r="AZ187" s="69"/>
      <c r="BA187" s="69"/>
      <c r="BB187" s="69"/>
      <c r="BC187" s="69"/>
      <c r="BD187" s="69"/>
      <c r="BE187" s="69"/>
      <c r="BF187" s="69"/>
      <c r="BG187" s="69"/>
      <c r="BH187" s="69"/>
    </row>
    <row r="188" spans="1:60" x14ac:dyDescent="0.25">
      <c r="A188" s="69"/>
      <c r="B188" s="69"/>
      <c r="C188" s="69"/>
      <c r="D188" s="69"/>
      <c r="E188" s="69"/>
      <c r="F188" s="69"/>
      <c r="G188" s="69"/>
      <c r="H188" s="69"/>
      <c r="I188" s="69"/>
      <c r="J188" s="69"/>
      <c r="K188" s="69"/>
      <c r="L188" s="69"/>
      <c r="M188" s="69"/>
      <c r="N188" s="69"/>
      <c r="O188" s="69"/>
      <c r="P188" s="69"/>
      <c r="Q188" s="69"/>
      <c r="R188" s="69"/>
      <c r="S188" s="69"/>
      <c r="T188" s="69"/>
      <c r="U188" s="69"/>
      <c r="V188" s="69"/>
      <c r="W188" s="69"/>
      <c r="X188" s="69"/>
      <c r="Y188" s="69"/>
      <c r="Z188" s="69"/>
      <c r="AA188" s="69"/>
      <c r="AB188" s="69"/>
      <c r="AC188" s="69"/>
      <c r="AD188" s="69"/>
      <c r="AE188" s="69"/>
      <c r="AF188" s="69"/>
      <c r="AG188" s="69"/>
      <c r="AH188" s="69"/>
      <c r="AI188" s="69"/>
      <c r="AJ188" s="69"/>
      <c r="AK188" s="69"/>
      <c r="AL188" s="69"/>
      <c r="AM188" s="69"/>
      <c r="AN188" s="69"/>
      <c r="AO188" s="69"/>
      <c r="AP188" s="69"/>
      <c r="AQ188" s="69"/>
      <c r="AR188" s="69"/>
      <c r="AS188" s="69"/>
      <c r="AT188" s="69"/>
      <c r="AU188" s="69"/>
      <c r="AV188" s="69"/>
      <c r="AW188" s="69"/>
      <c r="AX188" s="69"/>
      <c r="AY188" s="69"/>
      <c r="AZ188" s="69"/>
      <c r="BA188" s="69"/>
      <c r="BB188" s="69"/>
      <c r="BC188" s="69"/>
      <c r="BD188" s="69"/>
      <c r="BE188" s="69"/>
      <c r="BF188" s="69"/>
      <c r="BG188" s="69"/>
      <c r="BH188" s="69"/>
    </row>
    <row r="189" spans="1:60" x14ac:dyDescent="0.25">
      <c r="A189" s="69"/>
      <c r="B189" s="69"/>
      <c r="C189" s="69"/>
      <c r="D189" s="69"/>
      <c r="E189" s="69"/>
      <c r="F189" s="69"/>
      <c r="G189" s="69"/>
      <c r="H189" s="69"/>
      <c r="I189" s="69"/>
      <c r="J189" s="69"/>
      <c r="K189" s="69"/>
      <c r="L189" s="69"/>
      <c r="M189" s="69"/>
      <c r="N189" s="69"/>
      <c r="O189" s="69"/>
      <c r="P189" s="69"/>
      <c r="Q189" s="69"/>
      <c r="R189" s="69"/>
      <c r="S189" s="69"/>
      <c r="T189" s="69"/>
      <c r="U189" s="69"/>
      <c r="V189" s="69"/>
      <c r="W189" s="69"/>
      <c r="X189" s="69"/>
      <c r="Y189" s="69"/>
      <c r="Z189" s="69"/>
      <c r="AA189" s="69"/>
      <c r="AB189" s="69"/>
      <c r="AC189" s="69"/>
      <c r="AD189" s="69"/>
      <c r="AE189" s="69"/>
      <c r="AF189" s="69"/>
      <c r="AG189" s="69"/>
      <c r="AH189" s="69"/>
      <c r="AI189" s="69"/>
      <c r="AJ189" s="69"/>
      <c r="AK189" s="69"/>
      <c r="AL189" s="69"/>
      <c r="AM189" s="69"/>
      <c r="AN189" s="69"/>
      <c r="AO189" s="69"/>
      <c r="AP189" s="69"/>
      <c r="AQ189" s="69"/>
      <c r="AR189" s="69"/>
      <c r="AS189" s="69"/>
      <c r="AT189" s="69"/>
      <c r="AU189" s="69"/>
      <c r="AV189" s="69"/>
      <c r="AW189" s="69"/>
      <c r="AX189" s="69"/>
      <c r="AY189" s="69"/>
      <c r="AZ189" s="69"/>
      <c r="BA189" s="69"/>
      <c r="BB189" s="69"/>
      <c r="BC189" s="69"/>
      <c r="BD189" s="69"/>
      <c r="BE189" s="69"/>
      <c r="BF189" s="69"/>
      <c r="BG189" s="69"/>
      <c r="BH189" s="69"/>
    </row>
    <row r="190" spans="1:60" x14ac:dyDescent="0.25">
      <c r="A190" s="69"/>
      <c r="B190" s="69"/>
      <c r="C190" s="69"/>
      <c r="D190" s="69"/>
      <c r="E190" s="69"/>
      <c r="F190" s="69"/>
      <c r="G190" s="69"/>
      <c r="H190" s="69"/>
      <c r="I190" s="69"/>
      <c r="J190" s="69"/>
      <c r="K190" s="69"/>
      <c r="L190" s="69"/>
      <c r="M190" s="69"/>
      <c r="N190" s="69"/>
      <c r="O190" s="69"/>
      <c r="P190" s="69"/>
      <c r="Q190" s="69"/>
      <c r="R190" s="69"/>
      <c r="S190" s="69"/>
      <c r="T190" s="69"/>
      <c r="U190" s="69"/>
      <c r="V190" s="69"/>
      <c r="W190" s="69"/>
      <c r="X190" s="69"/>
      <c r="Y190" s="69"/>
      <c r="Z190" s="69"/>
      <c r="AA190" s="69"/>
      <c r="AB190" s="69"/>
      <c r="AC190" s="69"/>
      <c r="AD190" s="69"/>
      <c r="AE190" s="69"/>
      <c r="AF190" s="69"/>
      <c r="AG190" s="69"/>
      <c r="AH190" s="69"/>
      <c r="AI190" s="69"/>
      <c r="AJ190" s="69"/>
      <c r="AK190" s="69"/>
      <c r="AL190" s="69"/>
      <c r="AM190" s="69"/>
      <c r="AN190" s="69"/>
      <c r="AO190" s="69"/>
      <c r="AP190" s="69"/>
      <c r="AQ190" s="69"/>
      <c r="AR190" s="69"/>
      <c r="AS190" s="69"/>
      <c r="AT190" s="69"/>
      <c r="AU190" s="69"/>
      <c r="AV190" s="69"/>
      <c r="AW190" s="69"/>
      <c r="AX190" s="69"/>
      <c r="AY190" s="69"/>
      <c r="AZ190" s="69"/>
      <c r="BA190" s="69"/>
      <c r="BB190" s="69"/>
      <c r="BC190" s="69"/>
      <c r="BD190" s="69"/>
      <c r="BE190" s="69"/>
      <c r="BF190" s="69"/>
      <c r="BG190" s="69"/>
      <c r="BH190" s="69"/>
    </row>
    <row r="191" spans="1:60" x14ac:dyDescent="0.25">
      <c r="A191" s="69"/>
      <c r="J191" s="69"/>
      <c r="K191" s="69"/>
      <c r="L191" s="69"/>
      <c r="M191" s="69"/>
      <c r="N191" s="69"/>
      <c r="O191" s="69"/>
      <c r="P191" s="69"/>
      <c r="Q191" s="69"/>
      <c r="R191" s="69"/>
      <c r="S191" s="69"/>
      <c r="T191" s="69"/>
      <c r="U191" s="69"/>
      <c r="V191" s="69"/>
      <c r="W191" s="69"/>
      <c r="X191" s="69"/>
      <c r="Y191" s="69"/>
      <c r="Z191" s="69"/>
      <c r="AA191" s="69"/>
      <c r="AB191" s="69"/>
      <c r="AC191" s="69"/>
      <c r="AD191" s="69"/>
      <c r="AE191" s="69"/>
      <c r="AF191" s="69"/>
      <c r="AG191" s="69"/>
      <c r="AH191" s="69"/>
      <c r="AI191" s="69"/>
      <c r="AJ191" s="69"/>
      <c r="AK191" s="69"/>
      <c r="AL191" s="69"/>
      <c r="AM191" s="69"/>
      <c r="AN191" s="69"/>
      <c r="AO191" s="69"/>
      <c r="AP191" s="69"/>
      <c r="AQ191" s="69"/>
      <c r="AR191" s="69"/>
      <c r="AS191" s="69"/>
      <c r="AT191" s="69"/>
      <c r="AU191" s="69"/>
      <c r="AV191" s="69"/>
      <c r="AW191" s="69"/>
      <c r="AX191" s="69"/>
      <c r="AY191" s="69"/>
      <c r="AZ191" s="69"/>
      <c r="BA191" s="69"/>
      <c r="BB191" s="69"/>
      <c r="BC191" s="69"/>
      <c r="BD191" s="69"/>
      <c r="BE191" s="69"/>
      <c r="BF191" s="69"/>
      <c r="BG191" s="69"/>
      <c r="BH191" s="69"/>
    </row>
    <row r="192" spans="1:60" x14ac:dyDescent="0.25">
      <c r="A192" s="69"/>
      <c r="J192" s="69"/>
      <c r="K192" s="69"/>
      <c r="L192" s="69"/>
      <c r="M192" s="69"/>
      <c r="N192" s="69"/>
      <c r="O192" s="69"/>
      <c r="P192" s="69"/>
      <c r="Q192" s="69"/>
      <c r="R192" s="69"/>
      <c r="S192" s="69"/>
      <c r="T192" s="69"/>
      <c r="U192" s="69"/>
      <c r="V192" s="69"/>
      <c r="W192" s="69"/>
      <c r="X192" s="69"/>
      <c r="Y192" s="69"/>
      <c r="Z192" s="69"/>
      <c r="AA192" s="69"/>
      <c r="AB192" s="69"/>
      <c r="AC192" s="69"/>
      <c r="AD192" s="69"/>
      <c r="AE192" s="69"/>
      <c r="AF192" s="69"/>
      <c r="AG192" s="69"/>
      <c r="AH192" s="69"/>
      <c r="AI192" s="69"/>
      <c r="AJ192" s="69"/>
      <c r="AK192" s="69"/>
      <c r="AL192" s="69"/>
      <c r="AM192" s="69"/>
      <c r="AN192" s="69"/>
      <c r="AO192" s="69"/>
      <c r="AP192" s="69"/>
      <c r="AQ192" s="69"/>
      <c r="AR192" s="69"/>
      <c r="AS192" s="69"/>
      <c r="AT192" s="69"/>
      <c r="AU192" s="69"/>
      <c r="AV192" s="69"/>
      <c r="AW192" s="69"/>
      <c r="AX192" s="69"/>
      <c r="AY192" s="69"/>
      <c r="AZ192" s="69"/>
      <c r="BA192" s="69"/>
      <c r="BB192" s="69"/>
      <c r="BC192" s="69"/>
      <c r="BD192" s="69"/>
      <c r="BE192" s="69"/>
      <c r="BF192" s="69"/>
      <c r="BG192" s="69"/>
      <c r="BH192" s="69"/>
    </row>
    <row r="193" spans="1:60" x14ac:dyDescent="0.25">
      <c r="A193" s="69"/>
      <c r="J193" s="69"/>
      <c r="K193" s="69"/>
      <c r="L193" s="69"/>
      <c r="M193" s="69"/>
      <c r="N193" s="69"/>
      <c r="O193" s="69"/>
      <c r="P193" s="69"/>
      <c r="Q193" s="69"/>
      <c r="R193" s="69"/>
      <c r="S193" s="69"/>
      <c r="T193" s="69"/>
      <c r="U193" s="69"/>
      <c r="V193" s="69"/>
      <c r="W193" s="69"/>
      <c r="X193" s="69"/>
      <c r="Y193" s="69"/>
      <c r="Z193" s="69"/>
      <c r="AA193" s="69"/>
      <c r="AB193" s="69"/>
      <c r="AC193" s="69"/>
      <c r="AD193" s="69"/>
      <c r="AE193" s="69"/>
      <c r="AF193" s="69"/>
      <c r="AG193" s="69"/>
      <c r="AH193" s="69"/>
      <c r="AI193" s="69"/>
      <c r="AJ193" s="69"/>
      <c r="AK193" s="69"/>
      <c r="AL193" s="69"/>
      <c r="AM193" s="69"/>
      <c r="AN193" s="69"/>
      <c r="AO193" s="69"/>
      <c r="AP193" s="69"/>
      <c r="AQ193" s="69"/>
      <c r="AR193" s="69"/>
      <c r="AS193" s="69"/>
      <c r="AT193" s="69"/>
      <c r="AU193" s="69"/>
      <c r="AV193" s="69"/>
      <c r="AW193" s="69"/>
      <c r="AX193" s="69"/>
      <c r="AY193" s="69"/>
      <c r="AZ193" s="69"/>
      <c r="BA193" s="69"/>
      <c r="BB193" s="69"/>
      <c r="BC193" s="69"/>
      <c r="BD193" s="69"/>
      <c r="BE193" s="69"/>
      <c r="BF193" s="69"/>
      <c r="BG193" s="69"/>
      <c r="BH193" s="69"/>
    </row>
    <row r="194" spans="1:60" x14ac:dyDescent="0.25">
      <c r="A194" s="69"/>
      <c r="J194" s="69"/>
      <c r="K194" s="69"/>
      <c r="L194" s="69"/>
      <c r="M194" s="69"/>
      <c r="N194" s="69"/>
      <c r="O194" s="69"/>
      <c r="P194" s="69"/>
      <c r="Q194" s="69"/>
      <c r="R194" s="69"/>
      <c r="S194" s="69"/>
      <c r="T194" s="69"/>
      <c r="U194" s="69"/>
      <c r="V194" s="69"/>
      <c r="W194" s="69"/>
      <c r="X194" s="69"/>
      <c r="Y194" s="69"/>
      <c r="Z194" s="69"/>
      <c r="AA194" s="69"/>
      <c r="AB194" s="69"/>
      <c r="AC194" s="69"/>
      <c r="AD194" s="69"/>
      <c r="AE194" s="69"/>
      <c r="AF194" s="69"/>
      <c r="AG194" s="69"/>
      <c r="AH194" s="69"/>
      <c r="AI194" s="69"/>
      <c r="AJ194" s="69"/>
      <c r="AK194" s="69"/>
      <c r="AL194" s="69"/>
      <c r="AM194" s="69"/>
      <c r="AN194" s="69"/>
      <c r="AO194" s="69"/>
      <c r="AP194" s="69"/>
      <c r="AQ194" s="69"/>
      <c r="AR194" s="69"/>
      <c r="AS194" s="69"/>
      <c r="AT194" s="69"/>
      <c r="AU194" s="69"/>
      <c r="AV194" s="69"/>
      <c r="AW194" s="69"/>
      <c r="AX194" s="69"/>
      <c r="AY194" s="69"/>
      <c r="AZ194" s="69"/>
      <c r="BA194" s="69"/>
      <c r="BB194" s="69"/>
      <c r="BC194" s="69"/>
      <c r="BD194" s="69"/>
      <c r="BE194" s="69"/>
      <c r="BF194" s="69"/>
      <c r="BG194" s="69"/>
      <c r="BH194" s="69"/>
    </row>
    <row r="195" spans="1:60" x14ac:dyDescent="0.25">
      <c r="A195" s="69"/>
      <c r="J195" s="69"/>
      <c r="K195" s="69"/>
      <c r="L195" s="69"/>
      <c r="M195" s="69"/>
      <c r="N195" s="69"/>
      <c r="O195" s="69"/>
      <c r="P195" s="69"/>
      <c r="Q195" s="69"/>
      <c r="R195" s="69"/>
      <c r="S195" s="69"/>
      <c r="T195" s="69"/>
      <c r="U195" s="69"/>
      <c r="V195" s="69"/>
      <c r="W195" s="69"/>
      <c r="X195" s="69"/>
      <c r="Y195" s="69"/>
      <c r="Z195" s="69"/>
      <c r="AA195" s="69"/>
      <c r="AB195" s="69"/>
      <c r="AC195" s="69"/>
      <c r="AD195" s="69"/>
      <c r="AE195" s="69"/>
      <c r="AF195" s="69"/>
      <c r="AG195" s="69"/>
      <c r="AH195" s="69"/>
      <c r="AI195" s="69"/>
      <c r="AJ195" s="69"/>
      <c r="AK195" s="69"/>
      <c r="AL195" s="69"/>
      <c r="AM195" s="69"/>
      <c r="AN195" s="69"/>
      <c r="AO195" s="69"/>
      <c r="AP195" s="69"/>
      <c r="AQ195" s="69"/>
      <c r="AR195" s="69"/>
      <c r="AS195" s="69"/>
      <c r="AT195" s="69"/>
      <c r="AU195" s="69"/>
      <c r="AV195" s="69"/>
      <c r="AW195" s="69"/>
      <c r="AX195" s="69"/>
      <c r="AY195" s="69"/>
      <c r="AZ195" s="69"/>
      <c r="BA195" s="69"/>
      <c r="BB195" s="69"/>
      <c r="BC195" s="69"/>
      <c r="BD195" s="69"/>
      <c r="BE195" s="69"/>
      <c r="BF195" s="69"/>
      <c r="BG195" s="69"/>
      <c r="BH195" s="69"/>
    </row>
    <row r="196" spans="1:60" x14ac:dyDescent="0.25">
      <c r="A196" s="69"/>
      <c r="J196" s="69"/>
      <c r="K196" s="69"/>
      <c r="L196" s="69"/>
      <c r="M196" s="69"/>
      <c r="N196" s="69"/>
      <c r="O196" s="69"/>
      <c r="P196" s="69"/>
      <c r="Q196" s="69"/>
      <c r="R196" s="69"/>
      <c r="S196" s="69"/>
      <c r="T196" s="69"/>
      <c r="U196" s="69"/>
      <c r="V196" s="69"/>
      <c r="W196" s="69"/>
      <c r="X196" s="69"/>
      <c r="Y196" s="69"/>
      <c r="Z196" s="69"/>
      <c r="AA196" s="69"/>
      <c r="AB196" s="69"/>
      <c r="AC196" s="69"/>
      <c r="AD196" s="69"/>
      <c r="AE196" s="69"/>
      <c r="AF196" s="69"/>
      <c r="AG196" s="69"/>
      <c r="AH196" s="69"/>
      <c r="AI196" s="69"/>
      <c r="AJ196" s="69"/>
      <c r="AK196" s="69"/>
      <c r="AL196" s="69"/>
      <c r="AM196" s="69"/>
      <c r="AN196" s="69"/>
      <c r="AO196" s="69"/>
      <c r="AP196" s="69"/>
      <c r="AQ196" s="69"/>
      <c r="AR196" s="69"/>
      <c r="AS196" s="69"/>
      <c r="AT196" s="69"/>
      <c r="AU196" s="69"/>
      <c r="AV196" s="69"/>
      <c r="AW196" s="69"/>
      <c r="AX196" s="69"/>
      <c r="AY196" s="69"/>
      <c r="AZ196" s="69"/>
      <c r="BA196" s="69"/>
      <c r="BB196" s="69"/>
      <c r="BC196" s="69"/>
      <c r="BD196" s="69"/>
      <c r="BE196" s="69"/>
      <c r="BF196" s="69"/>
      <c r="BG196" s="69"/>
      <c r="BH196" s="69"/>
    </row>
    <row r="197" spans="1:60" x14ac:dyDescent="0.25">
      <c r="A197" s="69"/>
      <c r="J197" s="69"/>
      <c r="K197" s="69"/>
      <c r="L197" s="69"/>
      <c r="M197" s="69"/>
      <c r="N197" s="69"/>
      <c r="O197" s="69"/>
      <c r="P197" s="69"/>
      <c r="Q197" s="69"/>
      <c r="R197" s="69"/>
      <c r="S197" s="69"/>
      <c r="T197" s="69"/>
      <c r="U197" s="69"/>
      <c r="V197" s="69"/>
      <c r="W197" s="69"/>
      <c r="X197" s="69"/>
      <c r="Y197" s="69"/>
      <c r="Z197" s="69"/>
      <c r="AA197" s="69"/>
      <c r="AB197" s="69"/>
      <c r="AC197" s="69"/>
      <c r="AD197" s="69"/>
      <c r="AE197" s="69"/>
      <c r="AF197" s="69"/>
      <c r="AG197" s="69"/>
      <c r="AH197" s="69"/>
      <c r="AI197" s="69"/>
      <c r="AJ197" s="69"/>
      <c r="AK197" s="69"/>
      <c r="AL197" s="69"/>
      <c r="AM197" s="69"/>
      <c r="AN197" s="69"/>
      <c r="AO197" s="69"/>
      <c r="AP197" s="69"/>
      <c r="AQ197" s="69"/>
      <c r="AR197" s="69"/>
      <c r="AS197" s="69"/>
      <c r="AT197" s="69"/>
      <c r="AU197" s="69"/>
      <c r="AV197" s="69"/>
      <c r="AW197" s="69"/>
      <c r="AX197" s="69"/>
      <c r="AY197" s="69"/>
      <c r="AZ197" s="69"/>
      <c r="BA197" s="69"/>
      <c r="BB197" s="69"/>
      <c r="BC197" s="69"/>
      <c r="BD197" s="69"/>
      <c r="BE197" s="69"/>
      <c r="BF197" s="69"/>
      <c r="BG197" s="69"/>
      <c r="BH197" s="69"/>
    </row>
    <row r="198" spans="1:60" x14ac:dyDescent="0.25">
      <c r="A198" s="69"/>
      <c r="J198" s="69"/>
      <c r="K198" s="69"/>
      <c r="L198" s="69"/>
      <c r="M198" s="69"/>
      <c r="N198" s="69"/>
      <c r="O198" s="69"/>
      <c r="P198" s="69"/>
      <c r="Q198" s="69"/>
      <c r="R198" s="69"/>
      <c r="S198" s="69"/>
      <c r="T198" s="69"/>
      <c r="U198" s="69"/>
      <c r="V198" s="69"/>
      <c r="W198" s="69"/>
      <c r="X198" s="69"/>
      <c r="Y198" s="69"/>
      <c r="Z198" s="69"/>
      <c r="AA198" s="69"/>
      <c r="AB198" s="69"/>
      <c r="AC198" s="69"/>
      <c r="AD198" s="69"/>
      <c r="AE198" s="69"/>
      <c r="AF198" s="69"/>
      <c r="AG198" s="69"/>
      <c r="AH198" s="69"/>
      <c r="AI198" s="69"/>
      <c r="AJ198" s="69"/>
      <c r="AK198" s="69"/>
      <c r="AL198" s="69"/>
      <c r="AM198" s="69"/>
      <c r="AN198" s="69"/>
      <c r="AO198" s="69"/>
      <c r="AP198" s="69"/>
      <c r="AQ198" s="69"/>
      <c r="AR198" s="69"/>
      <c r="AS198" s="69"/>
      <c r="AT198" s="69"/>
      <c r="AU198" s="69"/>
      <c r="AV198" s="69"/>
      <c r="AW198" s="69"/>
      <c r="AX198" s="69"/>
      <c r="AY198" s="69"/>
      <c r="AZ198" s="69"/>
      <c r="BA198" s="69"/>
      <c r="BB198" s="69"/>
      <c r="BC198" s="69"/>
      <c r="BD198" s="69"/>
      <c r="BE198" s="69"/>
      <c r="BF198" s="69"/>
      <c r="BG198" s="69"/>
      <c r="BH198" s="69"/>
    </row>
    <row r="199" spans="1:60" x14ac:dyDescent="0.25">
      <c r="A199" s="69"/>
      <c r="J199" s="69"/>
      <c r="K199" s="69"/>
      <c r="L199" s="69"/>
      <c r="M199" s="69"/>
      <c r="N199" s="69"/>
      <c r="O199" s="69"/>
      <c r="P199" s="69"/>
      <c r="Q199" s="69"/>
      <c r="R199" s="69"/>
      <c r="S199" s="69"/>
      <c r="T199" s="69"/>
      <c r="U199" s="69"/>
      <c r="V199" s="69"/>
      <c r="W199" s="69"/>
      <c r="X199" s="69"/>
      <c r="Y199" s="69"/>
      <c r="Z199" s="69"/>
      <c r="AA199" s="69"/>
      <c r="AB199" s="69"/>
      <c r="AC199" s="69"/>
      <c r="AD199" s="69"/>
      <c r="AE199" s="69"/>
      <c r="AF199" s="69"/>
      <c r="AG199" s="69"/>
      <c r="AH199" s="69"/>
      <c r="AI199" s="69"/>
      <c r="AJ199" s="69"/>
      <c r="AK199" s="69"/>
      <c r="AL199" s="69"/>
      <c r="AM199" s="69"/>
      <c r="AN199" s="69"/>
      <c r="AO199" s="69"/>
      <c r="AP199" s="69"/>
      <c r="AQ199" s="69"/>
      <c r="AR199" s="69"/>
      <c r="AS199" s="69"/>
      <c r="AT199" s="69"/>
      <c r="AU199" s="69"/>
      <c r="AV199" s="69"/>
      <c r="AW199" s="69"/>
      <c r="AX199" s="69"/>
      <c r="AY199" s="69"/>
      <c r="AZ199" s="69"/>
      <c r="BA199" s="69"/>
      <c r="BB199" s="69"/>
      <c r="BC199" s="69"/>
      <c r="BD199" s="69"/>
      <c r="BE199" s="69"/>
      <c r="BF199" s="69"/>
      <c r="BG199" s="69"/>
      <c r="BH199" s="69"/>
    </row>
    <row r="200" spans="1:60" x14ac:dyDescent="0.25">
      <c r="A200" s="69"/>
      <c r="J200" s="69"/>
      <c r="K200" s="69"/>
      <c r="L200" s="69"/>
      <c r="M200" s="69"/>
      <c r="N200" s="69"/>
      <c r="O200" s="69"/>
      <c r="P200" s="69"/>
      <c r="Q200" s="69"/>
      <c r="R200" s="69"/>
      <c r="S200" s="69"/>
      <c r="T200" s="69"/>
      <c r="U200" s="69"/>
      <c r="V200" s="69"/>
      <c r="W200" s="69"/>
      <c r="X200" s="69"/>
      <c r="Y200" s="69"/>
      <c r="Z200" s="69"/>
      <c r="AA200" s="69"/>
      <c r="AB200" s="69"/>
      <c r="AC200" s="69"/>
      <c r="AD200" s="69"/>
      <c r="AE200" s="69"/>
      <c r="AF200" s="69"/>
      <c r="AG200" s="69"/>
      <c r="AH200" s="69"/>
      <c r="AI200" s="69"/>
      <c r="AJ200" s="69"/>
      <c r="AK200" s="69"/>
      <c r="AL200" s="69"/>
      <c r="AM200" s="69"/>
      <c r="AN200" s="69"/>
      <c r="AO200" s="69"/>
      <c r="AP200" s="69"/>
      <c r="AQ200" s="69"/>
      <c r="AR200" s="69"/>
      <c r="AS200" s="69"/>
      <c r="AT200" s="69"/>
      <c r="AU200" s="69"/>
      <c r="AV200" s="69"/>
      <c r="AW200" s="69"/>
      <c r="AX200" s="69"/>
      <c r="AY200" s="69"/>
      <c r="AZ200" s="69"/>
      <c r="BA200" s="69"/>
      <c r="BB200" s="69"/>
      <c r="BC200" s="69"/>
      <c r="BD200" s="69"/>
      <c r="BE200" s="69"/>
      <c r="BF200" s="69"/>
      <c r="BG200" s="69"/>
      <c r="BH200" s="69"/>
    </row>
    <row r="201" spans="1:60" x14ac:dyDescent="0.25">
      <c r="A201" s="69"/>
      <c r="J201" s="69"/>
      <c r="K201" s="69"/>
      <c r="L201" s="69"/>
      <c r="M201" s="69"/>
      <c r="N201" s="69"/>
      <c r="O201" s="69"/>
      <c r="P201" s="69"/>
      <c r="Q201" s="69"/>
      <c r="R201" s="69"/>
      <c r="S201" s="69"/>
      <c r="T201" s="69"/>
      <c r="U201" s="69"/>
      <c r="V201" s="69"/>
      <c r="W201" s="69"/>
      <c r="X201" s="69"/>
      <c r="Y201" s="69"/>
      <c r="Z201" s="69"/>
      <c r="AA201" s="69"/>
      <c r="AB201" s="69"/>
      <c r="AC201" s="69"/>
      <c r="AD201" s="69"/>
      <c r="AE201" s="69"/>
      <c r="AF201" s="69"/>
      <c r="AG201" s="69"/>
      <c r="AH201" s="69"/>
      <c r="AI201" s="69"/>
      <c r="AJ201" s="69"/>
      <c r="AK201" s="69"/>
      <c r="AL201" s="69"/>
      <c r="AM201" s="69"/>
      <c r="AN201" s="69"/>
      <c r="AO201" s="69"/>
      <c r="AP201" s="69"/>
      <c r="AQ201" s="69"/>
      <c r="AR201" s="69"/>
      <c r="AS201" s="69"/>
      <c r="AT201" s="69"/>
      <c r="AU201" s="69"/>
      <c r="AV201" s="69"/>
      <c r="AW201" s="69"/>
      <c r="AX201" s="69"/>
      <c r="AY201" s="69"/>
      <c r="AZ201" s="69"/>
      <c r="BA201" s="69"/>
      <c r="BB201" s="69"/>
      <c r="BC201" s="69"/>
      <c r="BD201" s="69"/>
      <c r="BE201" s="69"/>
      <c r="BF201" s="69"/>
      <c r="BG201" s="69"/>
      <c r="BH201" s="69"/>
    </row>
    <row r="202" spans="1:60" x14ac:dyDescent="0.25">
      <c r="A202" s="69"/>
      <c r="J202" s="69"/>
      <c r="K202" s="69"/>
      <c r="L202" s="69"/>
      <c r="M202" s="69"/>
      <c r="N202" s="69"/>
      <c r="O202" s="69"/>
      <c r="P202" s="69"/>
      <c r="Q202" s="69"/>
      <c r="R202" s="69"/>
      <c r="S202" s="69"/>
      <c r="T202" s="69"/>
      <c r="U202" s="69"/>
      <c r="V202" s="69"/>
      <c r="W202" s="69"/>
      <c r="X202" s="69"/>
      <c r="Y202" s="69"/>
      <c r="Z202" s="69"/>
      <c r="AA202" s="69"/>
      <c r="AB202" s="69"/>
      <c r="AC202" s="69"/>
      <c r="AD202" s="69"/>
      <c r="AE202" s="69"/>
      <c r="AF202" s="69"/>
      <c r="AG202" s="69"/>
      <c r="AH202" s="69"/>
      <c r="AI202" s="69"/>
      <c r="AJ202" s="69"/>
      <c r="AK202" s="69"/>
      <c r="AL202" s="69"/>
      <c r="AM202" s="69"/>
      <c r="AN202" s="69"/>
      <c r="AO202" s="69"/>
      <c r="AP202" s="69"/>
      <c r="AQ202" s="69"/>
      <c r="AR202" s="69"/>
      <c r="AS202" s="69"/>
      <c r="AT202" s="69"/>
      <c r="AU202" s="69"/>
      <c r="AV202" s="69"/>
      <c r="AW202" s="69"/>
      <c r="AX202" s="69"/>
      <c r="AY202" s="69"/>
      <c r="AZ202" s="69"/>
      <c r="BA202" s="69"/>
      <c r="BB202" s="69"/>
      <c r="BC202" s="69"/>
      <c r="BD202" s="69"/>
      <c r="BE202" s="69"/>
      <c r="BF202" s="69"/>
      <c r="BG202" s="69"/>
      <c r="BH202" s="69"/>
    </row>
    <row r="203" spans="1:60" x14ac:dyDescent="0.25">
      <c r="A203" s="69"/>
      <c r="J203" s="69"/>
      <c r="K203" s="69"/>
      <c r="L203" s="69"/>
      <c r="M203" s="69"/>
      <c r="N203" s="69"/>
      <c r="O203" s="69"/>
      <c r="P203" s="69"/>
      <c r="Q203" s="69"/>
      <c r="R203" s="69"/>
      <c r="S203" s="69"/>
      <c r="T203" s="69"/>
      <c r="U203" s="69"/>
      <c r="V203" s="69"/>
      <c r="W203" s="69"/>
      <c r="X203" s="69"/>
      <c r="Y203" s="69"/>
      <c r="Z203" s="69"/>
      <c r="AA203" s="69"/>
      <c r="AB203" s="69"/>
      <c r="AC203" s="69"/>
      <c r="AD203" s="69"/>
      <c r="AE203" s="69"/>
      <c r="AF203" s="69"/>
      <c r="AG203" s="69"/>
      <c r="AH203" s="69"/>
      <c r="AI203" s="69"/>
      <c r="AJ203" s="69"/>
      <c r="AK203" s="69"/>
      <c r="AL203" s="69"/>
      <c r="AM203" s="69"/>
      <c r="AN203" s="69"/>
      <c r="AO203" s="69"/>
      <c r="AP203" s="69"/>
      <c r="AQ203" s="69"/>
      <c r="AR203" s="69"/>
      <c r="AS203" s="69"/>
      <c r="AT203" s="69"/>
      <c r="AU203" s="69"/>
      <c r="AV203" s="69"/>
      <c r="AW203" s="69"/>
      <c r="AX203" s="69"/>
      <c r="AY203" s="69"/>
      <c r="AZ203" s="69"/>
      <c r="BA203" s="69"/>
      <c r="BB203" s="69"/>
      <c r="BC203" s="69"/>
      <c r="BD203" s="69"/>
      <c r="BE203" s="69"/>
      <c r="BF203" s="69"/>
      <c r="BG203" s="69"/>
      <c r="BH203" s="69"/>
    </row>
    <row r="204" spans="1:60" x14ac:dyDescent="0.25">
      <c r="A204" s="69"/>
      <c r="J204" s="69"/>
      <c r="K204" s="69"/>
      <c r="L204" s="69"/>
      <c r="M204" s="69"/>
      <c r="N204" s="69"/>
      <c r="O204" s="69"/>
      <c r="P204" s="69"/>
      <c r="Q204" s="69"/>
      <c r="R204" s="69"/>
      <c r="S204" s="69"/>
      <c r="T204" s="69"/>
      <c r="U204" s="69"/>
      <c r="V204" s="69"/>
      <c r="W204" s="69"/>
      <c r="X204" s="69"/>
      <c r="Y204" s="69"/>
      <c r="Z204" s="69"/>
      <c r="AA204" s="69"/>
      <c r="AB204" s="69"/>
      <c r="AC204" s="69"/>
      <c r="AD204" s="69"/>
      <c r="AE204" s="69"/>
      <c r="AF204" s="69"/>
      <c r="AG204" s="69"/>
      <c r="AH204" s="69"/>
      <c r="AI204" s="69"/>
      <c r="AJ204" s="69"/>
      <c r="AK204" s="69"/>
      <c r="AL204" s="69"/>
      <c r="AM204" s="69"/>
      <c r="AN204" s="69"/>
      <c r="AO204" s="69"/>
      <c r="AP204" s="69"/>
      <c r="AQ204" s="69"/>
      <c r="AR204" s="69"/>
      <c r="AS204" s="69"/>
      <c r="AT204" s="69"/>
      <c r="AU204" s="69"/>
      <c r="AV204" s="69"/>
      <c r="AW204" s="69"/>
      <c r="AX204" s="69"/>
      <c r="AY204" s="69"/>
      <c r="AZ204" s="69"/>
      <c r="BA204" s="69"/>
      <c r="BB204" s="69"/>
      <c r="BC204" s="69"/>
      <c r="BD204" s="69"/>
      <c r="BE204" s="69"/>
      <c r="BF204" s="69"/>
      <c r="BG204" s="69"/>
      <c r="BH204" s="69"/>
    </row>
    <row r="205" spans="1:60" x14ac:dyDescent="0.25">
      <c r="A205" s="69"/>
      <c r="J205" s="69"/>
      <c r="K205" s="69"/>
      <c r="L205" s="69"/>
      <c r="M205" s="69"/>
      <c r="N205" s="69"/>
      <c r="O205" s="69"/>
      <c r="P205" s="69"/>
      <c r="Q205" s="69"/>
      <c r="R205" s="69"/>
      <c r="S205" s="69"/>
      <c r="T205" s="69"/>
      <c r="U205" s="69"/>
      <c r="V205" s="69"/>
      <c r="W205" s="69"/>
      <c r="X205" s="69"/>
      <c r="Y205" s="69"/>
      <c r="Z205" s="69"/>
      <c r="AA205" s="69"/>
      <c r="AB205" s="69"/>
      <c r="AC205" s="69"/>
      <c r="AD205" s="69"/>
      <c r="AE205" s="69"/>
      <c r="AF205" s="69"/>
      <c r="AG205" s="69"/>
      <c r="AH205" s="69"/>
      <c r="AI205" s="69"/>
      <c r="AJ205" s="69"/>
      <c r="AK205" s="69"/>
      <c r="AL205" s="69"/>
      <c r="AM205" s="69"/>
      <c r="AN205" s="69"/>
      <c r="AO205" s="69"/>
      <c r="AP205" s="69"/>
      <c r="AQ205" s="69"/>
      <c r="AR205" s="69"/>
      <c r="AS205" s="69"/>
      <c r="AT205" s="69"/>
      <c r="AU205" s="69"/>
      <c r="AV205" s="69"/>
      <c r="AW205" s="69"/>
      <c r="AX205" s="69"/>
      <c r="AY205" s="69"/>
      <c r="AZ205" s="69"/>
      <c r="BA205" s="69"/>
      <c r="BB205" s="69"/>
      <c r="BC205" s="69"/>
      <c r="BD205" s="69"/>
      <c r="BE205" s="69"/>
      <c r="BF205" s="69"/>
      <c r="BG205" s="69"/>
      <c r="BH205" s="69"/>
    </row>
    <row r="206" spans="1:60" x14ac:dyDescent="0.25">
      <c r="A206" s="69"/>
      <c r="J206" s="69"/>
      <c r="K206" s="69"/>
      <c r="L206" s="69"/>
      <c r="M206" s="69"/>
      <c r="N206" s="69"/>
      <c r="O206" s="69"/>
      <c r="P206" s="69"/>
      <c r="Q206" s="69"/>
      <c r="R206" s="69"/>
      <c r="S206" s="69"/>
      <c r="T206" s="69"/>
      <c r="U206" s="69"/>
      <c r="V206" s="69"/>
      <c r="W206" s="69"/>
      <c r="X206" s="69"/>
      <c r="Y206" s="69"/>
      <c r="Z206" s="69"/>
      <c r="AA206" s="69"/>
      <c r="AB206" s="69"/>
      <c r="AC206" s="69"/>
      <c r="AD206" s="69"/>
      <c r="AE206" s="69"/>
      <c r="AF206" s="69"/>
      <c r="AG206" s="69"/>
      <c r="AH206" s="69"/>
      <c r="AI206" s="69"/>
      <c r="AJ206" s="69"/>
      <c r="AK206" s="69"/>
      <c r="AL206" s="69"/>
      <c r="AM206" s="69"/>
      <c r="AN206" s="69"/>
      <c r="AO206" s="69"/>
      <c r="AP206" s="69"/>
      <c r="AQ206" s="69"/>
      <c r="AR206" s="69"/>
      <c r="AS206" s="69"/>
      <c r="AT206" s="69"/>
      <c r="AU206" s="69"/>
      <c r="AV206" s="69"/>
      <c r="AW206" s="69"/>
      <c r="AX206" s="69"/>
      <c r="AY206" s="69"/>
      <c r="AZ206" s="69"/>
      <c r="BA206" s="69"/>
      <c r="BB206" s="69"/>
      <c r="BC206" s="69"/>
      <c r="BD206" s="69"/>
      <c r="BE206" s="69"/>
      <c r="BF206" s="69"/>
      <c r="BG206" s="69"/>
      <c r="BH206" s="69"/>
    </row>
    <row r="207" spans="1:60" x14ac:dyDescent="0.25">
      <c r="A207" s="69"/>
      <c r="J207" s="69"/>
      <c r="K207" s="69"/>
      <c r="L207" s="69"/>
      <c r="M207" s="69"/>
      <c r="N207" s="69"/>
      <c r="O207" s="69"/>
      <c r="P207" s="69"/>
      <c r="Q207" s="69"/>
      <c r="R207" s="69"/>
      <c r="S207" s="69"/>
      <c r="T207" s="69"/>
      <c r="U207" s="69"/>
      <c r="V207" s="69"/>
      <c r="W207" s="69"/>
      <c r="X207" s="69"/>
      <c r="Y207" s="69"/>
      <c r="Z207" s="69"/>
      <c r="AA207" s="69"/>
      <c r="AB207" s="69"/>
      <c r="AC207" s="69"/>
      <c r="AD207" s="69"/>
      <c r="AE207" s="69"/>
      <c r="AF207" s="69"/>
      <c r="AG207" s="69"/>
      <c r="AH207" s="69"/>
      <c r="AI207" s="69"/>
      <c r="AJ207" s="69"/>
      <c r="AK207" s="69"/>
      <c r="AL207" s="69"/>
      <c r="AM207" s="69"/>
      <c r="AN207" s="69"/>
      <c r="AO207" s="69"/>
      <c r="AP207" s="69"/>
      <c r="AQ207" s="69"/>
      <c r="AR207" s="69"/>
      <c r="AS207" s="69"/>
      <c r="AT207" s="69"/>
      <c r="AU207" s="69"/>
      <c r="AV207" s="69"/>
      <c r="AW207" s="69"/>
      <c r="AX207" s="69"/>
      <c r="AY207" s="69"/>
      <c r="AZ207" s="69"/>
      <c r="BA207" s="69"/>
      <c r="BB207" s="69"/>
      <c r="BC207" s="69"/>
      <c r="BD207" s="69"/>
      <c r="BE207" s="69"/>
      <c r="BF207" s="69"/>
      <c r="BG207" s="69"/>
      <c r="BH207" s="69"/>
    </row>
    <row r="208" spans="1:60" x14ac:dyDescent="0.25">
      <c r="A208" s="69"/>
      <c r="J208" s="69"/>
      <c r="K208" s="69"/>
      <c r="L208" s="69"/>
      <c r="M208" s="69"/>
      <c r="N208" s="69"/>
      <c r="O208" s="69"/>
      <c r="P208" s="69"/>
      <c r="Q208" s="69"/>
      <c r="R208" s="69"/>
      <c r="S208" s="69"/>
      <c r="T208" s="69"/>
      <c r="U208" s="69"/>
      <c r="V208" s="69"/>
      <c r="W208" s="69"/>
      <c r="X208" s="69"/>
      <c r="Y208" s="69"/>
      <c r="Z208" s="69"/>
      <c r="AA208" s="69"/>
      <c r="AB208" s="69"/>
      <c r="AC208" s="69"/>
      <c r="AD208" s="69"/>
      <c r="AE208" s="69"/>
      <c r="AF208" s="69"/>
      <c r="AG208" s="69"/>
      <c r="AH208" s="69"/>
      <c r="AI208" s="69"/>
      <c r="AJ208" s="69"/>
      <c r="AK208" s="69"/>
      <c r="AL208" s="69"/>
      <c r="AM208" s="69"/>
      <c r="AN208" s="69"/>
      <c r="AO208" s="69"/>
      <c r="AP208" s="69"/>
      <c r="AQ208" s="69"/>
      <c r="AR208" s="69"/>
      <c r="AS208" s="69"/>
      <c r="AT208" s="69"/>
      <c r="AU208" s="69"/>
      <c r="AV208" s="69"/>
      <c r="AW208" s="69"/>
      <c r="AX208" s="69"/>
      <c r="AY208" s="69"/>
      <c r="AZ208" s="69"/>
      <c r="BA208" s="69"/>
      <c r="BB208" s="69"/>
      <c r="BC208" s="69"/>
      <c r="BD208" s="69"/>
      <c r="BE208" s="69"/>
      <c r="BF208" s="69"/>
      <c r="BG208" s="69"/>
      <c r="BH208" s="69"/>
    </row>
    <row r="209" spans="1:60" x14ac:dyDescent="0.25">
      <c r="A209" s="69"/>
      <c r="J209" s="69"/>
      <c r="K209" s="69"/>
      <c r="L209" s="69"/>
      <c r="M209" s="69"/>
      <c r="N209" s="69"/>
      <c r="O209" s="69"/>
      <c r="P209" s="69"/>
      <c r="Q209" s="69"/>
      <c r="R209" s="69"/>
      <c r="S209" s="69"/>
      <c r="T209" s="69"/>
      <c r="U209" s="69"/>
      <c r="V209" s="69"/>
      <c r="W209" s="69"/>
      <c r="X209" s="69"/>
      <c r="Y209" s="69"/>
      <c r="Z209" s="69"/>
      <c r="AA209" s="69"/>
      <c r="AB209" s="69"/>
      <c r="AC209" s="69"/>
      <c r="AD209" s="69"/>
      <c r="AE209" s="69"/>
      <c r="AF209" s="69"/>
      <c r="AG209" s="69"/>
      <c r="AH209" s="69"/>
      <c r="AI209" s="69"/>
      <c r="AJ209" s="69"/>
      <c r="AK209" s="69"/>
      <c r="AL209" s="69"/>
      <c r="AM209" s="69"/>
      <c r="AN209" s="69"/>
      <c r="AO209" s="69"/>
      <c r="AP209" s="69"/>
      <c r="AQ209" s="69"/>
      <c r="AR209" s="69"/>
      <c r="AS209" s="69"/>
      <c r="AT209" s="69"/>
      <c r="AU209" s="69"/>
      <c r="AV209" s="69"/>
      <c r="AW209" s="69"/>
      <c r="AX209" s="69"/>
      <c r="AY209" s="69"/>
      <c r="AZ209" s="69"/>
      <c r="BA209" s="69"/>
      <c r="BB209" s="69"/>
      <c r="BC209" s="69"/>
      <c r="BD209" s="69"/>
      <c r="BE209" s="69"/>
      <c r="BF209" s="69"/>
      <c r="BG209" s="69"/>
      <c r="BH209" s="69"/>
    </row>
    <row r="210" spans="1:60" x14ac:dyDescent="0.25">
      <c r="A210" s="69"/>
      <c r="J210" s="69"/>
      <c r="K210" s="69"/>
      <c r="L210" s="69"/>
      <c r="M210" s="69"/>
      <c r="N210" s="69"/>
      <c r="O210" s="69"/>
      <c r="P210" s="69"/>
      <c r="Q210" s="69"/>
      <c r="R210" s="69"/>
      <c r="S210" s="69"/>
      <c r="T210" s="69"/>
      <c r="U210" s="69"/>
      <c r="V210" s="69"/>
      <c r="W210" s="69"/>
      <c r="X210" s="69"/>
      <c r="Y210" s="69"/>
      <c r="Z210" s="69"/>
      <c r="AA210" s="69"/>
      <c r="AB210" s="69"/>
      <c r="AC210" s="69"/>
      <c r="AD210" s="69"/>
      <c r="AE210" s="69"/>
      <c r="AF210" s="69"/>
      <c r="AG210" s="69"/>
      <c r="AH210" s="69"/>
      <c r="AI210" s="69"/>
      <c r="AJ210" s="69"/>
      <c r="AK210" s="69"/>
      <c r="AL210" s="69"/>
      <c r="AM210" s="69"/>
      <c r="AN210" s="69"/>
      <c r="AO210" s="69"/>
      <c r="AP210" s="69"/>
      <c r="AQ210" s="69"/>
      <c r="AR210" s="69"/>
      <c r="AS210" s="69"/>
      <c r="AT210" s="69"/>
      <c r="AU210" s="69"/>
      <c r="AV210" s="69"/>
      <c r="AW210" s="69"/>
      <c r="AX210" s="69"/>
      <c r="AY210" s="69"/>
      <c r="AZ210" s="69"/>
      <c r="BA210" s="69"/>
      <c r="BB210" s="69"/>
      <c r="BC210" s="69"/>
      <c r="BD210" s="69"/>
      <c r="BE210" s="69"/>
      <c r="BF210" s="69"/>
      <c r="BG210" s="69"/>
      <c r="BH210" s="69"/>
    </row>
    <row r="211" spans="1:60" x14ac:dyDescent="0.25">
      <c r="A211" s="69"/>
      <c r="J211" s="69"/>
      <c r="K211" s="69"/>
      <c r="L211" s="69"/>
      <c r="M211" s="69"/>
      <c r="N211" s="69"/>
      <c r="O211" s="69"/>
      <c r="P211" s="69"/>
      <c r="Q211" s="69"/>
      <c r="R211" s="69"/>
      <c r="S211" s="69"/>
      <c r="T211" s="69"/>
      <c r="U211" s="69"/>
      <c r="V211" s="69"/>
      <c r="W211" s="69"/>
      <c r="X211" s="69"/>
      <c r="Y211" s="69"/>
      <c r="Z211" s="69"/>
      <c r="AA211" s="69"/>
      <c r="AB211" s="69"/>
      <c r="AC211" s="69"/>
      <c r="AD211" s="69"/>
      <c r="AE211" s="69"/>
      <c r="AF211" s="69"/>
      <c r="AG211" s="69"/>
      <c r="AH211" s="69"/>
      <c r="AI211" s="69"/>
      <c r="AJ211" s="69"/>
      <c r="AK211" s="69"/>
      <c r="AL211" s="69"/>
      <c r="AM211" s="69"/>
      <c r="AN211" s="69"/>
      <c r="AO211" s="69"/>
      <c r="AP211" s="69"/>
      <c r="AQ211" s="69"/>
      <c r="AR211" s="69"/>
      <c r="AS211" s="69"/>
      <c r="AT211" s="69"/>
      <c r="AU211" s="69"/>
      <c r="AV211" s="69"/>
      <c r="AW211" s="69"/>
      <c r="AX211" s="69"/>
      <c r="AY211" s="69"/>
      <c r="AZ211" s="69"/>
      <c r="BA211" s="69"/>
      <c r="BB211" s="69"/>
      <c r="BC211" s="69"/>
      <c r="BD211" s="69"/>
      <c r="BE211" s="69"/>
      <c r="BF211" s="69"/>
      <c r="BG211" s="69"/>
      <c r="BH211" s="69"/>
    </row>
    <row r="212" spans="1:60" x14ac:dyDescent="0.25">
      <c r="A212" s="69"/>
      <c r="J212" s="69"/>
      <c r="K212" s="69"/>
      <c r="L212" s="69"/>
      <c r="M212" s="69"/>
      <c r="N212" s="69"/>
      <c r="O212" s="69"/>
      <c r="P212" s="69"/>
      <c r="Q212" s="69"/>
      <c r="R212" s="69"/>
      <c r="S212" s="69"/>
      <c r="T212" s="69"/>
      <c r="U212" s="69"/>
      <c r="V212" s="69"/>
      <c r="W212" s="69"/>
      <c r="X212" s="69"/>
      <c r="Y212" s="69"/>
      <c r="Z212" s="69"/>
      <c r="AA212" s="69"/>
      <c r="AB212" s="69"/>
      <c r="AC212" s="69"/>
      <c r="AD212" s="69"/>
      <c r="AE212" s="69"/>
      <c r="AF212" s="69"/>
      <c r="AG212" s="69"/>
      <c r="AH212" s="69"/>
      <c r="AI212" s="69"/>
      <c r="AJ212" s="69"/>
      <c r="AK212" s="69"/>
      <c r="AL212" s="69"/>
      <c r="AM212" s="69"/>
      <c r="AN212" s="69"/>
      <c r="AO212" s="69"/>
      <c r="AP212" s="69"/>
      <c r="AQ212" s="69"/>
      <c r="AR212" s="69"/>
      <c r="AS212" s="69"/>
      <c r="AT212" s="69"/>
      <c r="AU212" s="69"/>
      <c r="AV212" s="69"/>
      <c r="AW212" s="69"/>
      <c r="AX212" s="69"/>
      <c r="AY212" s="69"/>
      <c r="AZ212" s="69"/>
      <c r="BA212" s="69"/>
      <c r="BB212" s="69"/>
      <c r="BC212" s="69"/>
      <c r="BD212" s="69"/>
      <c r="BE212" s="69"/>
      <c r="BF212" s="69"/>
      <c r="BG212" s="69"/>
      <c r="BH212" s="69"/>
    </row>
    <row r="213" spans="1:60" x14ac:dyDescent="0.25">
      <c r="A213" s="69"/>
      <c r="J213" s="69"/>
      <c r="K213" s="69"/>
      <c r="L213" s="69"/>
      <c r="M213" s="69"/>
      <c r="N213" s="69"/>
      <c r="O213" s="69"/>
      <c r="P213" s="69"/>
      <c r="Q213" s="69"/>
      <c r="R213" s="69"/>
      <c r="S213" s="69"/>
      <c r="T213" s="69"/>
      <c r="U213" s="69"/>
      <c r="V213" s="69"/>
      <c r="W213" s="69"/>
      <c r="X213" s="69"/>
      <c r="Y213" s="69"/>
      <c r="Z213" s="69"/>
      <c r="AA213" s="69"/>
      <c r="AB213" s="69"/>
      <c r="AC213" s="69"/>
      <c r="AD213" s="69"/>
      <c r="AE213" s="69"/>
      <c r="AF213" s="69"/>
      <c r="AG213" s="69"/>
      <c r="AH213" s="69"/>
      <c r="AI213" s="69"/>
      <c r="AJ213" s="69"/>
      <c r="AK213" s="69"/>
      <c r="AL213" s="69"/>
      <c r="AM213" s="69"/>
      <c r="AN213" s="69"/>
      <c r="AO213" s="69"/>
      <c r="AP213" s="69"/>
      <c r="AQ213" s="69"/>
      <c r="AR213" s="69"/>
      <c r="AS213" s="69"/>
      <c r="AT213" s="69"/>
      <c r="AU213" s="69"/>
      <c r="AV213" s="69"/>
      <c r="AW213" s="69"/>
      <c r="AX213" s="69"/>
      <c r="AY213" s="69"/>
      <c r="AZ213" s="69"/>
      <c r="BA213" s="69"/>
      <c r="BB213" s="69"/>
      <c r="BC213" s="69"/>
      <c r="BD213" s="69"/>
      <c r="BE213" s="69"/>
      <c r="BF213" s="69"/>
      <c r="BG213" s="69"/>
      <c r="BH213" s="69"/>
    </row>
    <row r="214" spans="1:60" x14ac:dyDescent="0.25">
      <c r="A214" s="69"/>
      <c r="J214" s="69"/>
      <c r="K214" s="69"/>
      <c r="L214" s="69"/>
      <c r="M214" s="69"/>
      <c r="N214" s="69"/>
      <c r="O214" s="69"/>
      <c r="P214" s="69"/>
      <c r="Q214" s="69"/>
      <c r="R214" s="69"/>
      <c r="S214" s="69"/>
      <c r="T214" s="69"/>
      <c r="U214" s="69"/>
      <c r="V214" s="69"/>
      <c r="W214" s="69"/>
      <c r="X214" s="69"/>
      <c r="Y214" s="69"/>
      <c r="Z214" s="69"/>
      <c r="AA214" s="69"/>
      <c r="AB214" s="69"/>
      <c r="AC214" s="69"/>
      <c r="AD214" s="69"/>
      <c r="AE214" s="69"/>
      <c r="AF214" s="69"/>
      <c r="AG214" s="69"/>
      <c r="AH214" s="69"/>
      <c r="AI214" s="69"/>
      <c r="AJ214" s="69"/>
      <c r="AK214" s="69"/>
      <c r="AL214" s="69"/>
      <c r="AM214" s="69"/>
      <c r="AN214" s="69"/>
      <c r="AO214" s="69"/>
      <c r="AP214" s="69"/>
      <c r="AQ214" s="69"/>
      <c r="AR214" s="69"/>
      <c r="AS214" s="69"/>
      <c r="AT214" s="69"/>
      <c r="AU214" s="69"/>
      <c r="AV214" s="69"/>
      <c r="AW214" s="69"/>
      <c r="AX214" s="69"/>
      <c r="AY214" s="69"/>
      <c r="AZ214" s="69"/>
      <c r="BA214" s="69"/>
      <c r="BB214" s="69"/>
      <c r="BC214" s="69"/>
      <c r="BD214" s="69"/>
      <c r="BE214" s="69"/>
      <c r="BF214" s="69"/>
      <c r="BG214" s="69"/>
      <c r="BH214" s="69"/>
    </row>
    <row r="215" spans="1:60" x14ac:dyDescent="0.25">
      <c r="A215" s="69"/>
      <c r="J215" s="69"/>
      <c r="K215" s="69"/>
      <c r="L215" s="69"/>
      <c r="M215" s="69"/>
      <c r="N215" s="69"/>
      <c r="O215" s="69"/>
      <c r="P215" s="69"/>
      <c r="Q215" s="69"/>
      <c r="R215" s="69"/>
      <c r="S215" s="69"/>
      <c r="T215" s="69"/>
      <c r="U215" s="69"/>
      <c r="V215" s="69"/>
      <c r="W215" s="69"/>
      <c r="X215" s="69"/>
      <c r="Y215" s="69"/>
      <c r="Z215" s="69"/>
      <c r="AA215" s="69"/>
      <c r="AB215" s="69"/>
      <c r="AC215" s="69"/>
      <c r="AD215" s="69"/>
      <c r="AE215" s="69"/>
      <c r="AF215" s="69"/>
      <c r="AG215" s="69"/>
      <c r="AH215" s="69"/>
      <c r="AI215" s="69"/>
      <c r="AJ215" s="69"/>
      <c r="AK215" s="69"/>
      <c r="AL215" s="69"/>
      <c r="AM215" s="69"/>
      <c r="AN215" s="69"/>
      <c r="AO215" s="69"/>
      <c r="AP215" s="69"/>
      <c r="AQ215" s="69"/>
      <c r="AR215" s="69"/>
      <c r="AS215" s="69"/>
      <c r="AT215" s="69"/>
      <c r="AU215" s="69"/>
      <c r="AV215" s="69"/>
      <c r="AW215" s="69"/>
      <c r="AX215" s="69"/>
      <c r="AY215" s="69"/>
      <c r="AZ215" s="69"/>
      <c r="BA215" s="69"/>
      <c r="BB215" s="69"/>
      <c r="BC215" s="69"/>
      <c r="BD215" s="69"/>
      <c r="BE215" s="69"/>
      <c r="BF215" s="69"/>
      <c r="BG215" s="69"/>
      <c r="BH215" s="69"/>
    </row>
    <row r="216" spans="1:60" x14ac:dyDescent="0.25">
      <c r="A216" s="69"/>
      <c r="J216" s="69"/>
      <c r="K216" s="69"/>
      <c r="L216" s="69"/>
      <c r="M216" s="69"/>
      <c r="N216" s="69"/>
      <c r="O216" s="69"/>
      <c r="P216" s="69"/>
      <c r="Q216" s="69"/>
      <c r="R216" s="69"/>
      <c r="S216" s="69"/>
      <c r="T216" s="69"/>
      <c r="U216" s="69"/>
      <c r="V216" s="69"/>
      <c r="W216" s="69"/>
      <c r="X216" s="69"/>
      <c r="Y216" s="69"/>
      <c r="Z216" s="69"/>
      <c r="AA216" s="69"/>
      <c r="AB216" s="69"/>
      <c r="AC216" s="69"/>
      <c r="AD216" s="69"/>
      <c r="AE216" s="69"/>
      <c r="AF216" s="69"/>
      <c r="AG216" s="69"/>
      <c r="AH216" s="69"/>
      <c r="AI216" s="69"/>
      <c r="AJ216" s="69"/>
      <c r="AK216" s="69"/>
      <c r="AL216" s="69"/>
      <c r="AM216" s="69"/>
      <c r="AN216" s="69"/>
      <c r="AO216" s="69"/>
      <c r="AP216" s="69"/>
      <c r="AQ216" s="69"/>
      <c r="AR216" s="69"/>
      <c r="AS216" s="69"/>
      <c r="AT216" s="69"/>
      <c r="AU216" s="69"/>
      <c r="AV216" s="69"/>
      <c r="AW216" s="69"/>
      <c r="AX216" s="69"/>
      <c r="AY216" s="69"/>
      <c r="AZ216" s="69"/>
      <c r="BA216" s="69"/>
      <c r="BB216" s="69"/>
      <c r="BC216" s="69"/>
      <c r="BD216" s="69"/>
      <c r="BE216" s="69"/>
      <c r="BF216" s="69"/>
      <c r="BG216" s="69"/>
      <c r="BH216" s="69"/>
    </row>
    <row r="217" spans="1:60" x14ac:dyDescent="0.25">
      <c r="A217" s="69"/>
      <c r="J217" s="69"/>
      <c r="K217" s="69"/>
      <c r="L217" s="69"/>
      <c r="M217" s="69"/>
      <c r="N217" s="69"/>
      <c r="O217" s="69"/>
      <c r="P217" s="69"/>
      <c r="Q217" s="69"/>
      <c r="R217" s="69"/>
      <c r="S217" s="69"/>
      <c r="T217" s="69"/>
      <c r="U217" s="69"/>
      <c r="V217" s="69"/>
      <c r="W217" s="69"/>
      <c r="X217" s="69"/>
      <c r="Y217" s="69"/>
      <c r="Z217" s="69"/>
      <c r="AA217" s="69"/>
      <c r="AB217" s="69"/>
      <c r="AC217" s="69"/>
      <c r="AD217" s="69"/>
      <c r="AE217" s="69"/>
      <c r="AF217" s="69"/>
      <c r="AG217" s="69"/>
      <c r="AH217" s="69"/>
      <c r="AI217" s="69"/>
      <c r="AJ217" s="69"/>
      <c r="AK217" s="69"/>
      <c r="AL217" s="69"/>
      <c r="AM217" s="69"/>
      <c r="AN217" s="69"/>
      <c r="AO217" s="69"/>
      <c r="AP217" s="69"/>
      <c r="AQ217" s="69"/>
      <c r="AR217" s="69"/>
      <c r="AS217" s="69"/>
      <c r="AT217" s="69"/>
      <c r="AU217" s="69"/>
      <c r="AV217" s="69"/>
      <c r="AW217" s="69"/>
      <c r="AX217" s="69"/>
      <c r="AY217" s="69"/>
      <c r="AZ217" s="69"/>
      <c r="BA217" s="69"/>
      <c r="BB217" s="69"/>
      <c r="BC217" s="69"/>
      <c r="BD217" s="69"/>
      <c r="BE217" s="69"/>
      <c r="BF217" s="69"/>
      <c r="BG217" s="69"/>
      <c r="BH217" s="69"/>
    </row>
    <row r="218" spans="1:60" x14ac:dyDescent="0.25">
      <c r="A218" s="69"/>
      <c r="J218" s="69"/>
      <c r="K218" s="69"/>
      <c r="L218" s="69"/>
      <c r="M218" s="69"/>
      <c r="N218" s="69"/>
      <c r="O218" s="69"/>
      <c r="P218" s="69"/>
      <c r="Q218" s="69"/>
      <c r="R218" s="69"/>
      <c r="S218" s="69"/>
      <c r="T218" s="69"/>
      <c r="U218" s="69"/>
      <c r="V218" s="69"/>
      <c r="W218" s="69"/>
      <c r="X218" s="69"/>
      <c r="Y218" s="69"/>
      <c r="Z218" s="69"/>
      <c r="AA218" s="69"/>
      <c r="AB218" s="69"/>
      <c r="AC218" s="69"/>
      <c r="AD218" s="69"/>
      <c r="AE218" s="69"/>
      <c r="AF218" s="69"/>
      <c r="AG218" s="69"/>
      <c r="AH218" s="69"/>
      <c r="AI218" s="69"/>
      <c r="AJ218" s="69"/>
      <c r="AK218" s="69"/>
      <c r="AL218" s="69"/>
      <c r="AM218" s="69"/>
      <c r="AN218" s="69"/>
      <c r="AO218" s="69"/>
      <c r="AP218" s="69"/>
      <c r="AQ218" s="69"/>
      <c r="AR218" s="69"/>
      <c r="AS218" s="69"/>
      <c r="AT218" s="69"/>
      <c r="AU218" s="69"/>
      <c r="AV218" s="69"/>
      <c r="AW218" s="69"/>
      <c r="AX218" s="69"/>
      <c r="AY218" s="69"/>
      <c r="AZ218" s="69"/>
      <c r="BA218" s="69"/>
      <c r="BB218" s="69"/>
      <c r="BC218" s="69"/>
      <c r="BD218" s="69"/>
      <c r="BE218" s="69"/>
      <c r="BF218" s="69"/>
      <c r="BG218" s="69"/>
      <c r="BH218" s="69"/>
    </row>
    <row r="219" spans="1:60" x14ac:dyDescent="0.25">
      <c r="A219" s="69"/>
      <c r="J219" s="69"/>
      <c r="K219" s="69"/>
      <c r="L219" s="69"/>
      <c r="M219" s="69"/>
      <c r="N219" s="69"/>
      <c r="O219" s="69"/>
      <c r="P219" s="69"/>
      <c r="Q219" s="69"/>
      <c r="R219" s="69"/>
      <c r="S219" s="69"/>
      <c r="T219" s="69"/>
      <c r="U219" s="69"/>
      <c r="V219" s="69"/>
      <c r="W219" s="69"/>
      <c r="X219" s="69"/>
      <c r="Y219" s="69"/>
      <c r="Z219" s="69"/>
      <c r="AA219" s="69"/>
      <c r="AB219" s="69"/>
      <c r="AC219" s="69"/>
      <c r="AD219" s="69"/>
      <c r="AE219" s="69"/>
      <c r="AF219" s="69"/>
      <c r="AG219" s="69"/>
      <c r="AH219" s="69"/>
      <c r="AI219" s="69"/>
      <c r="AJ219" s="69"/>
      <c r="AK219" s="69"/>
      <c r="AL219" s="69"/>
      <c r="AM219" s="69"/>
      <c r="AN219" s="69"/>
      <c r="AO219" s="69"/>
      <c r="AP219" s="69"/>
      <c r="AQ219" s="69"/>
      <c r="AR219" s="69"/>
      <c r="AS219" s="69"/>
      <c r="AT219" s="69"/>
      <c r="AU219" s="69"/>
      <c r="AV219" s="69"/>
      <c r="AW219" s="69"/>
      <c r="AX219" s="69"/>
      <c r="AY219" s="69"/>
      <c r="AZ219" s="69"/>
      <c r="BA219" s="69"/>
      <c r="BB219" s="69"/>
      <c r="BC219" s="69"/>
      <c r="BD219" s="69"/>
      <c r="BE219" s="69"/>
      <c r="BF219" s="69"/>
      <c r="BG219" s="69"/>
      <c r="BH219" s="69"/>
    </row>
    <row r="220" spans="1:60" x14ac:dyDescent="0.25">
      <c r="A220" s="69"/>
      <c r="J220" s="69"/>
      <c r="K220" s="69"/>
      <c r="L220" s="69"/>
      <c r="M220" s="69"/>
      <c r="N220" s="69"/>
      <c r="O220" s="69"/>
      <c r="P220" s="69"/>
      <c r="Q220" s="69"/>
      <c r="R220" s="69"/>
      <c r="S220" s="69"/>
      <c r="T220" s="69"/>
      <c r="U220" s="69"/>
      <c r="V220" s="69"/>
      <c r="W220" s="69"/>
      <c r="X220" s="69"/>
      <c r="Y220" s="69"/>
      <c r="Z220" s="69"/>
      <c r="AA220" s="69"/>
      <c r="AB220" s="69"/>
      <c r="AC220" s="69"/>
      <c r="AD220" s="69"/>
      <c r="AE220" s="69"/>
      <c r="AF220" s="69"/>
      <c r="AG220" s="69"/>
      <c r="AH220" s="69"/>
      <c r="AI220" s="69"/>
      <c r="AJ220" s="69"/>
      <c r="AK220" s="69"/>
      <c r="AL220" s="69"/>
      <c r="AM220" s="69"/>
      <c r="AN220" s="69"/>
      <c r="AO220" s="69"/>
      <c r="AP220" s="69"/>
      <c r="AQ220" s="69"/>
      <c r="AR220" s="69"/>
      <c r="AS220" s="69"/>
      <c r="AT220" s="69"/>
      <c r="AU220" s="69"/>
      <c r="AV220" s="69"/>
      <c r="AW220" s="69"/>
      <c r="AX220" s="69"/>
      <c r="AY220" s="69"/>
      <c r="AZ220" s="69"/>
      <c r="BA220" s="69"/>
      <c r="BB220" s="69"/>
      <c r="BC220" s="69"/>
      <c r="BD220" s="69"/>
      <c r="BE220" s="69"/>
      <c r="BF220" s="69"/>
      <c r="BG220" s="69"/>
      <c r="BH220" s="69"/>
    </row>
    <row r="221" spans="1:60" x14ac:dyDescent="0.25">
      <c r="A221" s="69"/>
      <c r="J221" s="69"/>
      <c r="K221" s="69"/>
      <c r="L221" s="69"/>
      <c r="M221" s="69"/>
      <c r="N221" s="69"/>
      <c r="O221" s="69"/>
      <c r="P221" s="69"/>
      <c r="Q221" s="69"/>
      <c r="R221" s="69"/>
      <c r="S221" s="69"/>
      <c r="T221" s="69"/>
      <c r="U221" s="69"/>
      <c r="V221" s="69"/>
      <c r="W221" s="69"/>
      <c r="X221" s="69"/>
      <c r="Y221" s="69"/>
      <c r="Z221" s="69"/>
      <c r="AA221" s="69"/>
      <c r="AB221" s="69"/>
      <c r="AC221" s="69"/>
      <c r="AD221" s="69"/>
      <c r="AE221" s="69"/>
      <c r="AF221" s="69"/>
      <c r="AG221" s="69"/>
      <c r="AH221" s="69"/>
      <c r="AI221" s="69"/>
      <c r="AJ221" s="69"/>
      <c r="AK221" s="69"/>
      <c r="AL221" s="69"/>
      <c r="AM221" s="69"/>
      <c r="AN221" s="69"/>
      <c r="AO221" s="69"/>
      <c r="AP221" s="69"/>
      <c r="AQ221" s="69"/>
      <c r="AR221" s="69"/>
      <c r="AS221" s="69"/>
      <c r="AT221" s="69"/>
      <c r="AU221" s="69"/>
      <c r="AV221" s="69"/>
      <c r="AW221" s="69"/>
      <c r="AX221" s="69"/>
      <c r="AY221" s="69"/>
      <c r="AZ221" s="69"/>
      <c r="BA221" s="69"/>
      <c r="BB221" s="69"/>
      <c r="BC221" s="69"/>
      <c r="BD221" s="69"/>
      <c r="BE221" s="69"/>
      <c r="BF221" s="69"/>
      <c r="BG221" s="69"/>
      <c r="BH221" s="69"/>
    </row>
    <row r="222" spans="1:60" x14ac:dyDescent="0.25">
      <c r="A222" s="69"/>
      <c r="J222" s="69"/>
      <c r="K222" s="69"/>
      <c r="L222" s="69"/>
      <c r="M222" s="69"/>
      <c r="N222" s="69"/>
      <c r="O222" s="69"/>
      <c r="P222" s="69"/>
      <c r="Q222" s="69"/>
      <c r="R222" s="69"/>
      <c r="S222" s="69"/>
      <c r="T222" s="69"/>
      <c r="U222" s="69"/>
      <c r="V222" s="69"/>
      <c r="W222" s="69"/>
      <c r="X222" s="69"/>
      <c r="Y222" s="69"/>
      <c r="Z222" s="69"/>
      <c r="AA222" s="69"/>
      <c r="AB222" s="69"/>
      <c r="AC222" s="69"/>
      <c r="AD222" s="69"/>
      <c r="AE222" s="69"/>
      <c r="AF222" s="69"/>
      <c r="AG222" s="69"/>
      <c r="AH222" s="69"/>
      <c r="AI222" s="69"/>
      <c r="AJ222" s="69"/>
      <c r="AK222" s="69"/>
      <c r="AL222" s="69"/>
      <c r="AM222" s="69"/>
      <c r="AN222" s="69"/>
      <c r="AO222" s="69"/>
      <c r="AP222" s="69"/>
      <c r="AQ222" s="69"/>
      <c r="AR222" s="69"/>
      <c r="AS222" s="69"/>
      <c r="AT222" s="69"/>
      <c r="AU222" s="69"/>
      <c r="AV222" s="69"/>
      <c r="AW222" s="69"/>
      <c r="AX222" s="69"/>
      <c r="AY222" s="69"/>
      <c r="AZ222" s="69"/>
      <c r="BA222" s="69"/>
      <c r="BB222" s="69"/>
      <c r="BC222" s="69"/>
      <c r="BD222" s="69"/>
      <c r="BE222" s="69"/>
      <c r="BF222" s="69"/>
      <c r="BG222" s="69"/>
      <c r="BH222" s="69"/>
    </row>
    <row r="223" spans="1:60" x14ac:dyDescent="0.25">
      <c r="A223" s="69"/>
      <c r="J223" s="69"/>
      <c r="K223" s="69"/>
      <c r="L223" s="69"/>
      <c r="M223" s="69"/>
      <c r="N223" s="69"/>
      <c r="O223" s="69"/>
      <c r="P223" s="69"/>
      <c r="Q223" s="69"/>
      <c r="R223" s="69"/>
      <c r="S223" s="69"/>
      <c r="T223" s="69"/>
      <c r="U223" s="69"/>
      <c r="V223" s="69"/>
      <c r="W223" s="69"/>
      <c r="X223" s="69"/>
      <c r="Y223" s="69"/>
      <c r="Z223" s="69"/>
      <c r="AA223" s="69"/>
      <c r="AB223" s="69"/>
      <c r="AC223" s="69"/>
      <c r="AD223" s="69"/>
      <c r="AE223" s="69"/>
      <c r="AF223" s="69"/>
      <c r="AG223" s="69"/>
      <c r="AH223" s="69"/>
      <c r="AI223" s="69"/>
      <c r="AJ223" s="69"/>
      <c r="AK223" s="69"/>
      <c r="AL223" s="69"/>
      <c r="AM223" s="69"/>
      <c r="AN223" s="69"/>
      <c r="AO223" s="69"/>
      <c r="AP223" s="69"/>
      <c r="AQ223" s="69"/>
      <c r="AR223" s="69"/>
      <c r="AS223" s="69"/>
      <c r="AT223" s="69"/>
      <c r="AU223" s="69"/>
      <c r="AV223" s="69"/>
      <c r="AW223" s="69"/>
      <c r="AX223" s="69"/>
      <c r="AY223" s="69"/>
      <c r="AZ223" s="69"/>
      <c r="BA223" s="69"/>
      <c r="BB223" s="69"/>
      <c r="BC223" s="69"/>
      <c r="BD223" s="69"/>
      <c r="BE223" s="69"/>
      <c r="BF223" s="69"/>
      <c r="BG223" s="69"/>
      <c r="BH223" s="69"/>
    </row>
    <row r="224" spans="1:60" x14ac:dyDescent="0.25">
      <c r="A224" s="69"/>
      <c r="J224" s="69"/>
      <c r="K224" s="69"/>
      <c r="L224" s="69"/>
      <c r="M224" s="69"/>
      <c r="N224" s="69"/>
      <c r="O224" s="69"/>
      <c r="P224" s="69"/>
      <c r="Q224" s="69"/>
      <c r="R224" s="69"/>
      <c r="S224" s="69"/>
      <c r="T224" s="69"/>
      <c r="U224" s="69"/>
      <c r="V224" s="69"/>
      <c r="W224" s="69"/>
      <c r="X224" s="69"/>
      <c r="Y224" s="69"/>
      <c r="Z224" s="69"/>
      <c r="AA224" s="69"/>
      <c r="AB224" s="69"/>
      <c r="AC224" s="69"/>
      <c r="AD224" s="69"/>
      <c r="AE224" s="69"/>
      <c r="AF224" s="69"/>
      <c r="AG224" s="69"/>
      <c r="AH224" s="69"/>
      <c r="AI224" s="69"/>
      <c r="AJ224" s="69"/>
      <c r="AK224" s="69"/>
      <c r="AL224" s="69"/>
      <c r="AM224" s="69"/>
      <c r="AN224" s="69"/>
      <c r="AO224" s="69"/>
      <c r="AP224" s="69"/>
      <c r="AQ224" s="69"/>
      <c r="AR224" s="69"/>
      <c r="AS224" s="69"/>
      <c r="AT224" s="69"/>
      <c r="AU224" s="69"/>
      <c r="AV224" s="69"/>
      <c r="AW224" s="69"/>
      <c r="AX224" s="69"/>
      <c r="AY224" s="69"/>
      <c r="AZ224" s="69"/>
      <c r="BA224" s="69"/>
      <c r="BB224" s="69"/>
      <c r="BC224" s="69"/>
      <c r="BD224" s="69"/>
      <c r="BE224" s="69"/>
      <c r="BF224" s="69"/>
      <c r="BG224" s="69"/>
      <c r="BH224" s="69"/>
    </row>
    <row r="225" spans="1:60" x14ac:dyDescent="0.25">
      <c r="A225" s="69"/>
      <c r="J225" s="69"/>
      <c r="K225" s="69"/>
      <c r="L225" s="69"/>
      <c r="M225" s="69"/>
      <c r="N225" s="69"/>
      <c r="O225" s="69"/>
      <c r="P225" s="69"/>
      <c r="Q225" s="69"/>
      <c r="R225" s="69"/>
      <c r="S225" s="69"/>
      <c r="T225" s="69"/>
      <c r="U225" s="69"/>
      <c r="V225" s="69"/>
      <c r="W225" s="69"/>
      <c r="X225" s="69"/>
      <c r="Y225" s="69"/>
      <c r="Z225" s="69"/>
      <c r="AA225" s="69"/>
      <c r="AB225" s="69"/>
      <c r="AC225" s="69"/>
      <c r="AD225" s="69"/>
      <c r="AE225" s="69"/>
      <c r="AF225" s="69"/>
      <c r="AG225" s="69"/>
      <c r="AH225" s="69"/>
      <c r="AI225" s="69"/>
      <c r="AJ225" s="69"/>
      <c r="AK225" s="69"/>
      <c r="AL225" s="69"/>
      <c r="AM225" s="69"/>
      <c r="AN225" s="69"/>
      <c r="AO225" s="69"/>
      <c r="AP225" s="69"/>
      <c r="AQ225" s="69"/>
      <c r="AR225" s="69"/>
      <c r="AS225" s="69"/>
      <c r="AT225" s="69"/>
      <c r="AU225" s="69"/>
      <c r="AV225" s="69"/>
      <c r="AW225" s="69"/>
      <c r="AX225" s="69"/>
      <c r="AY225" s="69"/>
      <c r="AZ225" s="69"/>
      <c r="BA225" s="69"/>
      <c r="BB225" s="69"/>
      <c r="BC225" s="69"/>
      <c r="BD225" s="69"/>
      <c r="BE225" s="69"/>
      <c r="BF225" s="69"/>
      <c r="BG225" s="69"/>
      <c r="BH225" s="69"/>
    </row>
    <row r="226" spans="1:60" x14ac:dyDescent="0.25">
      <c r="A226" s="69"/>
      <c r="J226" s="69"/>
      <c r="K226" s="69"/>
      <c r="L226" s="69"/>
      <c r="M226" s="69"/>
      <c r="N226" s="69"/>
      <c r="O226" s="69"/>
      <c r="P226" s="69"/>
      <c r="Q226" s="69"/>
      <c r="R226" s="69"/>
      <c r="S226" s="69"/>
      <c r="T226" s="69"/>
      <c r="U226" s="69"/>
      <c r="V226" s="69"/>
      <c r="W226" s="69"/>
      <c r="X226" s="69"/>
      <c r="Y226" s="69"/>
      <c r="Z226" s="69"/>
      <c r="AA226" s="69"/>
      <c r="AB226" s="69"/>
      <c r="AC226" s="69"/>
      <c r="AD226" s="69"/>
      <c r="AE226" s="69"/>
      <c r="AF226" s="69"/>
      <c r="AG226" s="69"/>
      <c r="AH226" s="69"/>
      <c r="AI226" s="69"/>
      <c r="AJ226" s="69"/>
      <c r="AK226" s="69"/>
      <c r="AL226" s="69"/>
      <c r="AM226" s="69"/>
      <c r="AN226" s="69"/>
      <c r="AO226" s="69"/>
      <c r="AP226" s="69"/>
      <c r="AQ226" s="69"/>
      <c r="AR226" s="69"/>
      <c r="AS226" s="69"/>
      <c r="AT226" s="69"/>
      <c r="AU226" s="69"/>
      <c r="AV226" s="69"/>
      <c r="AW226" s="69"/>
      <c r="AX226" s="69"/>
      <c r="AY226" s="69"/>
      <c r="AZ226" s="69"/>
      <c r="BA226" s="69"/>
      <c r="BB226" s="69"/>
      <c r="BC226" s="69"/>
      <c r="BD226" s="69"/>
      <c r="BE226" s="69"/>
      <c r="BF226" s="69"/>
      <c r="BG226" s="69"/>
      <c r="BH226" s="69"/>
    </row>
    <row r="227" spans="1:60" x14ac:dyDescent="0.25">
      <c r="A227" s="69"/>
      <c r="J227" s="69"/>
      <c r="K227" s="69"/>
      <c r="L227" s="69"/>
      <c r="M227" s="69"/>
      <c r="N227" s="69"/>
      <c r="O227" s="69"/>
      <c r="P227" s="69"/>
      <c r="Q227" s="69"/>
      <c r="R227" s="69"/>
      <c r="S227" s="69"/>
      <c r="T227" s="69"/>
      <c r="U227" s="69"/>
      <c r="V227" s="69"/>
      <c r="W227" s="69"/>
      <c r="X227" s="69"/>
      <c r="Y227" s="69"/>
      <c r="Z227" s="69"/>
      <c r="AA227" s="69"/>
      <c r="AB227" s="69"/>
      <c r="AC227" s="69"/>
      <c r="AD227" s="69"/>
      <c r="AE227" s="69"/>
      <c r="AF227" s="69"/>
      <c r="AG227" s="69"/>
      <c r="AH227" s="69"/>
      <c r="AI227" s="69"/>
      <c r="AJ227" s="69"/>
      <c r="AK227" s="69"/>
      <c r="AL227" s="69"/>
      <c r="AM227" s="69"/>
      <c r="AN227" s="69"/>
      <c r="AO227" s="69"/>
      <c r="AP227" s="69"/>
      <c r="AQ227" s="69"/>
      <c r="AR227" s="69"/>
      <c r="AS227" s="69"/>
      <c r="AT227" s="69"/>
      <c r="AU227" s="69"/>
      <c r="AV227" s="69"/>
      <c r="AW227" s="69"/>
      <c r="AX227" s="69"/>
      <c r="AY227" s="69"/>
      <c r="AZ227" s="69"/>
      <c r="BA227" s="69"/>
      <c r="BB227" s="69"/>
      <c r="BC227" s="69"/>
      <c r="BD227" s="69"/>
      <c r="BE227" s="69"/>
      <c r="BF227" s="69"/>
      <c r="BG227" s="69"/>
      <c r="BH227" s="69"/>
    </row>
    <row r="228" spans="1:60" x14ac:dyDescent="0.25">
      <c r="A228" s="69"/>
      <c r="J228" s="69"/>
      <c r="K228" s="69"/>
      <c r="L228" s="69"/>
      <c r="M228" s="69"/>
      <c r="N228" s="69"/>
      <c r="O228" s="69"/>
      <c r="P228" s="69"/>
      <c r="Q228" s="69"/>
      <c r="R228" s="69"/>
      <c r="S228" s="69"/>
      <c r="T228" s="69"/>
      <c r="U228" s="69"/>
      <c r="V228" s="69"/>
      <c r="W228" s="69"/>
      <c r="X228" s="69"/>
      <c r="Y228" s="69"/>
      <c r="Z228" s="69"/>
      <c r="AA228" s="69"/>
      <c r="AB228" s="69"/>
      <c r="AC228" s="69"/>
      <c r="AD228" s="69"/>
      <c r="AE228" s="69"/>
      <c r="AF228" s="69"/>
      <c r="AG228" s="69"/>
      <c r="AH228" s="69"/>
      <c r="AI228" s="69"/>
      <c r="AJ228" s="69"/>
      <c r="AK228" s="69"/>
      <c r="AL228" s="69"/>
      <c r="AM228" s="69"/>
      <c r="AN228" s="69"/>
      <c r="AO228" s="69"/>
      <c r="AP228" s="69"/>
      <c r="AQ228" s="69"/>
      <c r="AR228" s="69"/>
      <c r="AS228" s="69"/>
      <c r="AT228" s="69"/>
      <c r="AU228" s="69"/>
      <c r="AV228" s="69"/>
      <c r="AW228" s="69"/>
      <c r="AX228" s="69"/>
      <c r="AY228" s="69"/>
      <c r="AZ228" s="69"/>
      <c r="BA228" s="69"/>
      <c r="BB228" s="69"/>
      <c r="BC228" s="69"/>
      <c r="BD228" s="69"/>
      <c r="BE228" s="69"/>
      <c r="BF228" s="69"/>
      <c r="BG228" s="69"/>
      <c r="BH228" s="69"/>
    </row>
    <row r="229" spans="1:60" x14ac:dyDescent="0.25">
      <c r="A229" s="69"/>
      <c r="J229" s="69"/>
      <c r="K229" s="69"/>
      <c r="L229" s="69"/>
      <c r="M229" s="69"/>
      <c r="N229" s="69"/>
      <c r="O229" s="69"/>
      <c r="P229" s="69"/>
      <c r="Q229" s="69"/>
      <c r="R229" s="69"/>
      <c r="S229" s="69"/>
      <c r="T229" s="69"/>
      <c r="U229" s="69"/>
      <c r="V229" s="69"/>
      <c r="W229" s="69"/>
      <c r="X229" s="69"/>
      <c r="Y229" s="69"/>
      <c r="Z229" s="69"/>
      <c r="AA229" s="69"/>
      <c r="AB229" s="69"/>
      <c r="AC229" s="69"/>
      <c r="AD229" s="69"/>
      <c r="AE229" s="69"/>
      <c r="AF229" s="69"/>
      <c r="AG229" s="69"/>
      <c r="AH229" s="69"/>
      <c r="AI229" s="69"/>
      <c r="AJ229" s="69"/>
      <c r="AK229" s="69"/>
      <c r="AL229" s="69"/>
      <c r="AM229" s="69"/>
      <c r="AN229" s="69"/>
      <c r="AO229" s="69"/>
      <c r="AP229" s="69"/>
      <c r="AQ229" s="69"/>
      <c r="AR229" s="69"/>
      <c r="AS229" s="69"/>
      <c r="AT229" s="69"/>
      <c r="AU229" s="69"/>
      <c r="AV229" s="69"/>
      <c r="AW229" s="69"/>
      <c r="AX229" s="69"/>
      <c r="AY229" s="69"/>
      <c r="AZ229" s="69"/>
      <c r="BA229" s="69"/>
      <c r="BB229" s="69"/>
      <c r="BC229" s="69"/>
      <c r="BD229" s="69"/>
      <c r="BE229" s="69"/>
      <c r="BF229" s="69"/>
      <c r="BG229" s="69"/>
      <c r="BH229" s="69"/>
    </row>
    <row r="230" spans="1:60" x14ac:dyDescent="0.25">
      <c r="A230" s="69"/>
      <c r="J230" s="69"/>
      <c r="K230" s="69"/>
      <c r="L230" s="69"/>
      <c r="M230" s="69"/>
      <c r="N230" s="69"/>
      <c r="O230" s="69"/>
      <c r="P230" s="69"/>
      <c r="Q230" s="69"/>
      <c r="R230" s="69"/>
      <c r="S230" s="69"/>
      <c r="T230" s="69"/>
      <c r="U230" s="69"/>
      <c r="V230" s="69"/>
      <c r="W230" s="69"/>
      <c r="X230" s="69"/>
      <c r="Y230" s="69"/>
      <c r="Z230" s="69"/>
      <c r="AA230" s="69"/>
      <c r="AB230" s="69"/>
      <c r="AC230" s="69"/>
      <c r="AD230" s="69"/>
      <c r="AE230" s="69"/>
      <c r="AF230" s="69"/>
      <c r="AG230" s="69"/>
      <c r="AH230" s="69"/>
      <c r="AI230" s="69"/>
      <c r="AJ230" s="69"/>
      <c r="AK230" s="69"/>
      <c r="AL230" s="69"/>
      <c r="AM230" s="69"/>
      <c r="AN230" s="69"/>
      <c r="AO230" s="69"/>
      <c r="AP230" s="69"/>
      <c r="AQ230" s="69"/>
      <c r="AR230" s="69"/>
      <c r="AS230" s="69"/>
      <c r="AT230" s="69"/>
      <c r="AU230" s="69"/>
      <c r="AV230" s="69"/>
      <c r="AW230" s="69"/>
      <c r="AX230" s="69"/>
      <c r="AY230" s="69"/>
      <c r="AZ230" s="69"/>
      <c r="BA230" s="69"/>
      <c r="BB230" s="69"/>
      <c r="BC230" s="69"/>
      <c r="BD230" s="69"/>
      <c r="BE230" s="69"/>
      <c r="BF230" s="69"/>
      <c r="BG230" s="69"/>
      <c r="BH230" s="69"/>
    </row>
    <row r="231" spans="1:60" x14ac:dyDescent="0.25">
      <c r="A231" s="69"/>
      <c r="J231" s="69"/>
      <c r="K231" s="69"/>
      <c r="L231" s="69"/>
      <c r="M231" s="69"/>
      <c r="N231" s="69"/>
      <c r="O231" s="69"/>
      <c r="P231" s="69"/>
      <c r="Q231" s="69"/>
      <c r="R231" s="69"/>
      <c r="S231" s="69"/>
      <c r="T231" s="69"/>
      <c r="U231" s="69"/>
      <c r="V231" s="69"/>
      <c r="W231" s="69"/>
      <c r="X231" s="69"/>
      <c r="Y231" s="69"/>
      <c r="Z231" s="69"/>
      <c r="AA231" s="69"/>
      <c r="AB231" s="69"/>
      <c r="AC231" s="69"/>
      <c r="AD231" s="69"/>
      <c r="AE231" s="69"/>
      <c r="AF231" s="69"/>
      <c r="AG231" s="69"/>
      <c r="AH231" s="69"/>
      <c r="AI231" s="69"/>
      <c r="AJ231" s="69"/>
      <c r="AK231" s="69"/>
      <c r="AL231" s="69"/>
      <c r="AM231" s="69"/>
      <c r="AN231" s="69"/>
      <c r="AO231" s="69"/>
      <c r="AP231" s="69"/>
      <c r="AQ231" s="69"/>
      <c r="AR231" s="69"/>
      <c r="AS231" s="69"/>
      <c r="AT231" s="69"/>
      <c r="AU231" s="69"/>
      <c r="AV231" s="69"/>
      <c r="AW231" s="69"/>
      <c r="AX231" s="69"/>
      <c r="AY231" s="69"/>
      <c r="AZ231" s="69"/>
      <c r="BA231" s="69"/>
      <c r="BB231" s="69"/>
      <c r="BC231" s="69"/>
      <c r="BD231" s="69"/>
      <c r="BE231" s="69"/>
      <c r="BF231" s="69"/>
      <c r="BG231" s="69"/>
      <c r="BH231" s="69"/>
    </row>
    <row r="232" spans="1:60" x14ac:dyDescent="0.25">
      <c r="A232" s="69"/>
      <c r="J232" s="69"/>
      <c r="K232" s="69"/>
      <c r="L232" s="69"/>
      <c r="M232" s="69"/>
      <c r="N232" s="69"/>
      <c r="O232" s="69"/>
      <c r="P232" s="69"/>
      <c r="Q232" s="69"/>
      <c r="R232" s="69"/>
      <c r="S232" s="69"/>
      <c r="T232" s="69"/>
      <c r="U232" s="69"/>
      <c r="V232" s="69"/>
      <c r="W232" s="69"/>
      <c r="X232" s="69"/>
      <c r="Y232" s="69"/>
      <c r="Z232" s="69"/>
      <c r="AA232" s="69"/>
      <c r="AB232" s="69"/>
      <c r="AC232" s="69"/>
      <c r="AD232" s="69"/>
      <c r="AE232" s="69"/>
      <c r="AF232" s="69"/>
      <c r="AG232" s="69"/>
      <c r="AH232" s="69"/>
      <c r="AI232" s="69"/>
      <c r="AJ232" s="69"/>
      <c r="AK232" s="69"/>
      <c r="AL232" s="69"/>
      <c r="AM232" s="69"/>
      <c r="AN232" s="69"/>
      <c r="AO232" s="69"/>
      <c r="AP232" s="69"/>
      <c r="AQ232" s="69"/>
      <c r="AR232" s="69"/>
      <c r="AS232" s="69"/>
      <c r="AT232" s="69"/>
      <c r="AU232" s="69"/>
      <c r="AV232" s="69"/>
      <c r="AW232" s="69"/>
      <c r="AX232" s="69"/>
      <c r="AY232" s="69"/>
      <c r="AZ232" s="69"/>
      <c r="BA232" s="69"/>
      <c r="BB232" s="69"/>
      <c r="BC232" s="69"/>
      <c r="BD232" s="69"/>
      <c r="BE232" s="69"/>
      <c r="BF232" s="69"/>
      <c r="BG232" s="69"/>
      <c r="BH232" s="69"/>
    </row>
    <row r="233" spans="1:60" x14ac:dyDescent="0.25">
      <c r="A233" s="69"/>
      <c r="J233" s="69"/>
      <c r="K233" s="69"/>
      <c r="L233" s="69"/>
      <c r="M233" s="69"/>
      <c r="N233" s="69"/>
      <c r="O233" s="69"/>
      <c r="P233" s="69"/>
      <c r="Q233" s="69"/>
      <c r="R233" s="69"/>
      <c r="S233" s="69"/>
      <c r="T233" s="69"/>
      <c r="U233" s="69"/>
      <c r="V233" s="69"/>
      <c r="W233" s="69"/>
      <c r="X233" s="69"/>
      <c r="Y233" s="69"/>
      <c r="Z233" s="69"/>
      <c r="AA233" s="69"/>
      <c r="AB233" s="69"/>
      <c r="AC233" s="69"/>
      <c r="AD233" s="69"/>
      <c r="AE233" s="69"/>
      <c r="AF233" s="69"/>
      <c r="AG233" s="69"/>
      <c r="AH233" s="69"/>
      <c r="AI233" s="69"/>
      <c r="AJ233" s="69"/>
      <c r="AK233" s="69"/>
      <c r="AL233" s="69"/>
      <c r="AM233" s="69"/>
      <c r="AN233" s="69"/>
      <c r="AO233" s="69"/>
      <c r="AP233" s="69"/>
      <c r="AQ233" s="69"/>
      <c r="AR233" s="69"/>
      <c r="AS233" s="69"/>
      <c r="AT233" s="69"/>
      <c r="AU233" s="69"/>
      <c r="AV233" s="69"/>
      <c r="AW233" s="69"/>
      <c r="AX233" s="69"/>
      <c r="AY233" s="69"/>
      <c r="AZ233" s="69"/>
      <c r="BA233" s="69"/>
      <c r="BB233" s="69"/>
      <c r="BC233" s="69"/>
      <c r="BD233" s="69"/>
      <c r="BE233" s="69"/>
      <c r="BF233" s="69"/>
      <c r="BG233" s="69"/>
      <c r="BH233" s="69"/>
    </row>
    <row r="234" spans="1:60" x14ac:dyDescent="0.25">
      <c r="A234" s="69"/>
      <c r="J234" s="69"/>
      <c r="K234" s="69"/>
      <c r="L234" s="69"/>
      <c r="M234" s="69"/>
      <c r="N234" s="69"/>
      <c r="O234" s="69"/>
      <c r="P234" s="69"/>
      <c r="Q234" s="69"/>
      <c r="R234" s="69"/>
      <c r="S234" s="69"/>
      <c r="T234" s="69"/>
      <c r="U234" s="69"/>
      <c r="V234" s="69"/>
      <c r="W234" s="69"/>
      <c r="X234" s="69"/>
      <c r="Y234" s="69"/>
      <c r="Z234" s="69"/>
      <c r="AA234" s="69"/>
      <c r="AB234" s="69"/>
      <c r="AC234" s="69"/>
      <c r="AD234" s="69"/>
      <c r="AE234" s="69"/>
      <c r="AF234" s="69"/>
      <c r="AG234" s="69"/>
      <c r="AH234" s="69"/>
      <c r="AI234" s="69"/>
      <c r="AJ234" s="69"/>
      <c r="AK234" s="69"/>
      <c r="AL234" s="69"/>
      <c r="AM234" s="69"/>
      <c r="AN234" s="69"/>
      <c r="AO234" s="69"/>
      <c r="AP234" s="69"/>
      <c r="AQ234" s="69"/>
      <c r="AR234" s="69"/>
      <c r="AS234" s="69"/>
      <c r="AT234" s="69"/>
      <c r="AU234" s="69"/>
      <c r="AV234" s="69"/>
      <c r="AW234" s="69"/>
      <c r="AX234" s="69"/>
      <c r="AY234" s="69"/>
      <c r="AZ234" s="69"/>
      <c r="BA234" s="69"/>
      <c r="BB234" s="69"/>
      <c r="BC234" s="69"/>
      <c r="BD234" s="69"/>
      <c r="BE234" s="69"/>
      <c r="BF234" s="69"/>
      <c r="BG234" s="69"/>
      <c r="BH234" s="69"/>
    </row>
    <row r="235" spans="1:60" x14ac:dyDescent="0.25">
      <c r="A235" s="69"/>
      <c r="J235" s="69"/>
      <c r="K235" s="69"/>
      <c r="L235" s="69"/>
      <c r="M235" s="69"/>
      <c r="N235" s="69"/>
      <c r="O235" s="69"/>
      <c r="P235" s="69"/>
      <c r="Q235" s="69"/>
      <c r="R235" s="69"/>
      <c r="S235" s="69"/>
      <c r="T235" s="69"/>
      <c r="U235" s="69"/>
      <c r="V235" s="69"/>
      <c r="W235" s="69"/>
      <c r="X235" s="69"/>
      <c r="Y235" s="69"/>
      <c r="Z235" s="69"/>
      <c r="AA235" s="69"/>
      <c r="AB235" s="69"/>
      <c r="AC235" s="69"/>
      <c r="AD235" s="69"/>
      <c r="AE235" s="69"/>
      <c r="AF235" s="69"/>
      <c r="AG235" s="69"/>
      <c r="AH235" s="69"/>
      <c r="AI235" s="69"/>
      <c r="AJ235" s="69"/>
      <c r="AK235" s="69"/>
      <c r="AL235" s="69"/>
      <c r="AM235" s="69"/>
      <c r="AN235" s="69"/>
      <c r="AO235" s="69"/>
      <c r="AP235" s="69"/>
      <c r="AQ235" s="69"/>
      <c r="AR235" s="69"/>
      <c r="AS235" s="69"/>
      <c r="AT235" s="69"/>
      <c r="AU235" s="69"/>
      <c r="AV235" s="69"/>
      <c r="AW235" s="69"/>
      <c r="AX235" s="69"/>
      <c r="AY235" s="69"/>
      <c r="AZ235" s="69"/>
      <c r="BA235" s="69"/>
      <c r="BB235" s="69"/>
      <c r="BC235" s="69"/>
      <c r="BD235" s="69"/>
      <c r="BE235" s="69"/>
      <c r="BF235" s="69"/>
      <c r="BG235" s="69"/>
      <c r="BH235" s="69"/>
    </row>
    <row r="236" spans="1:60" x14ac:dyDescent="0.25">
      <c r="A236" s="69"/>
      <c r="J236" s="69"/>
      <c r="K236" s="69"/>
      <c r="L236" s="69"/>
      <c r="M236" s="69"/>
      <c r="N236" s="69"/>
      <c r="O236" s="69"/>
      <c r="P236" s="69"/>
      <c r="Q236" s="69"/>
      <c r="R236" s="69"/>
      <c r="S236" s="69"/>
      <c r="T236" s="69"/>
      <c r="U236" s="69"/>
      <c r="V236" s="69"/>
      <c r="W236" s="69"/>
      <c r="X236" s="69"/>
      <c r="Y236" s="69"/>
      <c r="Z236" s="69"/>
      <c r="AA236" s="69"/>
      <c r="AB236" s="69"/>
      <c r="AC236" s="69"/>
      <c r="AD236" s="69"/>
      <c r="AE236" s="69"/>
      <c r="AF236" s="69"/>
      <c r="AG236" s="69"/>
      <c r="AH236" s="69"/>
      <c r="AI236" s="69"/>
      <c r="AJ236" s="69"/>
      <c r="AK236" s="69"/>
      <c r="AL236" s="69"/>
      <c r="AM236" s="69"/>
      <c r="AN236" s="69"/>
      <c r="AO236" s="69"/>
      <c r="AP236" s="69"/>
      <c r="AQ236" s="69"/>
      <c r="AR236" s="69"/>
      <c r="AS236" s="69"/>
      <c r="AT236" s="69"/>
      <c r="AU236" s="69"/>
      <c r="AV236" s="69"/>
      <c r="AW236" s="69"/>
      <c r="AX236" s="69"/>
      <c r="AY236" s="69"/>
      <c r="AZ236" s="69"/>
      <c r="BA236" s="69"/>
      <c r="BB236" s="69"/>
      <c r="BC236" s="69"/>
      <c r="BD236" s="69"/>
      <c r="BE236" s="69"/>
      <c r="BF236" s="69"/>
      <c r="BG236" s="69"/>
      <c r="BH236" s="69"/>
    </row>
    <row r="237" spans="1:60" x14ac:dyDescent="0.25">
      <c r="A237" s="69"/>
      <c r="J237" s="69"/>
      <c r="K237" s="69"/>
      <c r="L237" s="69"/>
      <c r="M237" s="69"/>
      <c r="N237" s="69"/>
      <c r="O237" s="69"/>
      <c r="P237" s="69"/>
      <c r="Q237" s="69"/>
      <c r="R237" s="69"/>
      <c r="S237" s="69"/>
      <c r="T237" s="69"/>
      <c r="U237" s="69"/>
      <c r="V237" s="69"/>
      <c r="W237" s="69"/>
      <c r="X237" s="69"/>
      <c r="Y237" s="69"/>
      <c r="Z237" s="69"/>
      <c r="AA237" s="69"/>
      <c r="AB237" s="69"/>
      <c r="AC237" s="69"/>
      <c r="AD237" s="69"/>
      <c r="AE237" s="69"/>
      <c r="AF237" s="69"/>
      <c r="AG237" s="69"/>
      <c r="AH237" s="69"/>
      <c r="AI237" s="69"/>
      <c r="AJ237" s="69"/>
      <c r="AK237" s="69"/>
      <c r="AL237" s="69"/>
      <c r="AM237" s="69"/>
      <c r="AN237" s="69"/>
      <c r="AO237" s="69"/>
      <c r="AP237" s="69"/>
      <c r="AQ237" s="69"/>
      <c r="AR237" s="69"/>
      <c r="AS237" s="69"/>
      <c r="AT237" s="69"/>
      <c r="AU237" s="69"/>
      <c r="AV237" s="69"/>
      <c r="AW237" s="69"/>
      <c r="AX237" s="69"/>
      <c r="AY237" s="69"/>
      <c r="AZ237" s="69"/>
      <c r="BA237" s="69"/>
      <c r="BB237" s="69"/>
      <c r="BC237" s="69"/>
      <c r="BD237" s="69"/>
      <c r="BE237" s="69"/>
      <c r="BF237" s="69"/>
      <c r="BG237" s="69"/>
      <c r="BH237" s="69"/>
    </row>
    <row r="238" spans="1:60" x14ac:dyDescent="0.25">
      <c r="A238" s="69"/>
      <c r="J238" s="69"/>
      <c r="K238" s="69"/>
      <c r="L238" s="69"/>
      <c r="M238" s="69"/>
      <c r="N238" s="69"/>
      <c r="O238" s="69"/>
      <c r="P238" s="69"/>
      <c r="Q238" s="69"/>
      <c r="R238" s="69"/>
      <c r="S238" s="69"/>
      <c r="T238" s="69"/>
      <c r="U238" s="69"/>
      <c r="V238" s="69"/>
      <c r="W238" s="69"/>
      <c r="X238" s="69"/>
      <c r="Y238" s="69"/>
      <c r="Z238" s="69"/>
      <c r="AA238" s="69"/>
      <c r="AB238" s="69"/>
      <c r="AC238" s="69"/>
      <c r="AD238" s="69"/>
      <c r="AE238" s="69"/>
      <c r="AF238" s="69"/>
      <c r="AG238" s="69"/>
      <c r="AH238" s="69"/>
      <c r="AI238" s="69"/>
      <c r="AJ238" s="69"/>
      <c r="AK238" s="69"/>
      <c r="AL238" s="69"/>
      <c r="AM238" s="69"/>
      <c r="AN238" s="69"/>
      <c r="AO238" s="69"/>
      <c r="AP238" s="69"/>
      <c r="AQ238" s="69"/>
      <c r="AR238" s="69"/>
      <c r="AS238" s="69"/>
      <c r="AT238" s="69"/>
      <c r="AU238" s="69"/>
      <c r="AV238" s="69"/>
      <c r="AW238" s="69"/>
      <c r="AX238" s="69"/>
      <c r="AY238" s="69"/>
      <c r="AZ238" s="69"/>
      <c r="BA238" s="69"/>
      <c r="BB238" s="69"/>
      <c r="BC238" s="69"/>
      <c r="BD238" s="69"/>
      <c r="BE238" s="69"/>
      <c r="BF238" s="69"/>
      <c r="BG238" s="69"/>
      <c r="BH238" s="69"/>
    </row>
    <row r="239" spans="1:60" x14ac:dyDescent="0.25">
      <c r="A239" s="69"/>
      <c r="J239" s="69"/>
      <c r="K239" s="69"/>
      <c r="L239" s="69"/>
      <c r="M239" s="69"/>
      <c r="N239" s="69"/>
      <c r="O239" s="69"/>
      <c r="P239" s="69"/>
      <c r="Q239" s="69"/>
      <c r="R239" s="69"/>
      <c r="S239" s="69"/>
      <c r="T239" s="69"/>
      <c r="U239" s="69"/>
      <c r="V239" s="69"/>
      <c r="W239" s="69"/>
      <c r="X239" s="69"/>
      <c r="Y239" s="69"/>
      <c r="Z239" s="69"/>
      <c r="AA239" s="69"/>
      <c r="AB239" s="69"/>
      <c r="AC239" s="69"/>
      <c r="AD239" s="69"/>
      <c r="AE239" s="69"/>
      <c r="AF239" s="69"/>
      <c r="AG239" s="69"/>
      <c r="AH239" s="69"/>
      <c r="AI239" s="69"/>
      <c r="AJ239" s="69"/>
      <c r="AK239" s="69"/>
      <c r="AL239" s="69"/>
      <c r="AM239" s="69"/>
      <c r="AN239" s="69"/>
      <c r="AO239" s="69"/>
      <c r="AP239" s="69"/>
      <c r="AQ239" s="69"/>
      <c r="AR239" s="69"/>
      <c r="AS239" s="69"/>
      <c r="AT239" s="69"/>
      <c r="AU239" s="69"/>
      <c r="AV239" s="69"/>
      <c r="AW239" s="69"/>
      <c r="AX239" s="69"/>
      <c r="AY239" s="69"/>
      <c r="AZ239" s="69"/>
      <c r="BA239" s="69"/>
      <c r="BB239" s="69"/>
      <c r="BC239" s="69"/>
      <c r="BD239" s="69"/>
      <c r="BE239" s="69"/>
      <c r="BF239" s="69"/>
      <c r="BG239" s="69"/>
      <c r="BH239" s="69"/>
    </row>
    <row r="240" spans="1:60" x14ac:dyDescent="0.25">
      <c r="A240" s="69"/>
      <c r="J240" s="69"/>
      <c r="K240" s="69"/>
      <c r="L240" s="69"/>
      <c r="M240" s="69"/>
      <c r="N240" s="69"/>
      <c r="O240" s="69"/>
      <c r="P240" s="69"/>
      <c r="Q240" s="69"/>
      <c r="R240" s="69"/>
      <c r="S240" s="69"/>
      <c r="T240" s="69"/>
      <c r="U240" s="69"/>
      <c r="V240" s="69"/>
      <c r="W240" s="69"/>
      <c r="X240" s="69"/>
      <c r="Y240" s="69"/>
      <c r="Z240" s="69"/>
      <c r="AA240" s="69"/>
      <c r="AB240" s="69"/>
      <c r="AC240" s="69"/>
      <c r="AD240" s="69"/>
      <c r="AE240" s="69"/>
      <c r="AF240" s="69"/>
      <c r="AG240" s="69"/>
      <c r="AH240" s="69"/>
      <c r="AI240" s="69"/>
      <c r="AJ240" s="69"/>
      <c r="AK240" s="69"/>
      <c r="AL240" s="69"/>
      <c r="AM240" s="69"/>
      <c r="AN240" s="69"/>
      <c r="AO240" s="69"/>
      <c r="AP240" s="69"/>
      <c r="AQ240" s="69"/>
      <c r="AR240" s="69"/>
      <c r="AS240" s="69"/>
      <c r="AT240" s="69"/>
      <c r="AU240" s="69"/>
      <c r="AV240" s="69"/>
      <c r="AW240" s="69"/>
      <c r="AX240" s="69"/>
      <c r="AY240" s="69"/>
      <c r="AZ240" s="69"/>
      <c r="BA240" s="69"/>
      <c r="BB240" s="69"/>
      <c r="BC240" s="69"/>
      <c r="BD240" s="69"/>
      <c r="BE240" s="69"/>
      <c r="BF240" s="69"/>
      <c r="BG240" s="69"/>
      <c r="BH240" s="69"/>
    </row>
    <row r="241" spans="1:60" x14ac:dyDescent="0.25">
      <c r="A241" s="69"/>
      <c r="J241" s="69"/>
      <c r="K241" s="69"/>
      <c r="L241" s="69"/>
      <c r="M241" s="69"/>
      <c r="N241" s="69"/>
      <c r="O241" s="69"/>
      <c r="P241" s="69"/>
      <c r="Q241" s="69"/>
      <c r="R241" s="69"/>
      <c r="S241" s="69"/>
      <c r="T241" s="69"/>
      <c r="U241" s="69"/>
      <c r="V241" s="69"/>
      <c r="W241" s="69"/>
      <c r="X241" s="69"/>
      <c r="Y241" s="69"/>
      <c r="Z241" s="69"/>
      <c r="AA241" s="69"/>
      <c r="AB241" s="69"/>
      <c r="AC241" s="69"/>
      <c r="AD241" s="69"/>
      <c r="AE241" s="69"/>
      <c r="AF241" s="69"/>
      <c r="AG241" s="69"/>
      <c r="AH241" s="69"/>
      <c r="AI241" s="69"/>
      <c r="AJ241" s="69"/>
      <c r="AK241" s="69"/>
      <c r="AL241" s="69"/>
      <c r="AM241" s="69"/>
      <c r="AN241" s="69"/>
      <c r="AO241" s="69"/>
      <c r="AP241" s="69"/>
      <c r="AQ241" s="69"/>
      <c r="AR241" s="69"/>
      <c r="AS241" s="69"/>
      <c r="AT241" s="69"/>
      <c r="AU241" s="69"/>
      <c r="AV241" s="69"/>
      <c r="AW241" s="69"/>
      <c r="AX241" s="69"/>
      <c r="AY241" s="69"/>
      <c r="AZ241" s="69"/>
      <c r="BA241" s="69"/>
      <c r="BB241" s="69"/>
      <c r="BC241" s="69"/>
      <c r="BD241" s="69"/>
      <c r="BE241" s="69"/>
      <c r="BF241" s="69"/>
      <c r="BG241" s="69"/>
      <c r="BH241" s="69"/>
    </row>
    <row r="242" spans="1:60" x14ac:dyDescent="0.25">
      <c r="A242" s="69"/>
      <c r="J242" s="69"/>
      <c r="K242" s="69"/>
      <c r="L242" s="69"/>
      <c r="M242" s="69"/>
      <c r="N242" s="69"/>
      <c r="O242" s="69"/>
      <c r="P242" s="69"/>
      <c r="Q242" s="69"/>
      <c r="R242" s="69"/>
      <c r="S242" s="69"/>
      <c r="T242" s="69"/>
      <c r="U242" s="69"/>
      <c r="V242" s="69"/>
      <c r="W242" s="69"/>
      <c r="X242" s="69"/>
      <c r="Y242" s="69"/>
      <c r="Z242" s="69"/>
      <c r="AA242" s="69"/>
      <c r="AB242" s="69"/>
      <c r="AC242" s="69"/>
      <c r="AD242" s="69"/>
      <c r="AE242" s="69"/>
      <c r="AF242" s="69"/>
      <c r="AG242" s="69"/>
      <c r="AH242" s="69"/>
      <c r="AI242" s="69"/>
      <c r="AJ242" s="69"/>
      <c r="AK242" s="69"/>
      <c r="AL242" s="69"/>
      <c r="AM242" s="69"/>
      <c r="AN242" s="69"/>
      <c r="AO242" s="69"/>
      <c r="AP242" s="69"/>
      <c r="AQ242" s="69"/>
      <c r="AR242" s="69"/>
      <c r="AS242" s="69"/>
      <c r="AT242" s="69"/>
      <c r="AU242" s="69"/>
      <c r="AV242" s="69"/>
      <c r="AW242" s="69"/>
      <c r="AX242" s="69"/>
      <c r="AY242" s="69"/>
      <c r="AZ242" s="69"/>
      <c r="BA242" s="69"/>
      <c r="BB242" s="69"/>
      <c r="BC242" s="69"/>
      <c r="BD242" s="69"/>
      <c r="BE242" s="69"/>
      <c r="BF242" s="69"/>
      <c r="BG242" s="69"/>
      <c r="BH242" s="69"/>
    </row>
    <row r="243" spans="1:60" x14ac:dyDescent="0.25">
      <c r="A243" s="69"/>
      <c r="J243" s="69"/>
      <c r="K243" s="69"/>
      <c r="L243" s="69"/>
      <c r="M243" s="69"/>
      <c r="N243" s="69"/>
      <c r="O243" s="69"/>
      <c r="P243" s="69"/>
      <c r="Q243" s="69"/>
      <c r="R243" s="69"/>
      <c r="S243" s="69"/>
      <c r="T243" s="69"/>
      <c r="U243" s="69"/>
      <c r="V243" s="69"/>
      <c r="W243" s="69"/>
      <c r="X243" s="69"/>
      <c r="Y243" s="69"/>
      <c r="Z243" s="69"/>
      <c r="AA243" s="69"/>
      <c r="AB243" s="69"/>
      <c r="AC243" s="69"/>
      <c r="AD243" s="69"/>
      <c r="AE243" s="69"/>
      <c r="AF243" s="69"/>
      <c r="AG243" s="69"/>
      <c r="AH243" s="69"/>
      <c r="AI243" s="69"/>
      <c r="AJ243" s="69"/>
      <c r="AK243" s="69"/>
      <c r="AL243" s="69"/>
      <c r="AM243" s="69"/>
      <c r="AN243" s="69"/>
      <c r="AO243" s="69"/>
      <c r="AP243" s="69"/>
      <c r="AQ243" s="69"/>
      <c r="AR243" s="69"/>
      <c r="AS243" s="69"/>
      <c r="AT243" s="69"/>
      <c r="AU243" s="69"/>
      <c r="AV243" s="69"/>
      <c r="AW243" s="69"/>
      <c r="AX243" s="69"/>
      <c r="AY243" s="69"/>
      <c r="AZ243" s="69"/>
      <c r="BA243" s="69"/>
      <c r="BB243" s="69"/>
      <c r="BC243" s="69"/>
      <c r="BD243" s="69"/>
      <c r="BE243" s="69"/>
      <c r="BF243" s="69"/>
      <c r="BG243" s="69"/>
      <c r="BH243" s="69"/>
    </row>
    <row r="244" spans="1:60" x14ac:dyDescent="0.25">
      <c r="A244" s="69"/>
      <c r="J244" s="69"/>
      <c r="K244" s="69"/>
      <c r="L244" s="69"/>
      <c r="M244" s="69"/>
      <c r="N244" s="69"/>
      <c r="O244" s="69"/>
      <c r="P244" s="69"/>
      <c r="Q244" s="69"/>
      <c r="R244" s="69"/>
      <c r="S244" s="69"/>
      <c r="T244" s="69"/>
      <c r="U244" s="69"/>
      <c r="V244" s="69"/>
      <c r="W244" s="69"/>
      <c r="X244" s="69"/>
      <c r="Y244" s="69"/>
      <c r="Z244" s="69"/>
      <c r="AA244" s="69"/>
      <c r="AB244" s="69"/>
      <c r="AC244" s="69"/>
      <c r="AD244" s="69"/>
      <c r="AE244" s="69"/>
      <c r="AF244" s="69"/>
      <c r="AG244" s="69"/>
      <c r="AH244" s="69"/>
      <c r="AI244" s="69"/>
      <c r="AJ244" s="69"/>
      <c r="AK244" s="69"/>
      <c r="AL244" s="69"/>
      <c r="AM244" s="69"/>
      <c r="AN244" s="69"/>
      <c r="AO244" s="69"/>
      <c r="AP244" s="69"/>
      <c r="AQ244" s="69"/>
      <c r="AR244" s="69"/>
      <c r="AS244" s="69"/>
      <c r="AT244" s="69"/>
      <c r="AU244" s="69"/>
      <c r="AV244" s="69"/>
      <c r="AW244" s="69"/>
      <c r="AX244" s="69"/>
      <c r="AY244" s="69"/>
      <c r="AZ244" s="69"/>
      <c r="BA244" s="69"/>
      <c r="BB244" s="69"/>
      <c r="BC244" s="69"/>
      <c r="BD244" s="69"/>
      <c r="BE244" s="69"/>
      <c r="BF244" s="69"/>
      <c r="BG244" s="69"/>
      <c r="BH244" s="69"/>
    </row>
    <row r="245" spans="1:60" x14ac:dyDescent="0.25">
      <c r="A245" s="69"/>
    </row>
    <row r="246" spans="1:60" x14ac:dyDescent="0.25">
      <c r="A246" s="69"/>
    </row>
    <row r="247" spans="1:60" x14ac:dyDescent="0.25">
      <c r="A247" s="69"/>
    </row>
    <row r="248" spans="1:60" x14ac:dyDescent="0.25">
      <c r="A248" s="69"/>
    </row>
  </sheetData>
  <mergeCells count="17">
    <mergeCell ref="J56:O61"/>
    <mergeCell ref="P56:U61"/>
    <mergeCell ref="V56:AA61"/>
    <mergeCell ref="AB56:AG61"/>
    <mergeCell ref="AH56:AM61"/>
    <mergeCell ref="E26:I35"/>
    <mergeCell ref="E16:I25"/>
    <mergeCell ref="AO6:AT15"/>
    <mergeCell ref="B2:I4"/>
    <mergeCell ref="J2:AM4"/>
    <mergeCell ref="B6:D55"/>
    <mergeCell ref="E6:I15"/>
    <mergeCell ref="E46:I55"/>
    <mergeCell ref="AO36:AT45"/>
    <mergeCell ref="E36:I45"/>
    <mergeCell ref="AO16:AT25"/>
    <mergeCell ref="AO26:AT35"/>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00B0F0"/>
  </sheetPr>
  <dimension ref="A1:AK55"/>
  <sheetViews>
    <sheetView zoomScale="90" zoomScaleNormal="90" workbookViewId="0">
      <selection activeCell="C7" sqref="C7"/>
    </sheetView>
  </sheetViews>
  <sheetFormatPr baseColWidth="10" defaultColWidth="11.42578125" defaultRowHeight="15" x14ac:dyDescent="0.25"/>
  <cols>
    <col min="2" max="2" width="24.140625" customWidth="1"/>
    <col min="3" max="3" width="70.140625" customWidth="1"/>
    <col min="4" max="4" width="29.85546875" customWidth="1"/>
  </cols>
  <sheetData>
    <row r="1" spans="1:37" ht="23.25" x14ac:dyDescent="0.25">
      <c r="A1" s="69"/>
      <c r="B1" s="661" t="s">
        <v>144</v>
      </c>
      <c r="C1" s="661"/>
      <c r="D1" s="661"/>
      <c r="E1" s="69"/>
      <c r="F1" s="69"/>
      <c r="G1" s="69"/>
      <c r="H1" s="69"/>
      <c r="I1" s="69"/>
      <c r="J1" s="69"/>
      <c r="K1" s="69"/>
      <c r="L1" s="69"/>
      <c r="M1" s="69"/>
      <c r="N1" s="69"/>
      <c r="O1" s="69"/>
      <c r="P1" s="69"/>
      <c r="Q1" s="69"/>
      <c r="R1" s="69"/>
      <c r="S1" s="69"/>
      <c r="T1" s="69"/>
      <c r="U1" s="69"/>
      <c r="V1" s="69"/>
      <c r="W1" s="69"/>
      <c r="X1" s="69"/>
      <c r="Y1" s="69"/>
      <c r="Z1" s="69"/>
      <c r="AA1" s="69"/>
      <c r="AB1" s="69"/>
      <c r="AC1" s="69"/>
      <c r="AD1" s="69"/>
      <c r="AE1" s="69"/>
    </row>
    <row r="2" spans="1:37" x14ac:dyDescent="0.25">
      <c r="A2" s="69"/>
      <c r="B2" s="69"/>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row>
    <row r="3" spans="1:37" ht="25.5" x14ac:dyDescent="0.25">
      <c r="A3" s="69"/>
      <c r="B3" s="3"/>
      <c r="C3" s="4" t="s">
        <v>145</v>
      </c>
      <c r="D3" s="4" t="s">
        <v>128</v>
      </c>
      <c r="E3" s="69"/>
      <c r="F3" s="69"/>
      <c r="G3" s="69"/>
      <c r="H3" s="69"/>
      <c r="I3" s="69"/>
      <c r="J3" s="69"/>
      <c r="K3" s="69"/>
      <c r="L3" s="69"/>
      <c r="M3" s="69"/>
      <c r="N3" s="69"/>
      <c r="O3" s="69"/>
      <c r="P3" s="69"/>
      <c r="Q3" s="69"/>
      <c r="R3" s="69"/>
      <c r="S3" s="69"/>
      <c r="T3" s="69"/>
      <c r="U3" s="69"/>
      <c r="V3" s="69"/>
      <c r="W3" s="69"/>
      <c r="X3" s="69"/>
      <c r="Y3" s="69"/>
      <c r="Z3" s="69"/>
      <c r="AA3" s="69"/>
      <c r="AB3" s="69"/>
      <c r="AC3" s="69"/>
      <c r="AD3" s="69"/>
      <c r="AE3" s="69"/>
    </row>
    <row r="4" spans="1:37" ht="51" x14ac:dyDescent="0.25">
      <c r="A4" s="69"/>
      <c r="B4" s="5" t="s">
        <v>146</v>
      </c>
      <c r="C4" s="6" t="s">
        <v>147</v>
      </c>
      <c r="D4" s="7">
        <v>0.2</v>
      </c>
      <c r="E4" s="69"/>
      <c r="F4" s="69"/>
      <c r="G4" s="69"/>
      <c r="H4" s="69"/>
      <c r="I4" s="69"/>
      <c r="J4" s="69"/>
      <c r="K4" s="69"/>
      <c r="L4" s="69"/>
      <c r="M4" s="69"/>
      <c r="N4" s="69"/>
      <c r="O4" s="69"/>
      <c r="P4" s="69"/>
      <c r="Q4" s="69"/>
      <c r="R4" s="69"/>
      <c r="S4" s="69"/>
      <c r="T4" s="69"/>
      <c r="U4" s="69"/>
      <c r="V4" s="69"/>
      <c r="W4" s="69"/>
      <c r="X4" s="69"/>
      <c r="Y4" s="69"/>
      <c r="Z4" s="69"/>
      <c r="AA4" s="69"/>
      <c r="AB4" s="69"/>
      <c r="AC4" s="69"/>
      <c r="AD4" s="69"/>
      <c r="AE4" s="69"/>
    </row>
    <row r="5" spans="1:37" ht="51" x14ac:dyDescent="0.25">
      <c r="A5" s="69"/>
      <c r="B5" s="8" t="s">
        <v>148</v>
      </c>
      <c r="C5" s="9" t="s">
        <v>149</v>
      </c>
      <c r="D5" s="10">
        <v>0.4</v>
      </c>
      <c r="E5" s="69"/>
      <c r="F5" s="69"/>
      <c r="G5" s="69"/>
      <c r="H5" s="69"/>
      <c r="I5" s="69"/>
      <c r="J5" s="69"/>
      <c r="K5" s="69"/>
      <c r="L5" s="69"/>
      <c r="M5" s="69"/>
      <c r="N5" s="69"/>
      <c r="O5" s="69"/>
      <c r="P5" s="69"/>
      <c r="Q5" s="69"/>
      <c r="R5" s="69"/>
      <c r="S5" s="69"/>
      <c r="T5" s="69"/>
      <c r="U5" s="69"/>
      <c r="V5" s="69"/>
      <c r="W5" s="69"/>
      <c r="X5" s="69"/>
      <c r="Y5" s="69"/>
      <c r="Z5" s="69"/>
      <c r="AA5" s="69"/>
      <c r="AB5" s="69"/>
      <c r="AC5" s="69"/>
      <c r="AD5" s="69"/>
      <c r="AE5" s="69"/>
    </row>
    <row r="6" spans="1:37" ht="51" x14ac:dyDescent="0.25">
      <c r="A6" s="69"/>
      <c r="B6" s="11" t="s">
        <v>150</v>
      </c>
      <c r="C6" s="9" t="s">
        <v>151</v>
      </c>
      <c r="D6" s="10">
        <v>0.6</v>
      </c>
      <c r="E6" s="69"/>
      <c r="F6" s="69"/>
      <c r="G6" s="69"/>
      <c r="H6" s="69"/>
      <c r="I6" s="69"/>
      <c r="J6" s="69"/>
      <c r="K6" s="69"/>
      <c r="L6" s="69"/>
      <c r="M6" s="69"/>
      <c r="N6" s="69"/>
      <c r="O6" s="69"/>
      <c r="P6" s="69"/>
      <c r="Q6" s="69"/>
      <c r="R6" s="69"/>
      <c r="S6" s="69"/>
      <c r="T6" s="69"/>
      <c r="U6" s="69"/>
      <c r="V6" s="69"/>
      <c r="W6" s="69"/>
      <c r="X6" s="69"/>
      <c r="Y6" s="69"/>
      <c r="Z6" s="69"/>
      <c r="AA6" s="69"/>
      <c r="AB6" s="69"/>
      <c r="AC6" s="69"/>
      <c r="AD6" s="69"/>
      <c r="AE6" s="69"/>
    </row>
    <row r="7" spans="1:37" ht="76.5" x14ac:dyDescent="0.25">
      <c r="A7" s="69"/>
      <c r="B7" s="12" t="s">
        <v>152</v>
      </c>
      <c r="C7" s="9" t="s">
        <v>153</v>
      </c>
      <c r="D7" s="10">
        <v>0.8</v>
      </c>
      <c r="E7" s="69"/>
      <c r="F7" s="69"/>
      <c r="G7" s="69"/>
      <c r="H7" s="69"/>
      <c r="I7" s="69"/>
      <c r="J7" s="69"/>
      <c r="K7" s="69"/>
      <c r="L7" s="69"/>
      <c r="M7" s="69"/>
      <c r="N7" s="69"/>
      <c r="O7" s="69"/>
      <c r="P7" s="69"/>
      <c r="Q7" s="69"/>
      <c r="R7" s="69"/>
      <c r="S7" s="69"/>
      <c r="T7" s="69"/>
      <c r="U7" s="69"/>
      <c r="V7" s="69"/>
      <c r="W7" s="69"/>
      <c r="X7" s="69"/>
      <c r="Y7" s="69"/>
      <c r="Z7" s="69"/>
      <c r="AA7" s="69"/>
      <c r="AB7" s="69"/>
      <c r="AC7" s="69"/>
      <c r="AD7" s="69"/>
      <c r="AE7" s="69"/>
    </row>
    <row r="8" spans="1:37" ht="51" x14ac:dyDescent="0.25">
      <c r="A8" s="69"/>
      <c r="B8" s="13" t="s">
        <v>154</v>
      </c>
      <c r="C8" s="9" t="s">
        <v>155</v>
      </c>
      <c r="D8" s="10">
        <v>1</v>
      </c>
      <c r="E8" s="69"/>
      <c r="F8" s="69"/>
      <c r="G8" s="69"/>
      <c r="H8" s="69"/>
      <c r="I8" s="69"/>
      <c r="J8" s="69"/>
      <c r="K8" s="69"/>
      <c r="L8" s="69"/>
      <c r="M8" s="69"/>
      <c r="N8" s="69"/>
      <c r="O8" s="69"/>
      <c r="P8" s="69"/>
      <c r="Q8" s="69"/>
      <c r="R8" s="69"/>
      <c r="S8" s="69"/>
      <c r="T8" s="69"/>
      <c r="U8" s="69"/>
      <c r="V8" s="69"/>
      <c r="W8" s="69"/>
      <c r="X8" s="69"/>
      <c r="Y8" s="69"/>
      <c r="Z8" s="69"/>
      <c r="AA8" s="69"/>
      <c r="AB8" s="69"/>
      <c r="AC8" s="69"/>
      <c r="AD8" s="69"/>
      <c r="AE8" s="69"/>
    </row>
    <row r="9" spans="1:37" x14ac:dyDescent="0.25">
      <c r="A9" s="69"/>
      <c r="B9" s="92"/>
      <c r="C9" s="92"/>
      <c r="D9" s="92"/>
      <c r="E9" s="69"/>
      <c r="F9" s="69"/>
      <c r="G9" s="69"/>
      <c r="H9" s="69"/>
      <c r="I9" s="69"/>
      <c r="J9" s="69"/>
      <c r="K9" s="69"/>
      <c r="L9" s="69"/>
      <c r="M9" s="69"/>
      <c r="N9" s="69"/>
      <c r="O9" s="69"/>
      <c r="P9" s="69"/>
      <c r="Q9" s="69"/>
      <c r="R9" s="69"/>
      <c r="S9" s="69"/>
      <c r="T9" s="69"/>
      <c r="U9" s="69"/>
      <c r="V9" s="69"/>
      <c r="W9" s="69"/>
      <c r="X9" s="69"/>
      <c r="Y9" s="69"/>
      <c r="Z9" s="69"/>
      <c r="AA9" s="69"/>
      <c r="AB9" s="69"/>
      <c r="AC9" s="69"/>
      <c r="AD9" s="69"/>
      <c r="AE9" s="69"/>
      <c r="AF9" s="69"/>
      <c r="AG9" s="69"/>
      <c r="AH9" s="69"/>
      <c r="AI9" s="69"/>
      <c r="AJ9" s="69"/>
      <c r="AK9" s="69"/>
    </row>
    <row r="10" spans="1:37" ht="16.5" x14ac:dyDescent="0.25">
      <c r="A10" s="69"/>
      <c r="B10" s="93"/>
      <c r="C10" s="92"/>
      <c r="D10" s="92"/>
      <c r="E10" s="69"/>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row>
    <row r="11" spans="1:37" x14ac:dyDescent="0.25">
      <c r="A11" s="69"/>
      <c r="B11" s="92"/>
      <c r="C11" s="92"/>
      <c r="D11" s="92"/>
      <c r="E11" s="69"/>
      <c r="F11" s="69"/>
      <c r="G11" s="69"/>
      <c r="H11" s="69"/>
      <c r="I11" s="69"/>
      <c r="J11" s="69"/>
      <c r="K11" s="69"/>
      <c r="L11" s="69"/>
      <c r="M11" s="69"/>
      <c r="N11" s="69"/>
      <c r="O11" s="69"/>
      <c r="P11" s="69"/>
      <c r="Q11" s="69"/>
      <c r="R11" s="69"/>
      <c r="S11" s="69"/>
      <c r="T11" s="69"/>
      <c r="U11" s="69"/>
      <c r="V11" s="69"/>
      <c r="W11" s="69"/>
      <c r="X11" s="69"/>
      <c r="Y11" s="69"/>
      <c r="Z11" s="69"/>
      <c r="AA11" s="69"/>
      <c r="AB11" s="69"/>
      <c r="AC11" s="69"/>
      <c r="AD11" s="69"/>
      <c r="AE11" s="69"/>
      <c r="AF11" s="69"/>
      <c r="AG11" s="69"/>
      <c r="AH11" s="69"/>
      <c r="AI11" s="69"/>
      <c r="AJ11" s="69"/>
      <c r="AK11" s="69"/>
    </row>
    <row r="12" spans="1:37" x14ac:dyDescent="0.25">
      <c r="A12" s="69"/>
      <c r="B12" s="92"/>
      <c r="C12" s="92"/>
      <c r="D12" s="92"/>
      <c r="E12" s="69"/>
      <c r="F12" s="69"/>
      <c r="G12" s="69"/>
      <c r="H12" s="69"/>
      <c r="I12" s="69"/>
      <c r="J12" s="69"/>
      <c r="K12" s="69"/>
      <c r="L12" s="69"/>
      <c r="M12" s="69"/>
      <c r="N12" s="69"/>
      <c r="O12" s="69"/>
      <c r="P12" s="69"/>
      <c r="Q12" s="69"/>
      <c r="R12" s="69"/>
      <c r="S12" s="69"/>
      <c r="T12" s="69"/>
      <c r="U12" s="69"/>
      <c r="V12" s="69"/>
      <c r="W12" s="69"/>
      <c r="X12" s="69"/>
      <c r="Y12" s="69"/>
      <c r="Z12" s="69"/>
      <c r="AA12" s="69"/>
      <c r="AB12" s="69"/>
      <c r="AC12" s="69"/>
      <c r="AD12" s="69"/>
      <c r="AE12" s="69"/>
      <c r="AF12" s="69"/>
      <c r="AG12" s="69"/>
      <c r="AH12" s="69"/>
      <c r="AI12" s="69"/>
      <c r="AJ12" s="69"/>
      <c r="AK12" s="69"/>
    </row>
    <row r="13" spans="1:37" x14ac:dyDescent="0.25">
      <c r="A13" s="69"/>
      <c r="B13" s="92"/>
      <c r="C13" s="92"/>
      <c r="D13" s="92"/>
      <c r="E13" s="69"/>
      <c r="F13" s="69"/>
      <c r="G13" s="69"/>
      <c r="H13" s="69"/>
      <c r="I13" s="69"/>
      <c r="J13" s="69"/>
      <c r="K13" s="69"/>
      <c r="L13" s="69"/>
      <c r="M13" s="69"/>
      <c r="N13" s="69"/>
      <c r="O13" s="69"/>
      <c r="P13" s="69"/>
      <c r="Q13" s="69"/>
      <c r="R13" s="69"/>
      <c r="S13" s="69"/>
      <c r="T13" s="69"/>
      <c r="U13" s="69"/>
      <c r="V13" s="69"/>
      <c r="W13" s="69"/>
      <c r="X13" s="69"/>
      <c r="Y13" s="69"/>
      <c r="Z13" s="69"/>
      <c r="AA13" s="69"/>
      <c r="AB13" s="69"/>
      <c r="AC13" s="69"/>
      <c r="AD13" s="69"/>
      <c r="AE13" s="69"/>
      <c r="AF13" s="69"/>
      <c r="AG13" s="69"/>
      <c r="AH13" s="69"/>
      <c r="AI13" s="69"/>
      <c r="AJ13" s="69"/>
      <c r="AK13" s="69"/>
    </row>
    <row r="14" spans="1:37" x14ac:dyDescent="0.25">
      <c r="A14" s="69"/>
      <c r="B14" s="92"/>
      <c r="C14" s="92"/>
      <c r="D14" s="92"/>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row>
    <row r="15" spans="1:37" x14ac:dyDescent="0.25">
      <c r="A15" s="69"/>
      <c r="B15" s="92"/>
      <c r="C15" s="92"/>
      <c r="D15" s="92"/>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row>
    <row r="16" spans="1:37" x14ac:dyDescent="0.25">
      <c r="A16" s="69"/>
      <c r="B16" s="92"/>
      <c r="C16" s="92"/>
      <c r="D16" s="92"/>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row>
    <row r="17" spans="1:37" x14ac:dyDescent="0.25">
      <c r="A17" s="69"/>
      <c r="B17" s="92"/>
      <c r="C17" s="92"/>
      <c r="D17" s="92"/>
      <c r="E17" s="69"/>
      <c r="F17" s="69"/>
      <c r="G17" s="69"/>
      <c r="H17" s="69"/>
      <c r="I17" s="69"/>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c r="AJ17" s="69"/>
      <c r="AK17" s="69"/>
    </row>
    <row r="18" spans="1:37" x14ac:dyDescent="0.25">
      <c r="A18" s="69"/>
      <c r="B18" s="92"/>
      <c r="C18" s="92"/>
      <c r="D18" s="92"/>
      <c r="E18" s="69"/>
      <c r="F18" s="69"/>
      <c r="G18" s="69"/>
      <c r="H18" s="69"/>
      <c r="I18" s="69"/>
      <c r="J18" s="69"/>
      <c r="K18" s="69"/>
      <c r="L18" s="69"/>
      <c r="M18" s="69"/>
      <c r="N18" s="69"/>
      <c r="O18" s="69"/>
      <c r="P18" s="69"/>
      <c r="Q18" s="69"/>
      <c r="R18" s="69"/>
      <c r="S18" s="69"/>
      <c r="T18" s="69"/>
      <c r="U18" s="69"/>
      <c r="V18" s="69"/>
      <c r="W18" s="69"/>
      <c r="X18" s="69"/>
      <c r="Y18" s="69"/>
      <c r="Z18" s="69"/>
      <c r="AA18" s="69"/>
      <c r="AB18" s="69"/>
      <c r="AC18" s="69"/>
      <c r="AD18" s="69"/>
      <c r="AE18" s="69"/>
      <c r="AF18" s="69"/>
      <c r="AG18" s="69"/>
      <c r="AH18" s="69"/>
      <c r="AI18" s="69"/>
      <c r="AJ18" s="69"/>
      <c r="AK18" s="69"/>
    </row>
    <row r="19" spans="1:37" x14ac:dyDescent="0.25">
      <c r="A19" s="69"/>
      <c r="B19" s="69"/>
      <c r="C19" s="69"/>
      <c r="D19" s="69"/>
      <c r="E19" s="69"/>
      <c r="F19" s="69"/>
      <c r="G19" s="69"/>
      <c r="H19" s="69"/>
      <c r="I19" s="69"/>
      <c r="J19" s="69"/>
      <c r="K19" s="69"/>
      <c r="L19" s="69"/>
      <c r="M19" s="69"/>
      <c r="N19" s="69"/>
      <c r="O19" s="69"/>
      <c r="P19" s="69"/>
      <c r="Q19" s="69"/>
      <c r="R19" s="69"/>
      <c r="S19" s="69"/>
      <c r="T19" s="69"/>
      <c r="U19" s="69"/>
      <c r="V19" s="69"/>
      <c r="W19" s="69"/>
      <c r="X19" s="69"/>
      <c r="Y19" s="69"/>
      <c r="Z19" s="69"/>
      <c r="AA19" s="69"/>
      <c r="AB19" s="69"/>
      <c r="AC19" s="69"/>
      <c r="AD19" s="69"/>
      <c r="AE19" s="69"/>
      <c r="AF19" s="69"/>
      <c r="AG19" s="69"/>
      <c r="AH19" s="69"/>
      <c r="AI19" s="69"/>
      <c r="AJ19" s="69"/>
      <c r="AK19" s="69"/>
    </row>
    <row r="20" spans="1:37" x14ac:dyDescent="0.25">
      <c r="A20" s="69"/>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row>
    <row r="21" spans="1:37" x14ac:dyDescent="0.25">
      <c r="A21" s="69"/>
      <c r="B21" s="69"/>
      <c r="C21" s="69"/>
      <c r="D21" s="69"/>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row>
    <row r="22" spans="1:37" x14ac:dyDescent="0.25">
      <c r="A22" s="69"/>
      <c r="B22" s="69"/>
      <c r="C22" s="69"/>
      <c r="D22" s="69"/>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row>
    <row r="23" spans="1:37" x14ac:dyDescent="0.25">
      <c r="A23" s="69"/>
      <c r="B23" s="69"/>
      <c r="C23" s="69"/>
      <c r="D23" s="69"/>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row>
    <row r="24" spans="1:37" x14ac:dyDescent="0.25">
      <c r="A24" s="69"/>
      <c r="B24" s="69"/>
      <c r="C24" s="69"/>
      <c r="D24" s="69"/>
      <c r="E24" s="69"/>
      <c r="F24" s="69"/>
      <c r="G24" s="69"/>
      <c r="H24" s="69"/>
      <c r="I24" s="69"/>
      <c r="J24" s="69"/>
      <c r="K24" s="69"/>
      <c r="L24" s="69"/>
      <c r="M24" s="69"/>
      <c r="N24" s="69"/>
      <c r="O24" s="69"/>
      <c r="P24" s="69"/>
      <c r="Q24" s="69"/>
      <c r="R24" s="69"/>
      <c r="S24" s="69"/>
      <c r="T24" s="69"/>
      <c r="U24" s="69"/>
      <c r="V24" s="69"/>
      <c r="W24" s="69"/>
      <c r="X24" s="69"/>
      <c r="Y24" s="69"/>
      <c r="Z24" s="69"/>
      <c r="AA24" s="69"/>
      <c r="AB24" s="69"/>
      <c r="AC24" s="69"/>
      <c r="AD24" s="69"/>
      <c r="AE24" s="69"/>
      <c r="AF24" s="69"/>
      <c r="AG24" s="69"/>
      <c r="AH24" s="69"/>
      <c r="AI24" s="69"/>
      <c r="AJ24" s="69"/>
      <c r="AK24" s="69"/>
    </row>
    <row r="25" spans="1:37"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c r="Y25" s="69"/>
      <c r="Z25" s="69"/>
      <c r="AA25" s="69"/>
      <c r="AB25" s="69"/>
      <c r="AC25" s="69"/>
      <c r="AD25" s="69"/>
      <c r="AE25" s="69"/>
      <c r="AF25" s="69"/>
      <c r="AG25" s="69"/>
      <c r="AH25" s="69"/>
      <c r="AI25" s="69"/>
      <c r="AJ25" s="69"/>
      <c r="AK25" s="69"/>
    </row>
    <row r="26" spans="1:37" x14ac:dyDescent="0.25">
      <c r="A26" s="69"/>
      <c r="B26" s="69"/>
      <c r="C26" s="69"/>
      <c r="D26" s="69"/>
      <c r="E26" s="69"/>
      <c r="F26" s="69"/>
      <c r="G26" s="69"/>
      <c r="H26" s="69"/>
      <c r="I26" s="69"/>
      <c r="J26" s="69"/>
      <c r="K26" s="69"/>
      <c r="L26" s="69"/>
      <c r="M26" s="69"/>
      <c r="N26" s="69"/>
      <c r="O26" s="69"/>
      <c r="P26" s="69"/>
      <c r="Q26" s="69"/>
      <c r="R26" s="69"/>
      <c r="S26" s="69"/>
      <c r="T26" s="69"/>
      <c r="U26" s="69"/>
      <c r="V26" s="69"/>
      <c r="W26" s="69"/>
      <c r="X26" s="69"/>
      <c r="Y26" s="69"/>
      <c r="Z26" s="69"/>
      <c r="AA26" s="69"/>
      <c r="AB26" s="69"/>
      <c r="AC26" s="69"/>
      <c r="AD26" s="69"/>
      <c r="AE26" s="69"/>
      <c r="AF26" s="69"/>
      <c r="AG26" s="69"/>
      <c r="AH26" s="69"/>
      <c r="AI26" s="69"/>
      <c r="AJ26" s="69"/>
      <c r="AK26" s="69"/>
    </row>
    <row r="27" spans="1:37" x14ac:dyDescent="0.25">
      <c r="A27" s="69"/>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row>
    <row r="28" spans="1:37"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row>
    <row r="29" spans="1:37" x14ac:dyDescent="0.25">
      <c r="A29" s="69"/>
      <c r="B29" s="69"/>
      <c r="C29" s="69"/>
      <c r="D29" s="69"/>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row>
    <row r="30" spans="1:37" x14ac:dyDescent="0.25">
      <c r="A30" s="69"/>
      <c r="B30" s="69"/>
      <c r="C30" s="69"/>
      <c r="D30" s="69"/>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row>
    <row r="31" spans="1:37" x14ac:dyDescent="0.25">
      <c r="A31" s="69"/>
      <c r="B31" s="69"/>
      <c r="C31" s="69"/>
      <c r="D31" s="69"/>
      <c r="E31" s="69"/>
      <c r="F31" s="69"/>
      <c r="G31" s="69"/>
      <c r="H31" s="69"/>
      <c r="I31" s="69"/>
      <c r="J31" s="69"/>
      <c r="K31" s="69"/>
      <c r="L31" s="69"/>
      <c r="M31" s="69"/>
      <c r="N31" s="69"/>
      <c r="O31" s="69"/>
      <c r="P31" s="69"/>
      <c r="Q31" s="69"/>
      <c r="R31" s="69"/>
      <c r="S31" s="69"/>
      <c r="T31" s="69"/>
      <c r="U31" s="69"/>
      <c r="V31" s="69"/>
      <c r="W31" s="69"/>
      <c r="X31" s="69"/>
      <c r="Y31" s="69"/>
      <c r="Z31" s="69"/>
      <c r="AA31" s="69"/>
      <c r="AB31" s="69"/>
      <c r="AC31" s="69"/>
      <c r="AD31" s="69"/>
      <c r="AE31" s="69"/>
      <c r="AF31" s="69"/>
      <c r="AG31" s="69"/>
      <c r="AH31" s="69"/>
      <c r="AI31" s="69"/>
      <c r="AJ31" s="69"/>
      <c r="AK31" s="69"/>
    </row>
    <row r="32" spans="1:37" x14ac:dyDescent="0.25">
      <c r="A32" s="69"/>
      <c r="B32" s="69"/>
      <c r="C32" s="69"/>
      <c r="D32" s="69"/>
      <c r="E32" s="69"/>
      <c r="F32" s="69"/>
      <c r="G32" s="69"/>
      <c r="H32" s="69"/>
      <c r="I32" s="69"/>
      <c r="J32" s="69"/>
      <c r="K32" s="69"/>
      <c r="L32" s="69"/>
      <c r="M32" s="69"/>
      <c r="N32" s="69"/>
      <c r="O32" s="69"/>
      <c r="P32" s="69"/>
      <c r="Q32" s="69"/>
      <c r="R32" s="69"/>
      <c r="S32" s="69"/>
      <c r="T32" s="69"/>
      <c r="U32" s="69"/>
      <c r="V32" s="69"/>
      <c r="W32" s="69"/>
      <c r="X32" s="69"/>
      <c r="Y32" s="69"/>
      <c r="Z32" s="69"/>
      <c r="AA32" s="69"/>
      <c r="AB32" s="69"/>
      <c r="AC32" s="69"/>
      <c r="AD32" s="69"/>
      <c r="AE32" s="69"/>
      <c r="AF32" s="69"/>
      <c r="AG32" s="69"/>
      <c r="AH32" s="69"/>
      <c r="AI32" s="69"/>
      <c r="AJ32" s="69"/>
      <c r="AK32" s="69"/>
    </row>
    <row r="33" spans="1:31" x14ac:dyDescent="0.25">
      <c r="A33" s="69"/>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69"/>
      <c r="AE33" s="69"/>
    </row>
    <row r="34" spans="1:31" x14ac:dyDescent="0.25">
      <c r="A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row>
    <row r="35" spans="1:31" x14ac:dyDescent="0.25">
      <c r="A35" s="69"/>
    </row>
    <row r="36" spans="1:31" x14ac:dyDescent="0.25">
      <c r="A36" s="69"/>
    </row>
    <row r="37" spans="1:31" x14ac:dyDescent="0.25">
      <c r="A37" s="69"/>
    </row>
    <row r="38" spans="1:31" x14ac:dyDescent="0.25">
      <c r="A38" s="69"/>
    </row>
    <row r="39" spans="1:31" x14ac:dyDescent="0.25">
      <c r="A39" s="69"/>
    </row>
    <row r="40" spans="1:31" x14ac:dyDescent="0.25">
      <c r="A40" s="69"/>
    </row>
    <row r="41" spans="1:31" x14ac:dyDescent="0.25">
      <c r="A41" s="69"/>
    </row>
    <row r="42" spans="1:31" x14ac:dyDescent="0.25">
      <c r="A42" s="69"/>
    </row>
    <row r="43" spans="1:31" x14ac:dyDescent="0.25">
      <c r="A43" s="69"/>
    </row>
    <row r="44" spans="1:31" x14ac:dyDescent="0.25">
      <c r="A44" s="69"/>
    </row>
    <row r="45" spans="1:31" x14ac:dyDescent="0.25">
      <c r="A45" s="69"/>
    </row>
    <row r="46" spans="1:31" x14ac:dyDescent="0.25">
      <c r="A46" s="69"/>
    </row>
    <row r="47" spans="1:31" x14ac:dyDescent="0.25">
      <c r="A47" s="69"/>
    </row>
    <row r="48" spans="1:31" x14ac:dyDescent="0.25">
      <c r="A48" s="69"/>
    </row>
    <row r="49" spans="1:1" x14ac:dyDescent="0.25">
      <c r="A49" s="69"/>
    </row>
    <row r="50" spans="1:1" x14ac:dyDescent="0.25">
      <c r="A50" s="69"/>
    </row>
    <row r="51" spans="1:1" x14ac:dyDescent="0.25">
      <c r="A51" s="69"/>
    </row>
    <row r="52" spans="1:1" x14ac:dyDescent="0.25">
      <c r="A52" s="69"/>
    </row>
    <row r="53" spans="1:1" x14ac:dyDescent="0.25">
      <c r="A53" s="69"/>
    </row>
    <row r="54" spans="1:1" x14ac:dyDescent="0.25">
      <c r="A54" s="69"/>
    </row>
    <row r="55" spans="1:1" x14ac:dyDescent="0.25">
      <c r="A55" s="69"/>
    </row>
  </sheetData>
  <mergeCells count="1">
    <mergeCell ref="B1:D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3"/>
  <dimension ref="A1:BR71"/>
  <sheetViews>
    <sheetView view="pageBreakPreview" topLeftCell="A20" zoomScale="40" zoomScaleNormal="10" zoomScaleSheetLayoutView="40" workbookViewId="0">
      <selection activeCell="N12" sqref="A12:XFD41"/>
    </sheetView>
  </sheetViews>
  <sheetFormatPr baseColWidth="10" defaultColWidth="11.42578125" defaultRowHeight="16.5" x14ac:dyDescent="0.3"/>
  <cols>
    <col min="1" max="1" width="80.7109375" style="149" customWidth="1"/>
    <col min="2" max="2" width="20.5703125" style="149" bestFit="1" customWidth="1"/>
    <col min="3" max="4" width="90.85546875" style="149" customWidth="1"/>
    <col min="5" max="5" width="42.5703125" style="149" customWidth="1"/>
    <col min="6" max="6" width="90.85546875" style="149" customWidth="1"/>
    <col min="7" max="8" width="48" style="149" customWidth="1"/>
    <col min="9" max="10" width="90.85546875" style="149" customWidth="1"/>
    <col min="11" max="11" width="39.28515625" style="149" customWidth="1"/>
    <col min="12" max="12" width="40.14062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0.5" customHeight="1" x14ac:dyDescent="0.35">
      <c r="A2" s="514" t="s">
        <v>60</v>
      </c>
      <c r="B2" s="515"/>
      <c r="C2" s="515"/>
      <c r="D2" s="499" t="s">
        <v>106</v>
      </c>
      <c r="E2" s="500"/>
      <c r="F2" s="500"/>
      <c r="G2" s="500"/>
      <c r="H2" s="500"/>
      <c r="I2" s="500"/>
      <c r="J2" s="500"/>
      <c r="K2" s="500"/>
      <c r="L2" s="501"/>
      <c r="M2" s="516" t="s">
        <v>107</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518"/>
      <c r="B3" s="519"/>
      <c r="C3" s="519"/>
      <c r="D3" s="502" t="s">
        <v>63</v>
      </c>
      <c r="E3" s="503"/>
      <c r="F3" s="503"/>
      <c r="G3" s="503"/>
      <c r="H3" s="503"/>
      <c r="I3" s="503"/>
      <c r="J3" s="503"/>
      <c r="K3" s="503"/>
      <c r="L3" s="504"/>
      <c r="M3" s="517"/>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518"/>
      <c r="B4" s="519"/>
      <c r="C4" s="519"/>
      <c r="D4" s="505"/>
      <c r="E4" s="506"/>
      <c r="F4" s="506"/>
      <c r="G4" s="506"/>
      <c r="H4" s="506"/>
      <c r="I4" s="506"/>
      <c r="J4" s="506"/>
      <c r="K4" s="506"/>
      <c r="L4" s="507"/>
      <c r="M4" s="165"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518"/>
      <c r="B5" s="519"/>
      <c r="C5" s="519"/>
      <c r="D5" s="508" t="s">
        <v>65</v>
      </c>
      <c r="E5" s="509"/>
      <c r="F5" s="509"/>
      <c r="G5" s="509"/>
      <c r="H5" s="509"/>
      <c r="I5" s="509"/>
      <c r="J5" s="509"/>
      <c r="K5" s="509"/>
      <c r="L5" s="510"/>
      <c r="M5" s="165" t="s">
        <v>108</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518"/>
      <c r="B6" s="519"/>
      <c r="C6" s="519"/>
      <c r="D6" s="511" t="s">
        <v>67</v>
      </c>
      <c r="E6" s="512"/>
      <c r="F6" s="512"/>
      <c r="G6" s="512"/>
      <c r="H6" s="512"/>
      <c r="I6" s="512"/>
      <c r="J6" s="512"/>
      <c r="K6" s="512"/>
      <c r="L6" s="513"/>
      <c r="M6" s="17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520"/>
      <c r="B7" s="521"/>
      <c r="C7" s="521"/>
      <c r="D7" s="521"/>
      <c r="E7" s="521"/>
      <c r="F7" s="521"/>
      <c r="G7" s="521"/>
      <c r="H7" s="521"/>
      <c r="I7" s="521"/>
      <c r="J7" s="521"/>
      <c r="K7" s="521"/>
      <c r="L7" s="521"/>
      <c r="M7" s="522"/>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663" t="s">
        <v>944</v>
      </c>
      <c r="B9" s="664"/>
      <c r="C9" s="664"/>
      <c r="D9" s="664"/>
      <c r="E9" s="664"/>
      <c r="F9" s="664"/>
      <c r="G9" s="664"/>
      <c r="H9" s="664"/>
      <c r="I9" s="664"/>
      <c r="J9" s="664"/>
      <c r="K9" s="664"/>
      <c r="L9" s="664"/>
      <c r="M9" s="664"/>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89.25" customHeight="1" x14ac:dyDescent="0.35">
      <c r="A10" s="665" t="s">
        <v>109</v>
      </c>
      <c r="B10" s="665" t="s">
        <v>110</v>
      </c>
      <c r="C10" s="665"/>
      <c r="D10" s="665" t="s">
        <v>111</v>
      </c>
      <c r="E10" s="665" t="s">
        <v>112</v>
      </c>
      <c r="F10" s="665" t="s">
        <v>113</v>
      </c>
      <c r="G10" s="665"/>
      <c r="H10" s="665"/>
      <c r="I10" s="665"/>
      <c r="J10" s="665"/>
      <c r="K10" s="665"/>
      <c r="L10" s="665"/>
      <c r="M10" s="665"/>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189" customHeight="1" x14ac:dyDescent="0.35">
      <c r="A11" s="665"/>
      <c r="B11" s="155" t="s">
        <v>114</v>
      </c>
      <c r="C11" s="155" t="s">
        <v>21</v>
      </c>
      <c r="D11" s="665"/>
      <c r="E11" s="665"/>
      <c r="F11" s="155" t="s">
        <v>115</v>
      </c>
      <c r="G11" s="155" t="s">
        <v>116</v>
      </c>
      <c r="H11" s="155" t="s">
        <v>126</v>
      </c>
      <c r="I11" s="155" t="s">
        <v>156</v>
      </c>
      <c r="J11" s="155" t="s">
        <v>124</v>
      </c>
      <c r="K11" s="155" t="s">
        <v>93</v>
      </c>
      <c r="L11" s="155" t="s">
        <v>120</v>
      </c>
      <c r="M11" s="155" t="s">
        <v>121</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s="147" customFormat="1" ht="111" customHeight="1" x14ac:dyDescent="0.3">
      <c r="A12" s="662" t="str">
        <f>A9</f>
        <v>MATRIZ DE MONITOREO DE RIESGOS IV TRIMESTRE
 (OCTUBRE - DICIEMBRE)</v>
      </c>
      <c r="B12" s="433" t="str">
        <f>'Mapa final'!$B$13</f>
        <v>GBG_02</v>
      </c>
      <c r="C12" s="434" t="str">
        <f>'Mapa final'!$H$13</f>
        <v>Posibilidad de afectación económica y reputacional por multas y sanciones, debido a la vinculación de personas naturales y/o jurídicas, sin considerar los lineamientos contemplados relacionados con conflictos de interés. (Política de Integridad).</v>
      </c>
      <c r="D12" s="466"/>
      <c r="E12" s="467"/>
      <c r="F12" s="463" t="str">
        <f t="shared" ref="F12:M12" si="0">IFERROR(IF($E12="","No",IF($E12="No","No"," "))," ")</f>
        <v>No</v>
      </c>
      <c r="G12" s="463" t="str">
        <f t="shared" si="0"/>
        <v>No</v>
      </c>
      <c r="H12" s="463" t="str">
        <f t="shared" si="0"/>
        <v>No</v>
      </c>
      <c r="I12" s="463" t="str">
        <f t="shared" si="0"/>
        <v>No</v>
      </c>
      <c r="J12" s="463" t="str">
        <f t="shared" si="0"/>
        <v>No</v>
      </c>
      <c r="K12" s="463" t="str">
        <f t="shared" si="0"/>
        <v>No</v>
      </c>
      <c r="L12" s="463" t="str">
        <f t="shared" si="0"/>
        <v>No</v>
      </c>
      <c r="M12" s="463" t="str">
        <f t="shared" si="0"/>
        <v>No</v>
      </c>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c r="AQ12" s="146"/>
      <c r="AR12" s="146"/>
      <c r="AS12" s="146"/>
      <c r="AT12" s="146"/>
      <c r="AU12" s="146"/>
      <c r="AV12" s="146"/>
      <c r="AW12" s="146"/>
      <c r="AX12" s="146"/>
      <c r="AY12" s="146"/>
      <c r="AZ12" s="146"/>
      <c r="BA12" s="146"/>
      <c r="BB12" s="146"/>
      <c r="BC12" s="146"/>
      <c r="BD12" s="146"/>
      <c r="BE12" s="146"/>
      <c r="BF12" s="146"/>
      <c r="BG12" s="146"/>
      <c r="BH12" s="146"/>
      <c r="BI12" s="146"/>
      <c r="BJ12" s="146"/>
      <c r="BK12" s="146"/>
      <c r="BL12" s="146"/>
      <c r="BM12" s="146"/>
      <c r="BN12" s="146"/>
      <c r="BO12" s="146"/>
      <c r="BP12" s="146"/>
      <c r="BQ12" s="146"/>
      <c r="BR12" s="146"/>
    </row>
    <row r="13" spans="1:70" s="147" customFormat="1" ht="111" customHeight="1" x14ac:dyDescent="0.3">
      <c r="A13" s="662"/>
      <c r="B13" s="433"/>
      <c r="C13" s="434"/>
      <c r="D13" s="466"/>
      <c r="E13" s="467"/>
      <c r="F13" s="463"/>
      <c r="G13" s="463"/>
      <c r="H13" s="463"/>
      <c r="I13" s="463"/>
      <c r="J13" s="463"/>
      <c r="K13" s="463"/>
      <c r="L13" s="463"/>
      <c r="M13" s="463"/>
      <c r="N13" s="146"/>
      <c r="O13" s="146"/>
      <c r="P13" s="146"/>
      <c r="Q13" s="146"/>
      <c r="R13" s="146"/>
      <c r="S13" s="146"/>
      <c r="T13" s="146"/>
      <c r="U13" s="146"/>
      <c r="V13" s="146"/>
      <c r="W13" s="146"/>
      <c r="X13" s="146"/>
      <c r="Y13" s="146"/>
      <c r="Z13" s="146"/>
      <c r="AA13" s="146"/>
      <c r="AB13" s="146"/>
      <c r="AC13" s="146"/>
      <c r="AD13" s="146"/>
      <c r="AE13" s="146"/>
      <c r="AF13" s="146"/>
      <c r="AG13" s="146"/>
      <c r="AH13" s="146"/>
      <c r="AI13" s="146"/>
      <c r="AJ13" s="146"/>
      <c r="AK13" s="146"/>
      <c r="AL13" s="146"/>
      <c r="AM13" s="146"/>
      <c r="AN13" s="146"/>
      <c r="AO13" s="146"/>
      <c r="AP13" s="146"/>
      <c r="AQ13" s="146"/>
      <c r="AR13" s="146"/>
      <c r="AS13" s="146"/>
      <c r="AT13" s="146"/>
      <c r="AU13" s="146"/>
      <c r="AV13" s="146"/>
      <c r="AW13" s="146"/>
      <c r="AX13" s="146"/>
      <c r="AY13" s="146"/>
      <c r="AZ13" s="146"/>
      <c r="BA13" s="146"/>
      <c r="BB13" s="146"/>
      <c r="BC13" s="146"/>
      <c r="BD13" s="146"/>
      <c r="BE13" s="146"/>
      <c r="BF13" s="146"/>
      <c r="BG13" s="146"/>
      <c r="BH13" s="146"/>
      <c r="BI13" s="146"/>
      <c r="BJ13" s="146"/>
      <c r="BK13" s="146"/>
      <c r="BL13" s="146"/>
      <c r="BM13" s="146"/>
      <c r="BN13" s="146"/>
      <c r="BO13" s="146"/>
      <c r="BP13" s="146"/>
      <c r="BQ13" s="146"/>
      <c r="BR13" s="146"/>
    </row>
    <row r="14" spans="1:70" s="147" customFormat="1" ht="111" customHeight="1" x14ac:dyDescent="0.3">
      <c r="A14" s="662"/>
      <c r="B14" s="433"/>
      <c r="C14" s="434"/>
      <c r="D14" s="466"/>
      <c r="E14" s="467"/>
      <c r="F14" s="463"/>
      <c r="G14" s="463"/>
      <c r="H14" s="463"/>
      <c r="I14" s="463"/>
      <c r="J14" s="463"/>
      <c r="K14" s="463"/>
      <c r="L14" s="463"/>
      <c r="M14" s="463"/>
      <c r="N14" s="146"/>
      <c r="O14" s="146"/>
      <c r="P14" s="146"/>
      <c r="Q14" s="146"/>
      <c r="R14" s="146"/>
      <c r="S14" s="146"/>
      <c r="T14" s="146"/>
      <c r="U14" s="146"/>
      <c r="V14" s="146"/>
      <c r="W14" s="146"/>
      <c r="X14" s="146"/>
      <c r="Y14" s="146"/>
      <c r="Z14" s="146"/>
      <c r="AA14" s="146"/>
      <c r="AB14" s="146"/>
      <c r="AC14" s="146"/>
      <c r="AD14" s="146"/>
      <c r="AE14" s="146"/>
      <c r="AF14" s="146"/>
      <c r="AG14" s="146"/>
      <c r="AH14" s="146"/>
      <c r="AI14" s="146"/>
      <c r="AJ14" s="146"/>
      <c r="AK14" s="146"/>
      <c r="AL14" s="146"/>
      <c r="AM14" s="146"/>
      <c r="AN14" s="146"/>
      <c r="AO14" s="146"/>
      <c r="AP14" s="146"/>
      <c r="AQ14" s="146"/>
      <c r="AR14" s="146"/>
      <c r="AS14" s="146"/>
      <c r="AT14" s="146"/>
      <c r="AU14" s="146"/>
      <c r="AV14" s="146"/>
      <c r="AW14" s="146"/>
      <c r="AX14" s="146"/>
      <c r="AY14" s="146"/>
      <c r="AZ14" s="146"/>
      <c r="BA14" s="146"/>
      <c r="BB14" s="146"/>
      <c r="BC14" s="146"/>
      <c r="BD14" s="146"/>
      <c r="BE14" s="146"/>
      <c r="BF14" s="146"/>
      <c r="BG14" s="146"/>
      <c r="BH14" s="146"/>
      <c r="BI14" s="146"/>
      <c r="BJ14" s="146"/>
      <c r="BK14" s="146"/>
      <c r="BL14" s="146"/>
      <c r="BM14" s="146"/>
      <c r="BN14" s="146"/>
      <c r="BO14" s="146"/>
      <c r="BP14" s="146"/>
      <c r="BQ14" s="146"/>
      <c r="BR14" s="146"/>
    </row>
    <row r="15" spans="1:70" s="147" customFormat="1" ht="111" customHeight="1" x14ac:dyDescent="0.3">
      <c r="A15" s="662"/>
      <c r="B15" s="433" t="str">
        <f>'Mapa final'!$B$15</f>
        <v>GBG_03</v>
      </c>
      <c r="C15" s="434" t="str">
        <f>'Mapa final'!$H$15</f>
        <v>Posibilidad de afectación económica y reputacional por demandas legales y sanciones, debido a la omisión de la declaración de impedimento o recusación ante la posibilidad real o aparente de un conflicto de interés.</v>
      </c>
      <c r="D15" s="466"/>
      <c r="E15" s="467"/>
      <c r="F15" s="463" t="str">
        <f t="shared" ref="F15:M39" si="1">IFERROR(IF($E15="","No",IF($E15="No","No"," "))," ")</f>
        <v>No</v>
      </c>
      <c r="G15" s="463" t="str">
        <f t="shared" si="1"/>
        <v>No</v>
      </c>
      <c r="H15" s="463" t="str">
        <f t="shared" si="1"/>
        <v>No</v>
      </c>
      <c r="I15" s="463" t="str">
        <f t="shared" si="1"/>
        <v>No</v>
      </c>
      <c r="J15" s="463" t="str">
        <f t="shared" si="1"/>
        <v>No</v>
      </c>
      <c r="K15" s="463" t="str">
        <f t="shared" si="1"/>
        <v>No</v>
      </c>
      <c r="L15" s="463" t="str">
        <f t="shared" si="1"/>
        <v>No</v>
      </c>
      <c r="M15" s="463" t="str">
        <f t="shared" si="1"/>
        <v>No</v>
      </c>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6"/>
      <c r="AP15" s="146"/>
      <c r="AQ15" s="146"/>
      <c r="AR15" s="146"/>
      <c r="AS15" s="146"/>
      <c r="AT15" s="146"/>
      <c r="AU15" s="146"/>
      <c r="AV15" s="146"/>
      <c r="AW15" s="146"/>
      <c r="AX15" s="146"/>
      <c r="AY15" s="146"/>
      <c r="AZ15" s="146"/>
      <c r="BA15" s="146"/>
      <c r="BB15" s="146"/>
      <c r="BC15" s="146"/>
      <c r="BD15" s="146"/>
      <c r="BE15" s="146"/>
      <c r="BF15" s="146"/>
      <c r="BG15" s="146"/>
      <c r="BH15" s="146"/>
      <c r="BI15" s="146"/>
      <c r="BJ15" s="146"/>
      <c r="BK15" s="146"/>
      <c r="BL15" s="146"/>
      <c r="BM15" s="146"/>
      <c r="BN15" s="146"/>
      <c r="BO15" s="146"/>
      <c r="BP15" s="146"/>
      <c r="BQ15" s="146"/>
      <c r="BR15" s="146"/>
    </row>
    <row r="16" spans="1:70" s="147" customFormat="1" ht="111" customHeight="1" x14ac:dyDescent="0.3">
      <c r="A16" s="662"/>
      <c r="B16" s="433"/>
      <c r="C16" s="434"/>
      <c r="D16" s="466"/>
      <c r="E16" s="467"/>
      <c r="F16" s="463"/>
      <c r="G16" s="463"/>
      <c r="H16" s="463"/>
      <c r="I16" s="463"/>
      <c r="J16" s="463"/>
      <c r="K16" s="463"/>
      <c r="L16" s="463"/>
      <c r="M16" s="463"/>
      <c r="N16" s="146"/>
      <c r="O16" s="146"/>
      <c r="P16" s="146"/>
      <c r="Q16" s="146"/>
      <c r="R16" s="146"/>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46"/>
      <c r="AP16" s="146"/>
      <c r="AQ16" s="146"/>
      <c r="AR16" s="146"/>
      <c r="AS16" s="146"/>
      <c r="AT16" s="146"/>
      <c r="AU16" s="146"/>
      <c r="AV16" s="146"/>
      <c r="AW16" s="146"/>
      <c r="AX16" s="146"/>
      <c r="AY16" s="146"/>
      <c r="AZ16" s="146"/>
      <c r="BA16" s="146"/>
      <c r="BB16" s="146"/>
      <c r="BC16" s="146"/>
      <c r="BD16" s="146"/>
      <c r="BE16" s="146"/>
      <c r="BF16" s="146"/>
      <c r="BG16" s="146"/>
      <c r="BH16" s="146"/>
      <c r="BI16" s="146"/>
      <c r="BJ16" s="146"/>
      <c r="BK16" s="146"/>
      <c r="BL16" s="146"/>
      <c r="BM16" s="146"/>
      <c r="BN16" s="146"/>
      <c r="BO16" s="146"/>
      <c r="BP16" s="146"/>
      <c r="BQ16" s="146"/>
      <c r="BR16" s="146"/>
    </row>
    <row r="17" spans="1:70" s="147" customFormat="1" ht="111" customHeight="1" x14ac:dyDescent="0.3">
      <c r="A17" s="662"/>
      <c r="B17" s="433"/>
      <c r="C17" s="434"/>
      <c r="D17" s="466"/>
      <c r="E17" s="467"/>
      <c r="F17" s="463"/>
      <c r="G17" s="463"/>
      <c r="H17" s="463"/>
      <c r="I17" s="463"/>
      <c r="J17" s="463"/>
      <c r="K17" s="463"/>
      <c r="L17" s="463"/>
      <c r="M17" s="463"/>
      <c r="N17" s="146"/>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146"/>
      <c r="AR17" s="146"/>
      <c r="AS17" s="146"/>
      <c r="AT17" s="146"/>
      <c r="AU17" s="146"/>
      <c r="AV17" s="146"/>
      <c r="AW17" s="146"/>
      <c r="AX17" s="146"/>
      <c r="AY17" s="146"/>
      <c r="AZ17" s="146"/>
      <c r="BA17" s="146"/>
      <c r="BB17" s="146"/>
      <c r="BC17" s="146"/>
      <c r="BD17" s="146"/>
      <c r="BE17" s="146"/>
      <c r="BF17" s="146"/>
      <c r="BG17" s="146"/>
      <c r="BH17" s="146"/>
      <c r="BI17" s="146"/>
      <c r="BJ17" s="146"/>
      <c r="BK17" s="146"/>
      <c r="BL17" s="146"/>
      <c r="BM17" s="146"/>
      <c r="BN17" s="146"/>
      <c r="BO17" s="146"/>
      <c r="BP17" s="146"/>
      <c r="BQ17" s="146"/>
      <c r="BR17" s="146"/>
    </row>
    <row r="18" spans="1:70" s="147" customFormat="1" ht="111" customHeight="1" x14ac:dyDescent="0.3">
      <c r="A18" s="662"/>
      <c r="B18" s="433" t="str">
        <f>'Mapa final'!$B$17</f>
        <v>OAP_01</v>
      </c>
      <c r="C18" s="434" t="str">
        <f>'Mapa final'!$H$17</f>
        <v>Posibilidad de afectación económica por la no prestación integral de los servicios de salud a los usuarios del  HOMIL,  debido a la inadecuada identificación de necesidades para la adquisición de bienes y/o servicios.</v>
      </c>
      <c r="D18" s="466"/>
      <c r="E18" s="467"/>
      <c r="F18" s="463" t="str">
        <f t="shared" si="1"/>
        <v>No</v>
      </c>
      <c r="G18" s="463" t="str">
        <f t="shared" si="1"/>
        <v>No</v>
      </c>
      <c r="H18" s="463" t="str">
        <f t="shared" si="1"/>
        <v>No</v>
      </c>
      <c r="I18" s="463" t="str">
        <f t="shared" si="1"/>
        <v>No</v>
      </c>
      <c r="J18" s="463" t="str">
        <f t="shared" si="1"/>
        <v>No</v>
      </c>
      <c r="K18" s="463" t="str">
        <f t="shared" si="1"/>
        <v>No</v>
      </c>
      <c r="L18" s="463" t="str">
        <f t="shared" si="1"/>
        <v>No</v>
      </c>
      <c r="M18" s="463" t="str">
        <f t="shared" si="1"/>
        <v>No</v>
      </c>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6"/>
      <c r="AP18" s="146"/>
      <c r="AQ18" s="146"/>
      <c r="AR18" s="146"/>
      <c r="AS18" s="146"/>
      <c r="AT18" s="146"/>
      <c r="AU18" s="146"/>
      <c r="AV18" s="146"/>
      <c r="AW18" s="146"/>
      <c r="AX18" s="146"/>
      <c r="AY18" s="146"/>
      <c r="AZ18" s="146"/>
      <c r="BA18" s="146"/>
      <c r="BB18" s="146"/>
      <c r="BC18" s="146"/>
      <c r="BD18" s="146"/>
      <c r="BE18" s="146"/>
      <c r="BF18" s="146"/>
      <c r="BG18" s="146"/>
      <c r="BH18" s="146"/>
      <c r="BI18" s="146"/>
      <c r="BJ18" s="146"/>
      <c r="BK18" s="146"/>
      <c r="BL18" s="146"/>
      <c r="BM18" s="146"/>
      <c r="BN18" s="146"/>
      <c r="BO18" s="146"/>
      <c r="BP18" s="146"/>
      <c r="BQ18" s="146"/>
      <c r="BR18" s="146"/>
    </row>
    <row r="19" spans="1:70" s="147" customFormat="1" ht="111" customHeight="1" x14ac:dyDescent="0.3">
      <c r="A19" s="662"/>
      <c r="B19" s="433"/>
      <c r="C19" s="434"/>
      <c r="D19" s="466"/>
      <c r="E19" s="467"/>
      <c r="F19" s="463"/>
      <c r="G19" s="463"/>
      <c r="H19" s="463"/>
      <c r="I19" s="463"/>
      <c r="J19" s="463"/>
      <c r="K19" s="463"/>
      <c r="L19" s="463"/>
      <c r="M19" s="463"/>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c r="AQ19" s="146"/>
      <c r="AR19" s="146"/>
      <c r="AS19" s="146"/>
      <c r="AT19" s="146"/>
      <c r="AU19" s="146"/>
      <c r="AV19" s="146"/>
      <c r="AW19" s="146"/>
      <c r="AX19" s="146"/>
      <c r="AY19" s="146"/>
      <c r="AZ19" s="146"/>
      <c r="BA19" s="146"/>
      <c r="BB19" s="146"/>
      <c r="BC19" s="146"/>
      <c r="BD19" s="146"/>
      <c r="BE19" s="146"/>
      <c r="BF19" s="146"/>
      <c r="BG19" s="146"/>
      <c r="BH19" s="146"/>
      <c r="BI19" s="146"/>
      <c r="BJ19" s="146"/>
      <c r="BK19" s="146"/>
      <c r="BL19" s="146"/>
      <c r="BM19" s="146"/>
      <c r="BN19" s="146"/>
      <c r="BO19" s="146"/>
      <c r="BP19" s="146"/>
      <c r="BQ19" s="146"/>
      <c r="BR19" s="146"/>
    </row>
    <row r="20" spans="1:70" s="147" customFormat="1" ht="111" customHeight="1" x14ac:dyDescent="0.3">
      <c r="A20" s="662"/>
      <c r="B20" s="433"/>
      <c r="C20" s="434"/>
      <c r="D20" s="466"/>
      <c r="E20" s="467"/>
      <c r="F20" s="463"/>
      <c r="G20" s="463"/>
      <c r="H20" s="463"/>
      <c r="I20" s="463"/>
      <c r="J20" s="463"/>
      <c r="K20" s="463"/>
      <c r="L20" s="463"/>
      <c r="M20" s="463"/>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AQ20" s="146"/>
      <c r="AR20" s="146"/>
      <c r="AS20" s="146"/>
      <c r="AT20" s="146"/>
      <c r="AU20" s="146"/>
      <c r="AV20" s="146"/>
      <c r="AW20" s="146"/>
      <c r="AX20" s="146"/>
      <c r="AY20" s="146"/>
      <c r="AZ20" s="146"/>
      <c r="BA20" s="146"/>
      <c r="BB20" s="146"/>
      <c r="BC20" s="146"/>
      <c r="BD20" s="146"/>
      <c r="BE20" s="146"/>
      <c r="BF20" s="146"/>
      <c r="BG20" s="146"/>
      <c r="BH20" s="146"/>
      <c r="BI20" s="146"/>
      <c r="BJ20" s="146"/>
      <c r="BK20" s="146"/>
      <c r="BL20" s="146"/>
      <c r="BM20" s="146"/>
      <c r="BN20" s="146"/>
      <c r="BO20" s="146"/>
      <c r="BP20" s="146"/>
      <c r="BQ20" s="146"/>
      <c r="BR20" s="146"/>
    </row>
    <row r="21" spans="1:70" s="147" customFormat="1" ht="111" customHeight="1" x14ac:dyDescent="0.3">
      <c r="A21" s="662"/>
      <c r="B21" s="433" t="str">
        <f>'Mapa final'!$B$20</f>
        <v>OAP_02</v>
      </c>
      <c r="C21" s="434" t="str">
        <f>'Mapa final'!$H$20</f>
        <v>Posibilidad de afectación económica y reputacional por multas, sanciones por parte de entes de control y desconfianza por parte de la ciudadanía, grupos de valor, usuarios internos y externos, debido a fallas en la verificación de la información reportada en el aplicativo (Suite Visión Empresarial) y errores en la transcripción y procesamiento de datos.</v>
      </c>
      <c r="D21" s="466"/>
      <c r="E21" s="467"/>
      <c r="F21" s="463" t="str">
        <f t="shared" si="1"/>
        <v>No</v>
      </c>
      <c r="G21" s="463" t="str">
        <f t="shared" si="1"/>
        <v>No</v>
      </c>
      <c r="H21" s="463" t="str">
        <f t="shared" si="1"/>
        <v>No</v>
      </c>
      <c r="I21" s="463" t="str">
        <f t="shared" si="1"/>
        <v>No</v>
      </c>
      <c r="J21" s="463" t="str">
        <f t="shared" si="1"/>
        <v>No</v>
      </c>
      <c r="K21" s="463" t="str">
        <f t="shared" si="1"/>
        <v>No</v>
      </c>
      <c r="L21" s="463" t="str">
        <f t="shared" si="1"/>
        <v>No</v>
      </c>
      <c r="M21" s="463" t="str">
        <f t="shared" si="1"/>
        <v>No</v>
      </c>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46"/>
      <c r="AN21" s="146"/>
      <c r="AO21" s="146"/>
      <c r="AP21" s="146"/>
      <c r="AQ21" s="146"/>
      <c r="AR21" s="146"/>
      <c r="AS21" s="146"/>
      <c r="AT21" s="146"/>
      <c r="AU21" s="146"/>
      <c r="AV21" s="146"/>
      <c r="AW21" s="146"/>
      <c r="AX21" s="146"/>
      <c r="AY21" s="146"/>
      <c r="AZ21" s="146"/>
      <c r="BA21" s="146"/>
      <c r="BB21" s="146"/>
      <c r="BC21" s="146"/>
      <c r="BD21" s="146"/>
      <c r="BE21" s="146"/>
      <c r="BF21" s="146"/>
      <c r="BG21" s="146"/>
      <c r="BH21" s="146"/>
      <c r="BI21" s="146"/>
      <c r="BJ21" s="146"/>
      <c r="BK21" s="146"/>
      <c r="BL21" s="146"/>
      <c r="BM21" s="146"/>
      <c r="BN21" s="146"/>
      <c r="BO21" s="146"/>
      <c r="BP21" s="146"/>
      <c r="BQ21" s="146"/>
      <c r="BR21" s="146"/>
    </row>
    <row r="22" spans="1:70" s="147" customFormat="1" ht="111" customHeight="1" x14ac:dyDescent="0.3">
      <c r="A22" s="662"/>
      <c r="B22" s="433"/>
      <c r="C22" s="434"/>
      <c r="D22" s="466"/>
      <c r="E22" s="467"/>
      <c r="F22" s="463"/>
      <c r="G22" s="463"/>
      <c r="H22" s="463"/>
      <c r="I22" s="463"/>
      <c r="J22" s="463"/>
      <c r="K22" s="463"/>
      <c r="L22" s="463"/>
      <c r="M22" s="463"/>
      <c r="N22" s="146"/>
      <c r="O22" s="146"/>
      <c r="P22" s="146"/>
      <c r="Q22" s="146"/>
      <c r="R22" s="146"/>
      <c r="S22" s="146"/>
      <c r="T22" s="146"/>
      <c r="U22" s="146"/>
      <c r="V22" s="146"/>
      <c r="W22" s="146"/>
      <c r="X22" s="146"/>
      <c r="Y22" s="146"/>
      <c r="Z22" s="146"/>
      <c r="AA22" s="146"/>
      <c r="AB22" s="146"/>
      <c r="AC22" s="146"/>
      <c r="AD22" s="146"/>
      <c r="AE22" s="146"/>
      <c r="AF22" s="146"/>
      <c r="AG22" s="146"/>
      <c r="AH22" s="146"/>
      <c r="AI22" s="146"/>
      <c r="AJ22" s="146"/>
      <c r="AK22" s="146"/>
      <c r="AL22" s="146"/>
      <c r="AM22" s="146"/>
      <c r="AN22" s="146"/>
      <c r="AO22" s="146"/>
      <c r="AP22" s="146"/>
      <c r="AQ22" s="146"/>
      <c r="AR22" s="146"/>
      <c r="AS22" s="146"/>
      <c r="AT22" s="146"/>
      <c r="AU22" s="146"/>
      <c r="AV22" s="146"/>
      <c r="AW22" s="146"/>
      <c r="AX22" s="146"/>
      <c r="AY22" s="146"/>
      <c r="AZ22" s="146"/>
      <c r="BA22" s="146"/>
      <c r="BB22" s="146"/>
      <c r="BC22" s="146"/>
      <c r="BD22" s="146"/>
      <c r="BE22" s="146"/>
      <c r="BF22" s="146"/>
      <c r="BG22" s="146"/>
      <c r="BH22" s="146"/>
      <c r="BI22" s="146"/>
      <c r="BJ22" s="146"/>
      <c r="BK22" s="146"/>
      <c r="BL22" s="146"/>
      <c r="BM22" s="146"/>
      <c r="BN22" s="146"/>
      <c r="BO22" s="146"/>
      <c r="BP22" s="146"/>
      <c r="BQ22" s="146"/>
      <c r="BR22" s="146"/>
    </row>
    <row r="23" spans="1:70" s="147" customFormat="1" ht="111" customHeight="1" x14ac:dyDescent="0.3">
      <c r="A23" s="662"/>
      <c r="B23" s="433"/>
      <c r="C23" s="434"/>
      <c r="D23" s="466"/>
      <c r="E23" s="467"/>
      <c r="F23" s="463"/>
      <c r="G23" s="463"/>
      <c r="H23" s="463"/>
      <c r="I23" s="463"/>
      <c r="J23" s="463"/>
      <c r="K23" s="463"/>
      <c r="L23" s="463"/>
      <c r="M23" s="463"/>
      <c r="N23" s="146"/>
      <c r="O23" s="146"/>
      <c r="P23" s="146"/>
      <c r="Q23" s="146"/>
      <c r="R23" s="146"/>
      <c r="S23" s="146"/>
      <c r="T23" s="146"/>
      <c r="U23" s="146"/>
      <c r="V23" s="146"/>
      <c r="W23" s="146"/>
      <c r="X23" s="146"/>
      <c r="Y23" s="146"/>
      <c r="Z23" s="146"/>
      <c r="AA23" s="146"/>
      <c r="AB23" s="146"/>
      <c r="AC23" s="146"/>
      <c r="AD23" s="146"/>
      <c r="AE23" s="146"/>
      <c r="AF23" s="146"/>
      <c r="AG23" s="146"/>
      <c r="AH23" s="146"/>
      <c r="AI23" s="146"/>
      <c r="AJ23" s="146"/>
      <c r="AK23" s="146"/>
      <c r="AL23" s="146"/>
      <c r="AM23" s="146"/>
      <c r="AN23" s="146"/>
      <c r="AO23" s="146"/>
      <c r="AP23" s="146"/>
      <c r="AQ23" s="146"/>
      <c r="AR23" s="146"/>
      <c r="AS23" s="146"/>
      <c r="AT23" s="146"/>
      <c r="AU23" s="146"/>
      <c r="AV23" s="146"/>
      <c r="AW23" s="146"/>
      <c r="AX23" s="146"/>
      <c r="AY23" s="146"/>
      <c r="AZ23" s="146"/>
      <c r="BA23" s="146"/>
      <c r="BB23" s="146"/>
      <c r="BC23" s="146"/>
      <c r="BD23" s="146"/>
      <c r="BE23" s="146"/>
      <c r="BF23" s="146"/>
      <c r="BG23" s="146"/>
      <c r="BH23" s="146"/>
      <c r="BI23" s="146"/>
      <c r="BJ23" s="146"/>
      <c r="BK23" s="146"/>
      <c r="BL23" s="146"/>
      <c r="BM23" s="146"/>
      <c r="BN23" s="146"/>
      <c r="BO23" s="146"/>
      <c r="BP23" s="146"/>
      <c r="BQ23" s="146"/>
      <c r="BR23" s="146"/>
    </row>
    <row r="24" spans="1:70" s="147" customFormat="1" ht="111" customHeight="1" x14ac:dyDescent="0.3">
      <c r="A24" s="662"/>
      <c r="B24" s="433" t="str">
        <f>'Mapa final'!$B$22</f>
        <v>OAP_03</v>
      </c>
      <c r="C24" s="434" t="str">
        <f>'Mapa final'!$H$22</f>
        <v>Posibilidad de afectación reputacional por pérdida de credibilidad y desconfianza por parte de la ciudadanía, grupos de valor y usuarios internos y externos, debido a respuestas inexactas  o sin soportes en el Formulario Único de Avances de la Gestión - FURAG, por parte de las áreas y servicios de la entidad.</v>
      </c>
      <c r="D24" s="466"/>
      <c r="E24" s="467"/>
      <c r="F24" s="463" t="str">
        <f t="shared" si="1"/>
        <v>No</v>
      </c>
      <c r="G24" s="463" t="str">
        <f t="shared" si="1"/>
        <v>No</v>
      </c>
      <c r="H24" s="463" t="str">
        <f t="shared" si="1"/>
        <v>No</v>
      </c>
      <c r="I24" s="463" t="str">
        <f t="shared" si="1"/>
        <v>No</v>
      </c>
      <c r="J24" s="463" t="str">
        <f t="shared" si="1"/>
        <v>No</v>
      </c>
      <c r="K24" s="463" t="str">
        <f t="shared" si="1"/>
        <v>No</v>
      </c>
      <c r="L24" s="463" t="str">
        <f t="shared" si="1"/>
        <v>No</v>
      </c>
      <c r="M24" s="463" t="str">
        <f t="shared" si="1"/>
        <v>No</v>
      </c>
      <c r="N24" s="146"/>
      <c r="O24" s="146"/>
      <c r="P24" s="146"/>
      <c r="Q24" s="146"/>
      <c r="R24" s="146"/>
      <c r="S24" s="146"/>
      <c r="T24" s="146"/>
      <c r="U24" s="146"/>
      <c r="V24" s="146"/>
      <c r="W24" s="146"/>
      <c r="X24" s="146"/>
      <c r="Y24" s="146"/>
      <c r="Z24" s="146"/>
      <c r="AA24" s="146"/>
      <c r="AB24" s="146"/>
      <c r="AC24" s="146"/>
      <c r="AD24" s="146"/>
      <c r="AE24" s="146"/>
      <c r="AF24" s="146"/>
      <c r="AG24" s="146"/>
      <c r="AH24" s="146"/>
      <c r="AI24" s="146"/>
      <c r="AJ24" s="146"/>
      <c r="AK24" s="146"/>
      <c r="AL24" s="146"/>
      <c r="AM24" s="146"/>
      <c r="AN24" s="146"/>
      <c r="AO24" s="146"/>
      <c r="AP24" s="146"/>
      <c r="AQ24" s="146"/>
      <c r="AR24" s="146"/>
      <c r="AS24" s="146"/>
      <c r="AT24" s="146"/>
      <c r="AU24" s="146"/>
      <c r="AV24" s="146"/>
      <c r="AW24" s="146"/>
      <c r="AX24" s="146"/>
      <c r="AY24" s="146"/>
      <c r="AZ24" s="146"/>
      <c r="BA24" s="146"/>
      <c r="BB24" s="146"/>
      <c r="BC24" s="146"/>
      <c r="BD24" s="146"/>
      <c r="BE24" s="146"/>
      <c r="BF24" s="146"/>
      <c r="BG24" s="146"/>
      <c r="BH24" s="146"/>
      <c r="BI24" s="146"/>
      <c r="BJ24" s="146"/>
      <c r="BK24" s="146"/>
      <c r="BL24" s="146"/>
      <c r="BM24" s="146"/>
      <c r="BN24" s="146"/>
      <c r="BO24" s="146"/>
      <c r="BP24" s="146"/>
      <c r="BQ24" s="146"/>
      <c r="BR24" s="146"/>
    </row>
    <row r="25" spans="1:70" s="147" customFormat="1" ht="111" customHeight="1" x14ac:dyDescent="0.3">
      <c r="A25" s="662"/>
      <c r="B25" s="433"/>
      <c r="C25" s="434"/>
      <c r="D25" s="466"/>
      <c r="E25" s="467"/>
      <c r="F25" s="463"/>
      <c r="G25" s="463"/>
      <c r="H25" s="463"/>
      <c r="I25" s="463"/>
      <c r="J25" s="463"/>
      <c r="K25" s="463"/>
      <c r="L25" s="463"/>
      <c r="M25" s="463"/>
      <c r="N25" s="146"/>
      <c r="O25" s="146"/>
      <c r="P25" s="146"/>
      <c r="Q25" s="146"/>
      <c r="R25" s="146"/>
      <c r="S25" s="146"/>
      <c r="T25" s="146"/>
      <c r="U25" s="146"/>
      <c r="V25" s="146"/>
      <c r="W25" s="146"/>
      <c r="X25" s="146"/>
      <c r="Y25" s="146"/>
      <c r="Z25" s="146"/>
      <c r="AA25" s="146"/>
      <c r="AB25" s="146"/>
      <c r="AC25" s="146"/>
      <c r="AD25" s="146"/>
      <c r="AE25" s="146"/>
      <c r="AF25" s="146"/>
      <c r="AG25" s="146"/>
      <c r="AH25" s="146"/>
      <c r="AI25" s="146"/>
      <c r="AJ25" s="146"/>
      <c r="AK25" s="146"/>
      <c r="AL25" s="146"/>
      <c r="AM25" s="146"/>
      <c r="AN25" s="146"/>
      <c r="AO25" s="146"/>
      <c r="AP25" s="146"/>
      <c r="AQ25" s="146"/>
      <c r="AR25" s="146"/>
      <c r="AS25" s="146"/>
      <c r="AT25" s="146"/>
      <c r="AU25" s="146"/>
      <c r="AV25" s="146"/>
      <c r="AW25" s="146"/>
      <c r="AX25" s="146"/>
      <c r="AY25" s="146"/>
      <c r="AZ25" s="146"/>
      <c r="BA25" s="146"/>
      <c r="BB25" s="146"/>
      <c r="BC25" s="146"/>
      <c r="BD25" s="146"/>
      <c r="BE25" s="146"/>
      <c r="BF25" s="146"/>
      <c r="BG25" s="146"/>
      <c r="BH25" s="146"/>
      <c r="BI25" s="146"/>
      <c r="BJ25" s="146"/>
      <c r="BK25" s="146"/>
      <c r="BL25" s="146"/>
      <c r="BM25" s="146"/>
      <c r="BN25" s="146"/>
      <c r="BO25" s="146"/>
      <c r="BP25" s="146"/>
      <c r="BQ25" s="146"/>
      <c r="BR25" s="146"/>
    </row>
    <row r="26" spans="1:70" s="147" customFormat="1" ht="111" customHeight="1" x14ac:dyDescent="0.3">
      <c r="A26" s="662"/>
      <c r="B26" s="433"/>
      <c r="C26" s="434"/>
      <c r="D26" s="466"/>
      <c r="E26" s="467"/>
      <c r="F26" s="463"/>
      <c r="G26" s="463"/>
      <c r="H26" s="463"/>
      <c r="I26" s="463"/>
      <c r="J26" s="463"/>
      <c r="K26" s="463"/>
      <c r="L26" s="463"/>
      <c r="M26" s="463"/>
      <c r="N26" s="146"/>
      <c r="O26" s="146"/>
      <c r="P26" s="146"/>
      <c r="Q26" s="146"/>
      <c r="R26" s="146"/>
      <c r="S26" s="146"/>
      <c r="T26" s="146"/>
      <c r="U26" s="146"/>
      <c r="V26" s="146"/>
      <c r="W26" s="146"/>
      <c r="X26" s="146"/>
      <c r="Y26" s="146"/>
      <c r="Z26" s="146"/>
      <c r="AA26" s="146"/>
      <c r="AB26" s="146"/>
      <c r="AC26" s="146"/>
      <c r="AD26" s="146"/>
      <c r="AE26" s="146"/>
      <c r="AF26" s="146"/>
      <c r="AG26" s="146"/>
      <c r="AH26" s="146"/>
      <c r="AI26" s="146"/>
      <c r="AJ26" s="146"/>
      <c r="AK26" s="146"/>
      <c r="AL26" s="146"/>
      <c r="AM26" s="146"/>
      <c r="AN26" s="146"/>
      <c r="AO26" s="146"/>
      <c r="AP26" s="146"/>
      <c r="AQ26" s="146"/>
      <c r="AR26" s="146"/>
      <c r="AS26" s="146"/>
      <c r="AT26" s="146"/>
      <c r="AU26" s="146"/>
      <c r="AV26" s="146"/>
      <c r="AW26" s="146"/>
      <c r="AX26" s="146"/>
      <c r="AY26" s="146"/>
      <c r="AZ26" s="146"/>
      <c r="BA26" s="146"/>
      <c r="BB26" s="146"/>
      <c r="BC26" s="146"/>
      <c r="BD26" s="146"/>
      <c r="BE26" s="146"/>
      <c r="BF26" s="146"/>
      <c r="BG26" s="146"/>
      <c r="BH26" s="146"/>
      <c r="BI26" s="146"/>
      <c r="BJ26" s="146"/>
      <c r="BK26" s="146"/>
      <c r="BL26" s="146"/>
      <c r="BM26" s="146"/>
      <c r="BN26" s="146"/>
      <c r="BO26" s="146"/>
      <c r="BP26" s="146"/>
      <c r="BQ26" s="146"/>
      <c r="BR26" s="146"/>
    </row>
    <row r="27" spans="1:70" s="147" customFormat="1" ht="111" customHeight="1" x14ac:dyDescent="0.3">
      <c r="A27" s="662"/>
      <c r="B27" s="433" t="str">
        <f>'Mapa final'!$B$25</f>
        <v>OAP_04</v>
      </c>
      <c r="C27" s="434" t="str">
        <f>'Mapa final'!$H$25</f>
        <v>Posibilidad de afectación económica y reputacional por desarticulación de las partes interesadas en el desarrollo e implementación del sistema de gestión basado en procesos, debido a la no implantación de  los sistemas de gestión de calidad en la organización.
Planificación  de los procesos.</v>
      </c>
      <c r="D27" s="466"/>
      <c r="E27" s="467"/>
      <c r="F27" s="463" t="str">
        <f t="shared" si="1"/>
        <v>No</v>
      </c>
      <c r="G27" s="463" t="str">
        <f t="shared" si="1"/>
        <v>No</v>
      </c>
      <c r="H27" s="463" t="str">
        <f t="shared" si="1"/>
        <v>No</v>
      </c>
      <c r="I27" s="463" t="str">
        <f t="shared" si="1"/>
        <v>No</v>
      </c>
      <c r="J27" s="463" t="str">
        <f t="shared" si="1"/>
        <v>No</v>
      </c>
      <c r="K27" s="463" t="str">
        <f t="shared" si="1"/>
        <v>No</v>
      </c>
      <c r="L27" s="463" t="str">
        <f t="shared" si="1"/>
        <v>No</v>
      </c>
      <c r="M27" s="463" t="str">
        <f t="shared" si="1"/>
        <v>No</v>
      </c>
      <c r="N27" s="146"/>
      <c r="O27" s="146"/>
      <c r="P27" s="146"/>
      <c r="Q27" s="146"/>
      <c r="R27" s="146"/>
      <c r="S27" s="146"/>
      <c r="T27" s="146"/>
      <c r="U27" s="146"/>
      <c r="V27" s="146"/>
      <c r="W27" s="146"/>
      <c r="X27" s="146"/>
      <c r="Y27" s="146"/>
      <c r="Z27" s="146"/>
      <c r="AA27" s="146"/>
      <c r="AB27" s="146"/>
      <c r="AC27" s="146"/>
      <c r="AD27" s="146"/>
      <c r="AE27" s="146"/>
      <c r="AF27" s="146"/>
      <c r="AG27" s="146"/>
      <c r="AH27" s="146"/>
      <c r="AI27" s="146"/>
      <c r="AJ27" s="146"/>
      <c r="AK27" s="146"/>
      <c r="AL27" s="146"/>
      <c r="AM27" s="146"/>
      <c r="AN27" s="146"/>
      <c r="AO27" s="146"/>
      <c r="AP27" s="146"/>
      <c r="AQ27" s="146"/>
      <c r="AR27" s="146"/>
      <c r="AS27" s="146"/>
      <c r="AT27" s="146"/>
      <c r="AU27" s="146"/>
      <c r="AV27" s="146"/>
      <c r="AW27" s="146"/>
      <c r="AX27" s="146"/>
      <c r="AY27" s="146"/>
      <c r="AZ27" s="146"/>
      <c r="BA27" s="146"/>
      <c r="BB27" s="146"/>
      <c r="BC27" s="146"/>
      <c r="BD27" s="146"/>
      <c r="BE27" s="146"/>
      <c r="BF27" s="146"/>
      <c r="BG27" s="146"/>
      <c r="BH27" s="146"/>
      <c r="BI27" s="146"/>
      <c r="BJ27" s="146"/>
      <c r="BK27" s="146"/>
      <c r="BL27" s="146"/>
      <c r="BM27" s="146"/>
      <c r="BN27" s="146"/>
      <c r="BO27" s="146"/>
      <c r="BP27" s="146"/>
      <c r="BQ27" s="146"/>
      <c r="BR27" s="146"/>
    </row>
    <row r="28" spans="1:70" s="147" customFormat="1" ht="111" customHeight="1" x14ac:dyDescent="0.3">
      <c r="A28" s="662"/>
      <c r="B28" s="433"/>
      <c r="C28" s="434"/>
      <c r="D28" s="466"/>
      <c r="E28" s="467"/>
      <c r="F28" s="463"/>
      <c r="G28" s="463"/>
      <c r="H28" s="463"/>
      <c r="I28" s="463"/>
      <c r="J28" s="463"/>
      <c r="K28" s="463"/>
      <c r="L28" s="463"/>
      <c r="M28" s="463"/>
      <c r="N28" s="146"/>
      <c r="O28" s="146"/>
      <c r="P28" s="146"/>
      <c r="Q28" s="146"/>
      <c r="R28" s="146"/>
      <c r="S28" s="146"/>
      <c r="T28" s="146"/>
      <c r="U28" s="146"/>
      <c r="V28" s="146"/>
      <c r="W28" s="146"/>
      <c r="X28" s="146"/>
      <c r="Y28" s="146"/>
      <c r="Z28" s="146"/>
      <c r="AA28" s="146"/>
      <c r="AB28" s="146"/>
      <c r="AC28" s="146"/>
      <c r="AD28" s="146"/>
      <c r="AE28" s="146"/>
      <c r="AF28" s="146"/>
      <c r="AG28" s="146"/>
      <c r="AH28" s="146"/>
      <c r="AI28" s="146"/>
      <c r="AJ28" s="146"/>
      <c r="AK28" s="146"/>
      <c r="AL28" s="146"/>
      <c r="AM28" s="146"/>
      <c r="AN28" s="146"/>
      <c r="AO28" s="146"/>
      <c r="AP28" s="146"/>
      <c r="AQ28" s="146"/>
      <c r="AR28" s="146"/>
      <c r="AS28" s="146"/>
      <c r="AT28" s="146"/>
      <c r="AU28" s="146"/>
      <c r="AV28" s="146"/>
      <c r="AW28" s="146"/>
      <c r="AX28" s="146"/>
      <c r="AY28" s="146"/>
      <c r="AZ28" s="146"/>
      <c r="BA28" s="146"/>
      <c r="BB28" s="146"/>
      <c r="BC28" s="146"/>
      <c r="BD28" s="146"/>
      <c r="BE28" s="146"/>
      <c r="BF28" s="146"/>
      <c r="BG28" s="146"/>
      <c r="BH28" s="146"/>
      <c r="BI28" s="146"/>
      <c r="BJ28" s="146"/>
      <c r="BK28" s="146"/>
      <c r="BL28" s="146"/>
      <c r="BM28" s="146"/>
      <c r="BN28" s="146"/>
      <c r="BO28" s="146"/>
      <c r="BP28" s="146"/>
      <c r="BQ28" s="146"/>
      <c r="BR28" s="146"/>
    </row>
    <row r="29" spans="1:70" s="147" customFormat="1" ht="111" customHeight="1" x14ac:dyDescent="0.3">
      <c r="A29" s="662"/>
      <c r="B29" s="433"/>
      <c r="C29" s="434"/>
      <c r="D29" s="466"/>
      <c r="E29" s="467"/>
      <c r="F29" s="463"/>
      <c r="G29" s="463"/>
      <c r="H29" s="463"/>
      <c r="I29" s="463"/>
      <c r="J29" s="463"/>
      <c r="K29" s="463"/>
      <c r="L29" s="463"/>
      <c r="M29" s="463"/>
      <c r="N29" s="146"/>
      <c r="O29" s="146"/>
      <c r="P29" s="146"/>
      <c r="Q29" s="146"/>
      <c r="R29" s="146"/>
      <c r="S29" s="146"/>
      <c r="T29" s="146"/>
      <c r="U29" s="146"/>
      <c r="V29" s="146"/>
      <c r="W29" s="146"/>
      <c r="X29" s="146"/>
      <c r="Y29" s="146"/>
      <c r="Z29" s="146"/>
      <c r="AA29" s="146"/>
      <c r="AB29" s="146"/>
      <c r="AC29" s="146"/>
      <c r="AD29" s="146"/>
      <c r="AE29" s="146"/>
      <c r="AF29" s="146"/>
      <c r="AG29" s="146"/>
      <c r="AH29" s="146"/>
      <c r="AI29" s="146"/>
      <c r="AJ29" s="146"/>
      <c r="AK29" s="146"/>
      <c r="AL29" s="146"/>
      <c r="AM29" s="146"/>
      <c r="AN29" s="146"/>
      <c r="AO29" s="146"/>
      <c r="AP29" s="146"/>
      <c r="AQ29" s="146"/>
      <c r="AR29" s="146"/>
      <c r="AS29" s="146"/>
      <c r="AT29" s="146"/>
      <c r="AU29" s="146"/>
      <c r="AV29" s="146"/>
      <c r="AW29" s="146"/>
      <c r="AX29" s="146"/>
      <c r="AY29" s="146"/>
      <c r="AZ29" s="146"/>
      <c r="BA29" s="146"/>
      <c r="BB29" s="146"/>
      <c r="BC29" s="146"/>
      <c r="BD29" s="146"/>
      <c r="BE29" s="146"/>
      <c r="BF29" s="146"/>
      <c r="BG29" s="146"/>
      <c r="BH29" s="146"/>
      <c r="BI29" s="146"/>
      <c r="BJ29" s="146"/>
      <c r="BK29" s="146"/>
      <c r="BL29" s="146"/>
      <c r="BM29" s="146"/>
      <c r="BN29" s="146"/>
      <c r="BO29" s="146"/>
      <c r="BP29" s="146"/>
      <c r="BQ29" s="146"/>
      <c r="BR29" s="146"/>
    </row>
    <row r="30" spans="1:70" s="147" customFormat="1" ht="111" customHeight="1" x14ac:dyDescent="0.3">
      <c r="A30" s="662"/>
      <c r="B30" s="433" t="str">
        <f>'Mapa final'!$B$27</f>
        <v>OAP_05</v>
      </c>
      <c r="C30" s="434" t="str">
        <f>'Mapa final'!$H$27</f>
        <v xml:space="preserve">Posibilidad de afectación económica y reputacional por incumplimiento normativo, multas y sanciones por parte de entes de control, debido a atenciones inseguras que generan percepción desfavorable de la entidad a los usuarios y los entes reguladores.
</v>
      </c>
      <c r="D30" s="466"/>
      <c r="E30" s="467"/>
      <c r="F30" s="463" t="str">
        <f t="shared" si="1"/>
        <v>No</v>
      </c>
      <c r="G30" s="463" t="str">
        <f t="shared" si="1"/>
        <v>No</v>
      </c>
      <c r="H30" s="463" t="str">
        <f t="shared" si="1"/>
        <v>No</v>
      </c>
      <c r="I30" s="463" t="str">
        <f t="shared" si="1"/>
        <v>No</v>
      </c>
      <c r="J30" s="463" t="str">
        <f t="shared" si="1"/>
        <v>No</v>
      </c>
      <c r="K30" s="463" t="str">
        <f t="shared" si="1"/>
        <v>No</v>
      </c>
      <c r="L30" s="463" t="str">
        <f t="shared" si="1"/>
        <v>No</v>
      </c>
      <c r="M30" s="463" t="str">
        <f t="shared" si="1"/>
        <v>No</v>
      </c>
      <c r="N30" s="146"/>
      <c r="O30" s="146"/>
      <c r="P30" s="146"/>
      <c r="Q30" s="146"/>
      <c r="R30" s="146"/>
      <c r="S30" s="146"/>
      <c r="T30" s="146"/>
      <c r="U30" s="146"/>
      <c r="V30" s="146"/>
      <c r="W30" s="146"/>
      <c r="X30" s="146"/>
      <c r="Y30" s="146"/>
      <c r="Z30" s="146"/>
      <c r="AA30" s="146"/>
      <c r="AB30" s="146"/>
      <c r="AC30" s="146"/>
      <c r="AD30" s="146"/>
      <c r="AE30" s="146"/>
      <c r="AF30" s="146"/>
      <c r="AG30" s="146"/>
      <c r="AH30" s="146"/>
      <c r="AI30" s="146"/>
      <c r="AJ30" s="146"/>
      <c r="AK30" s="146"/>
      <c r="AL30" s="146"/>
      <c r="AM30" s="146"/>
      <c r="AN30" s="146"/>
      <c r="AO30" s="146"/>
      <c r="AP30" s="146"/>
      <c r="AQ30" s="146"/>
      <c r="AR30" s="146"/>
      <c r="AS30" s="146"/>
      <c r="AT30" s="146"/>
      <c r="AU30" s="146"/>
      <c r="AV30" s="146"/>
      <c r="AW30" s="146"/>
      <c r="AX30" s="146"/>
      <c r="AY30" s="146"/>
      <c r="AZ30" s="146"/>
      <c r="BA30" s="146"/>
      <c r="BB30" s="146"/>
      <c r="BC30" s="146"/>
      <c r="BD30" s="146"/>
      <c r="BE30" s="146"/>
      <c r="BF30" s="146"/>
      <c r="BG30" s="146"/>
      <c r="BH30" s="146"/>
      <c r="BI30" s="146"/>
      <c r="BJ30" s="146"/>
      <c r="BK30" s="146"/>
      <c r="BL30" s="146"/>
      <c r="BM30" s="146"/>
      <c r="BN30" s="146"/>
      <c r="BO30" s="146"/>
      <c r="BP30" s="146"/>
      <c r="BQ30" s="146"/>
      <c r="BR30" s="146"/>
    </row>
    <row r="31" spans="1:70" s="147" customFormat="1" ht="111" customHeight="1" x14ac:dyDescent="0.3">
      <c r="A31" s="662"/>
      <c r="B31" s="433"/>
      <c r="C31" s="434"/>
      <c r="D31" s="466"/>
      <c r="E31" s="467"/>
      <c r="F31" s="463"/>
      <c r="G31" s="463"/>
      <c r="H31" s="463"/>
      <c r="I31" s="463"/>
      <c r="J31" s="463"/>
      <c r="K31" s="463"/>
      <c r="L31" s="463"/>
      <c r="M31" s="463"/>
      <c r="N31" s="146"/>
      <c r="O31" s="146"/>
      <c r="P31" s="146"/>
      <c r="Q31" s="146"/>
      <c r="R31" s="146"/>
      <c r="S31" s="146"/>
      <c r="T31" s="146"/>
      <c r="U31" s="146"/>
      <c r="V31" s="146"/>
      <c r="W31" s="146"/>
      <c r="X31" s="146"/>
      <c r="Y31" s="146"/>
      <c r="Z31" s="146"/>
      <c r="AA31" s="146"/>
      <c r="AB31" s="146"/>
      <c r="AC31" s="146"/>
      <c r="AD31" s="146"/>
      <c r="AE31" s="146"/>
      <c r="AF31" s="146"/>
      <c r="AG31" s="146"/>
      <c r="AH31" s="146"/>
      <c r="AI31" s="146"/>
      <c r="AJ31" s="146"/>
      <c r="AK31" s="146"/>
      <c r="AL31" s="146"/>
      <c r="AM31" s="146"/>
      <c r="AN31" s="146"/>
      <c r="AO31" s="146"/>
      <c r="AP31" s="146"/>
      <c r="AQ31" s="146"/>
      <c r="AR31" s="146"/>
      <c r="AS31" s="146"/>
      <c r="AT31" s="146"/>
      <c r="AU31" s="146"/>
      <c r="AV31" s="146"/>
      <c r="AW31" s="146"/>
      <c r="AX31" s="146"/>
      <c r="AY31" s="146"/>
      <c r="AZ31" s="146"/>
      <c r="BA31" s="146"/>
      <c r="BB31" s="146"/>
      <c r="BC31" s="146"/>
      <c r="BD31" s="146"/>
      <c r="BE31" s="146"/>
      <c r="BF31" s="146"/>
      <c r="BG31" s="146"/>
      <c r="BH31" s="146"/>
      <c r="BI31" s="146"/>
      <c r="BJ31" s="146"/>
      <c r="BK31" s="146"/>
      <c r="BL31" s="146"/>
      <c r="BM31" s="146"/>
      <c r="BN31" s="146"/>
      <c r="BO31" s="146"/>
      <c r="BP31" s="146"/>
      <c r="BQ31" s="146"/>
      <c r="BR31" s="146"/>
    </row>
    <row r="32" spans="1:70" s="147" customFormat="1" ht="111" customHeight="1" x14ac:dyDescent="0.3">
      <c r="A32" s="662"/>
      <c r="B32" s="433"/>
      <c r="C32" s="434"/>
      <c r="D32" s="466"/>
      <c r="E32" s="467"/>
      <c r="F32" s="463"/>
      <c r="G32" s="463"/>
      <c r="H32" s="463"/>
      <c r="I32" s="463"/>
      <c r="J32" s="463"/>
      <c r="K32" s="463"/>
      <c r="L32" s="463"/>
      <c r="M32" s="463"/>
      <c r="N32" s="146"/>
      <c r="O32" s="146"/>
      <c r="P32" s="146"/>
      <c r="Q32" s="146"/>
      <c r="R32" s="146"/>
      <c r="S32" s="146"/>
      <c r="T32" s="146"/>
      <c r="U32" s="146"/>
      <c r="V32" s="146"/>
      <c r="W32" s="146"/>
      <c r="X32" s="146"/>
      <c r="Y32" s="146"/>
      <c r="Z32" s="146"/>
      <c r="AA32" s="146"/>
      <c r="AB32" s="146"/>
      <c r="AC32" s="146"/>
      <c r="AD32" s="146"/>
      <c r="AE32" s="146"/>
      <c r="AF32" s="146"/>
      <c r="AG32" s="146"/>
      <c r="AH32" s="146"/>
      <c r="AI32" s="146"/>
      <c r="AJ32" s="146"/>
      <c r="AK32" s="146"/>
      <c r="AL32" s="146"/>
      <c r="AM32" s="146"/>
      <c r="AN32" s="146"/>
      <c r="AO32" s="146"/>
      <c r="AP32" s="146"/>
      <c r="AQ32" s="146"/>
      <c r="AR32" s="146"/>
      <c r="AS32" s="146"/>
      <c r="AT32" s="146"/>
      <c r="AU32" s="146"/>
      <c r="AV32" s="146"/>
      <c r="AW32" s="146"/>
      <c r="AX32" s="146"/>
      <c r="AY32" s="146"/>
      <c r="AZ32" s="146"/>
      <c r="BA32" s="146"/>
      <c r="BB32" s="146"/>
      <c r="BC32" s="146"/>
      <c r="BD32" s="146"/>
      <c r="BE32" s="146"/>
      <c r="BF32" s="146"/>
      <c r="BG32" s="146"/>
      <c r="BH32" s="146"/>
      <c r="BI32" s="146"/>
      <c r="BJ32" s="146"/>
      <c r="BK32" s="146"/>
      <c r="BL32" s="146"/>
      <c r="BM32" s="146"/>
      <c r="BN32" s="146"/>
      <c r="BO32" s="146"/>
      <c r="BP32" s="146"/>
      <c r="BQ32" s="146"/>
      <c r="BR32" s="146"/>
    </row>
    <row r="33" spans="1:70" s="147" customFormat="1" ht="111" customHeight="1" x14ac:dyDescent="0.3">
      <c r="A33" s="662"/>
      <c r="B33" s="433" t="str">
        <f>'Mapa final'!$B$29</f>
        <v>TIN_01</v>
      </c>
      <c r="C33" s="434" t="str">
        <f>'Mapa final'!$H$29</f>
        <v>Posibilidad de afectación económica y reputacional por registro inoportuno en la Historia Clínica  del estado de salud y la atención brindada, debido a la interrupción en la prestación de los servicios tecnológicos de la entidad.</v>
      </c>
      <c r="D33" s="466"/>
      <c r="E33" s="467"/>
      <c r="F33" s="463" t="str">
        <f t="shared" si="1"/>
        <v>No</v>
      </c>
      <c r="G33" s="463" t="str">
        <f t="shared" si="1"/>
        <v>No</v>
      </c>
      <c r="H33" s="463" t="str">
        <f t="shared" si="1"/>
        <v>No</v>
      </c>
      <c r="I33" s="463" t="str">
        <f t="shared" si="1"/>
        <v>No</v>
      </c>
      <c r="J33" s="463" t="str">
        <f t="shared" si="1"/>
        <v>No</v>
      </c>
      <c r="K33" s="463" t="str">
        <f t="shared" si="1"/>
        <v>No</v>
      </c>
      <c r="L33" s="463" t="str">
        <f t="shared" si="1"/>
        <v>No</v>
      </c>
      <c r="M33" s="463" t="str">
        <f t="shared" si="1"/>
        <v>No</v>
      </c>
      <c r="N33" s="146"/>
      <c r="O33" s="146"/>
      <c r="P33" s="146"/>
      <c r="Q33" s="146"/>
      <c r="R33" s="146"/>
      <c r="S33" s="146"/>
      <c r="T33" s="146"/>
      <c r="U33" s="146"/>
      <c r="V33" s="146"/>
      <c r="W33" s="146"/>
      <c r="X33" s="146"/>
      <c r="Y33" s="146"/>
      <c r="Z33" s="146"/>
      <c r="AA33" s="146"/>
      <c r="AB33" s="146"/>
      <c r="AC33" s="146"/>
      <c r="AD33" s="146"/>
      <c r="AE33" s="146"/>
      <c r="AF33" s="146"/>
      <c r="AG33" s="146"/>
      <c r="AH33" s="146"/>
      <c r="AI33" s="146"/>
      <c r="AJ33" s="146"/>
      <c r="AK33" s="146"/>
      <c r="AL33" s="146"/>
      <c r="AM33" s="146"/>
      <c r="AN33" s="146"/>
      <c r="AO33" s="146"/>
      <c r="AP33" s="146"/>
      <c r="AQ33" s="146"/>
      <c r="AR33" s="146"/>
      <c r="AS33" s="146"/>
      <c r="AT33" s="146"/>
      <c r="AU33" s="146"/>
      <c r="AV33" s="146"/>
      <c r="AW33" s="146"/>
      <c r="AX33" s="146"/>
      <c r="AY33" s="146"/>
      <c r="AZ33" s="146"/>
      <c r="BA33" s="146"/>
      <c r="BB33" s="146"/>
      <c r="BC33" s="146"/>
      <c r="BD33" s="146"/>
      <c r="BE33" s="146"/>
      <c r="BF33" s="146"/>
      <c r="BG33" s="146"/>
      <c r="BH33" s="146"/>
      <c r="BI33" s="146"/>
      <c r="BJ33" s="146"/>
      <c r="BK33" s="146"/>
      <c r="BL33" s="146"/>
      <c r="BM33" s="146"/>
      <c r="BN33" s="146"/>
      <c r="BO33" s="146"/>
      <c r="BP33" s="146"/>
      <c r="BQ33" s="146"/>
      <c r="BR33" s="146"/>
    </row>
    <row r="34" spans="1:70" s="147" customFormat="1" ht="111" customHeight="1" x14ac:dyDescent="0.3">
      <c r="A34" s="662"/>
      <c r="B34" s="433"/>
      <c r="C34" s="434"/>
      <c r="D34" s="466"/>
      <c r="E34" s="467"/>
      <c r="F34" s="463"/>
      <c r="G34" s="463"/>
      <c r="H34" s="463"/>
      <c r="I34" s="463"/>
      <c r="J34" s="463"/>
      <c r="K34" s="463"/>
      <c r="L34" s="463"/>
      <c r="M34" s="463"/>
      <c r="N34" s="146"/>
      <c r="O34" s="146"/>
      <c r="P34" s="146"/>
      <c r="Q34" s="146"/>
      <c r="R34" s="146"/>
      <c r="S34" s="146"/>
      <c r="T34" s="146"/>
      <c r="U34" s="146"/>
      <c r="V34" s="146"/>
      <c r="W34" s="146"/>
      <c r="X34" s="146"/>
      <c r="Y34" s="146"/>
      <c r="Z34" s="146"/>
      <c r="AA34" s="146"/>
      <c r="AB34" s="146"/>
      <c r="AC34" s="146"/>
      <c r="AD34" s="146"/>
      <c r="AE34" s="146"/>
      <c r="AF34" s="146"/>
      <c r="AG34" s="146"/>
      <c r="AH34" s="146"/>
      <c r="AI34" s="146"/>
      <c r="AJ34" s="146"/>
      <c r="AK34" s="146"/>
      <c r="AL34" s="146"/>
      <c r="AM34" s="146"/>
      <c r="AN34" s="146"/>
      <c r="AO34" s="146"/>
      <c r="AP34" s="146"/>
      <c r="AQ34" s="146"/>
      <c r="AR34" s="146"/>
      <c r="AS34" s="146"/>
      <c r="AT34" s="146"/>
      <c r="AU34" s="146"/>
      <c r="AV34" s="146"/>
      <c r="AW34" s="146"/>
      <c r="AX34" s="146"/>
      <c r="AY34" s="146"/>
      <c r="AZ34" s="146"/>
      <c r="BA34" s="146"/>
      <c r="BB34" s="146"/>
      <c r="BC34" s="146"/>
      <c r="BD34" s="146"/>
      <c r="BE34" s="146"/>
      <c r="BF34" s="146"/>
      <c r="BG34" s="146"/>
      <c r="BH34" s="146"/>
      <c r="BI34" s="146"/>
      <c r="BJ34" s="146"/>
      <c r="BK34" s="146"/>
      <c r="BL34" s="146"/>
      <c r="BM34" s="146"/>
      <c r="BN34" s="146"/>
      <c r="BO34" s="146"/>
      <c r="BP34" s="146"/>
      <c r="BQ34" s="146"/>
      <c r="BR34" s="146"/>
    </row>
    <row r="35" spans="1:70" s="147" customFormat="1" ht="111" customHeight="1" x14ac:dyDescent="0.3">
      <c r="A35" s="662"/>
      <c r="B35" s="433"/>
      <c r="C35" s="434"/>
      <c r="D35" s="466"/>
      <c r="E35" s="467"/>
      <c r="F35" s="463"/>
      <c r="G35" s="463"/>
      <c r="H35" s="463"/>
      <c r="I35" s="463"/>
      <c r="J35" s="463"/>
      <c r="K35" s="463"/>
      <c r="L35" s="463"/>
      <c r="M35" s="463"/>
      <c r="N35" s="146"/>
      <c r="O35" s="146"/>
      <c r="P35" s="146"/>
      <c r="Q35" s="146"/>
      <c r="R35" s="146"/>
      <c r="S35" s="146"/>
      <c r="T35" s="146"/>
      <c r="U35" s="146"/>
      <c r="V35" s="146"/>
      <c r="W35" s="146"/>
      <c r="X35" s="146"/>
      <c r="Y35" s="146"/>
      <c r="Z35" s="146"/>
      <c r="AA35" s="146"/>
      <c r="AB35" s="146"/>
      <c r="AC35" s="146"/>
      <c r="AD35" s="146"/>
      <c r="AE35" s="146"/>
      <c r="AF35" s="146"/>
      <c r="AG35" s="146"/>
      <c r="AH35" s="146"/>
      <c r="AI35" s="146"/>
      <c r="AJ35" s="146"/>
      <c r="AK35" s="146"/>
      <c r="AL35" s="146"/>
      <c r="AM35" s="146"/>
      <c r="AN35" s="146"/>
      <c r="AO35" s="146"/>
      <c r="AP35" s="146"/>
      <c r="AQ35" s="146"/>
      <c r="AR35" s="146"/>
      <c r="AS35" s="146"/>
      <c r="AT35" s="146"/>
      <c r="AU35" s="146"/>
      <c r="AV35" s="146"/>
      <c r="AW35" s="146"/>
      <c r="AX35" s="146"/>
      <c r="AY35" s="146"/>
      <c r="AZ35" s="146"/>
      <c r="BA35" s="146"/>
      <c r="BB35" s="146"/>
      <c r="BC35" s="146"/>
      <c r="BD35" s="146"/>
      <c r="BE35" s="146"/>
      <c r="BF35" s="146"/>
      <c r="BG35" s="146"/>
      <c r="BH35" s="146"/>
      <c r="BI35" s="146"/>
      <c r="BJ35" s="146"/>
      <c r="BK35" s="146"/>
      <c r="BL35" s="146"/>
      <c r="BM35" s="146"/>
      <c r="BN35" s="146"/>
      <c r="BO35" s="146"/>
      <c r="BP35" s="146"/>
      <c r="BQ35" s="146"/>
      <c r="BR35" s="146"/>
    </row>
    <row r="36" spans="1:70" s="147" customFormat="1" ht="111" customHeight="1" x14ac:dyDescent="0.3">
      <c r="A36" s="662"/>
      <c r="B36" s="433" t="str">
        <f>'Mapa final'!$B$33</f>
        <v>TIN_02</v>
      </c>
      <c r="C36" s="434" t="str">
        <f>'Mapa final'!$H$33</f>
        <v xml:space="preserve">Posibilidad de afectación reputacional y perdida de la confidencialidad por el acceso a  información clasificada o reservada de los usuarios del HOMIL, debido a falta de control del ciclo de vida de las credenciales de acceso a la infraestructura tecnológica de la entidad. </v>
      </c>
      <c r="D36" s="466"/>
      <c r="E36" s="467"/>
      <c r="F36" s="463" t="str">
        <f t="shared" si="1"/>
        <v>No</v>
      </c>
      <c r="G36" s="463" t="str">
        <f t="shared" si="1"/>
        <v>No</v>
      </c>
      <c r="H36" s="463" t="str">
        <f t="shared" si="1"/>
        <v>No</v>
      </c>
      <c r="I36" s="463" t="str">
        <f t="shared" si="1"/>
        <v>No</v>
      </c>
      <c r="J36" s="463" t="str">
        <f t="shared" si="1"/>
        <v>No</v>
      </c>
      <c r="K36" s="463" t="str">
        <f t="shared" si="1"/>
        <v>No</v>
      </c>
      <c r="L36" s="463" t="str">
        <f t="shared" si="1"/>
        <v>No</v>
      </c>
      <c r="M36" s="463" t="str">
        <f t="shared" si="1"/>
        <v>No</v>
      </c>
      <c r="N36" s="146"/>
      <c r="O36" s="146"/>
      <c r="P36" s="146"/>
      <c r="Q36" s="146"/>
      <c r="R36" s="146"/>
      <c r="S36" s="146"/>
      <c r="T36" s="146"/>
      <c r="U36" s="146"/>
      <c r="V36" s="146"/>
      <c r="W36" s="146"/>
      <c r="X36" s="146"/>
      <c r="Y36" s="146"/>
      <c r="Z36" s="146"/>
      <c r="AA36" s="146"/>
      <c r="AB36" s="146"/>
      <c r="AC36" s="146"/>
      <c r="AD36" s="146"/>
      <c r="AE36" s="146"/>
      <c r="AF36" s="146"/>
      <c r="AG36" s="146"/>
      <c r="AH36" s="146"/>
      <c r="AI36" s="146"/>
      <c r="AJ36" s="146"/>
      <c r="AK36" s="146"/>
      <c r="AL36" s="146"/>
      <c r="AM36" s="146"/>
      <c r="AN36" s="146"/>
      <c r="AO36" s="146"/>
      <c r="AP36" s="146"/>
      <c r="AQ36" s="146"/>
      <c r="AR36" s="146"/>
      <c r="AS36" s="146"/>
      <c r="AT36" s="146"/>
      <c r="AU36" s="146"/>
      <c r="AV36" s="146"/>
      <c r="AW36" s="146"/>
      <c r="AX36" s="146"/>
      <c r="AY36" s="146"/>
      <c r="AZ36" s="146"/>
      <c r="BA36" s="146"/>
      <c r="BB36" s="146"/>
      <c r="BC36" s="146"/>
      <c r="BD36" s="146"/>
      <c r="BE36" s="146"/>
      <c r="BF36" s="146"/>
      <c r="BG36" s="146"/>
      <c r="BH36" s="146"/>
      <c r="BI36" s="146"/>
      <c r="BJ36" s="146"/>
      <c r="BK36" s="146"/>
      <c r="BL36" s="146"/>
      <c r="BM36" s="146"/>
      <c r="BN36" s="146"/>
      <c r="BO36" s="146"/>
      <c r="BP36" s="146"/>
      <c r="BQ36" s="146"/>
      <c r="BR36" s="146"/>
    </row>
    <row r="37" spans="1:70" s="147" customFormat="1" ht="111" customHeight="1" x14ac:dyDescent="0.3">
      <c r="A37" s="662"/>
      <c r="B37" s="433"/>
      <c r="C37" s="434"/>
      <c r="D37" s="466"/>
      <c r="E37" s="467"/>
      <c r="F37" s="463"/>
      <c r="G37" s="463"/>
      <c r="H37" s="463"/>
      <c r="I37" s="463"/>
      <c r="J37" s="463"/>
      <c r="K37" s="463"/>
      <c r="L37" s="463"/>
      <c r="M37" s="463"/>
      <c r="N37" s="146"/>
      <c r="O37" s="146"/>
      <c r="P37" s="146"/>
      <c r="Q37" s="146"/>
      <c r="R37" s="146"/>
      <c r="S37" s="146"/>
      <c r="T37" s="146"/>
      <c r="U37" s="146"/>
      <c r="V37" s="146"/>
      <c r="W37" s="146"/>
      <c r="X37" s="146"/>
      <c r="Y37" s="146"/>
      <c r="Z37" s="146"/>
      <c r="AA37" s="146"/>
      <c r="AB37" s="146"/>
      <c r="AC37" s="146"/>
      <c r="AD37" s="146"/>
      <c r="AE37" s="146"/>
      <c r="AF37" s="146"/>
      <c r="AG37" s="146"/>
      <c r="AH37" s="146"/>
      <c r="AI37" s="146"/>
      <c r="AJ37" s="146"/>
      <c r="AK37" s="146"/>
      <c r="AL37" s="146"/>
      <c r="AM37" s="146"/>
      <c r="AN37" s="146"/>
      <c r="AO37" s="146"/>
      <c r="AP37" s="146"/>
      <c r="AQ37" s="146"/>
      <c r="AR37" s="146"/>
      <c r="AS37" s="146"/>
      <c r="AT37" s="146"/>
      <c r="AU37" s="146"/>
      <c r="AV37" s="146"/>
      <c r="AW37" s="146"/>
      <c r="AX37" s="146"/>
      <c r="AY37" s="146"/>
      <c r="AZ37" s="146"/>
      <c r="BA37" s="146"/>
      <c r="BB37" s="146"/>
      <c r="BC37" s="146"/>
      <c r="BD37" s="146"/>
      <c r="BE37" s="146"/>
      <c r="BF37" s="146"/>
      <c r="BG37" s="146"/>
      <c r="BH37" s="146"/>
      <c r="BI37" s="146"/>
      <c r="BJ37" s="146"/>
      <c r="BK37" s="146"/>
      <c r="BL37" s="146"/>
      <c r="BM37" s="146"/>
      <c r="BN37" s="146"/>
      <c r="BO37" s="146"/>
      <c r="BP37" s="146"/>
      <c r="BQ37" s="146"/>
      <c r="BR37" s="146"/>
    </row>
    <row r="38" spans="1:70" s="147" customFormat="1" ht="111" customHeight="1" x14ac:dyDescent="0.3">
      <c r="A38" s="662"/>
      <c r="B38" s="433"/>
      <c r="C38" s="434"/>
      <c r="D38" s="466"/>
      <c r="E38" s="467"/>
      <c r="F38" s="463"/>
      <c r="G38" s="463"/>
      <c r="H38" s="463"/>
      <c r="I38" s="463"/>
      <c r="J38" s="463"/>
      <c r="K38" s="463"/>
      <c r="L38" s="463"/>
      <c r="M38" s="463"/>
      <c r="N38" s="146"/>
      <c r="O38" s="146"/>
      <c r="P38" s="146"/>
      <c r="Q38" s="146"/>
      <c r="R38" s="146"/>
      <c r="S38" s="146"/>
      <c r="T38" s="146"/>
      <c r="U38" s="146"/>
      <c r="V38" s="146"/>
      <c r="W38" s="146"/>
      <c r="X38" s="146"/>
      <c r="Y38" s="146"/>
      <c r="Z38" s="146"/>
      <c r="AA38" s="146"/>
      <c r="AB38" s="146"/>
      <c r="AC38" s="146"/>
      <c r="AD38" s="146"/>
      <c r="AE38" s="146"/>
      <c r="AF38" s="146"/>
      <c r="AG38" s="146"/>
      <c r="AH38" s="146"/>
      <c r="AI38" s="146"/>
      <c r="AJ38" s="146"/>
      <c r="AK38" s="146"/>
      <c r="AL38" s="146"/>
      <c r="AM38" s="146"/>
      <c r="AN38" s="146"/>
      <c r="AO38" s="146"/>
      <c r="AP38" s="146"/>
      <c r="AQ38" s="146"/>
      <c r="AR38" s="146"/>
      <c r="AS38" s="146"/>
      <c r="AT38" s="146"/>
      <c r="AU38" s="146"/>
      <c r="AV38" s="146"/>
      <c r="AW38" s="146"/>
      <c r="AX38" s="146"/>
      <c r="AY38" s="146"/>
      <c r="AZ38" s="146"/>
      <c r="BA38" s="146"/>
      <c r="BB38" s="146"/>
      <c r="BC38" s="146"/>
      <c r="BD38" s="146"/>
      <c r="BE38" s="146"/>
      <c r="BF38" s="146"/>
      <c r="BG38" s="146"/>
      <c r="BH38" s="146"/>
      <c r="BI38" s="146"/>
      <c r="BJ38" s="146"/>
      <c r="BK38" s="146"/>
      <c r="BL38" s="146"/>
      <c r="BM38" s="146"/>
      <c r="BN38" s="146"/>
      <c r="BO38" s="146"/>
      <c r="BP38" s="146"/>
      <c r="BQ38" s="146"/>
      <c r="BR38" s="146"/>
    </row>
    <row r="39" spans="1:70" s="147" customFormat="1" ht="111" customHeight="1" x14ac:dyDescent="0.3">
      <c r="A39" s="662"/>
      <c r="B39" s="433" t="str">
        <f>'Mapa final'!$B$38</f>
        <v>TIN_03</v>
      </c>
      <c r="C39" s="434" t="str">
        <f>'Mapa final'!$H$38</f>
        <v>Posibilidad de afectación económica por no disponibilidad de la información clínica  de los usuarios del  HOMIL, debido a falta de respaldo (copias de seguridad) de la información.</v>
      </c>
      <c r="D39" s="466"/>
      <c r="E39" s="467"/>
      <c r="F39" s="463" t="str">
        <f t="shared" si="1"/>
        <v>No</v>
      </c>
      <c r="G39" s="463" t="str">
        <f t="shared" si="1"/>
        <v>No</v>
      </c>
      <c r="H39" s="463" t="str">
        <f t="shared" si="1"/>
        <v>No</v>
      </c>
      <c r="I39" s="463" t="str">
        <f t="shared" si="1"/>
        <v>No</v>
      </c>
      <c r="J39" s="463" t="str">
        <f t="shared" si="1"/>
        <v>No</v>
      </c>
      <c r="K39" s="463" t="str">
        <f t="shared" si="1"/>
        <v>No</v>
      </c>
      <c r="L39" s="463" t="str">
        <f t="shared" si="1"/>
        <v>No</v>
      </c>
      <c r="M39" s="463" t="str">
        <f t="shared" si="1"/>
        <v>No</v>
      </c>
      <c r="N39" s="146"/>
      <c r="O39" s="146"/>
      <c r="P39" s="146"/>
      <c r="Q39" s="146"/>
      <c r="R39" s="146"/>
      <c r="S39" s="146"/>
      <c r="T39" s="146"/>
      <c r="U39" s="146"/>
      <c r="V39" s="146"/>
      <c r="W39" s="146"/>
      <c r="X39" s="146"/>
      <c r="Y39" s="146"/>
      <c r="Z39" s="146"/>
      <c r="AA39" s="146"/>
      <c r="AB39" s="146"/>
      <c r="AC39" s="146"/>
      <c r="AD39" s="146"/>
      <c r="AE39" s="146"/>
      <c r="AF39" s="146"/>
      <c r="AG39" s="146"/>
      <c r="AH39" s="146"/>
      <c r="AI39" s="146"/>
      <c r="AJ39" s="146"/>
      <c r="AK39" s="146"/>
      <c r="AL39" s="146"/>
      <c r="AM39" s="146"/>
      <c r="AN39" s="146"/>
      <c r="AO39" s="146"/>
      <c r="AP39" s="146"/>
      <c r="AQ39" s="146"/>
      <c r="AR39" s="146"/>
      <c r="AS39" s="146"/>
      <c r="AT39" s="146"/>
      <c r="AU39" s="146"/>
      <c r="AV39" s="146"/>
      <c r="AW39" s="146"/>
      <c r="AX39" s="146"/>
      <c r="AY39" s="146"/>
      <c r="AZ39" s="146"/>
      <c r="BA39" s="146"/>
      <c r="BB39" s="146"/>
      <c r="BC39" s="146"/>
      <c r="BD39" s="146"/>
      <c r="BE39" s="146"/>
      <c r="BF39" s="146"/>
      <c r="BG39" s="146"/>
      <c r="BH39" s="146"/>
      <c r="BI39" s="146"/>
      <c r="BJ39" s="146"/>
      <c r="BK39" s="146"/>
      <c r="BL39" s="146"/>
      <c r="BM39" s="146"/>
      <c r="BN39" s="146"/>
      <c r="BO39" s="146"/>
      <c r="BP39" s="146"/>
      <c r="BQ39" s="146"/>
      <c r="BR39" s="146"/>
    </row>
    <row r="40" spans="1:70" s="147" customFormat="1" ht="111" customHeight="1" x14ac:dyDescent="0.3">
      <c r="A40" s="662"/>
      <c r="B40" s="433"/>
      <c r="C40" s="434"/>
      <c r="D40" s="466"/>
      <c r="E40" s="467"/>
      <c r="F40" s="463"/>
      <c r="G40" s="463"/>
      <c r="H40" s="463"/>
      <c r="I40" s="463"/>
      <c r="J40" s="463"/>
      <c r="K40" s="463"/>
      <c r="L40" s="463"/>
      <c r="M40" s="463"/>
      <c r="N40" s="146"/>
      <c r="O40" s="146"/>
      <c r="P40" s="146"/>
      <c r="Q40" s="146"/>
      <c r="R40" s="146"/>
      <c r="S40" s="146"/>
      <c r="T40" s="146"/>
      <c r="U40" s="146"/>
      <c r="V40" s="146"/>
      <c r="W40" s="146"/>
      <c r="X40" s="146"/>
      <c r="Y40" s="146"/>
      <c r="Z40" s="146"/>
      <c r="AA40" s="146"/>
      <c r="AB40" s="146"/>
      <c r="AC40" s="146"/>
      <c r="AD40" s="146"/>
      <c r="AE40" s="146"/>
      <c r="AF40" s="146"/>
      <c r="AG40" s="146"/>
      <c r="AH40" s="146"/>
      <c r="AI40" s="146"/>
      <c r="AJ40" s="146"/>
      <c r="AK40" s="146"/>
      <c r="AL40" s="146"/>
      <c r="AM40" s="146"/>
      <c r="AN40" s="146"/>
      <c r="AO40" s="146"/>
      <c r="AP40" s="146"/>
      <c r="AQ40" s="146"/>
      <c r="AR40" s="146"/>
      <c r="AS40" s="146"/>
      <c r="AT40" s="146"/>
      <c r="AU40" s="146"/>
      <c r="AV40" s="146"/>
      <c r="AW40" s="146"/>
      <c r="AX40" s="146"/>
      <c r="AY40" s="146"/>
      <c r="AZ40" s="146"/>
      <c r="BA40" s="146"/>
      <c r="BB40" s="146"/>
      <c r="BC40" s="146"/>
      <c r="BD40" s="146"/>
      <c r="BE40" s="146"/>
      <c r="BF40" s="146"/>
      <c r="BG40" s="146"/>
      <c r="BH40" s="146"/>
      <c r="BI40" s="146"/>
      <c r="BJ40" s="146"/>
      <c r="BK40" s="146"/>
      <c r="BL40" s="146"/>
      <c r="BM40" s="146"/>
      <c r="BN40" s="146"/>
      <c r="BO40" s="146"/>
      <c r="BP40" s="146"/>
      <c r="BQ40" s="146"/>
      <c r="BR40" s="146"/>
    </row>
    <row r="41" spans="1:70" s="147" customFormat="1" ht="111" customHeight="1" x14ac:dyDescent="0.3">
      <c r="A41" s="662"/>
      <c r="B41" s="433"/>
      <c r="C41" s="434"/>
      <c r="D41" s="466"/>
      <c r="E41" s="467"/>
      <c r="F41" s="463"/>
      <c r="G41" s="463"/>
      <c r="H41" s="463"/>
      <c r="I41" s="463"/>
      <c r="J41" s="463"/>
      <c r="K41" s="463"/>
      <c r="L41" s="463"/>
      <c r="M41" s="463"/>
      <c r="N41" s="146"/>
      <c r="O41" s="146"/>
      <c r="P41" s="146"/>
      <c r="Q41" s="146"/>
      <c r="R41" s="146"/>
      <c r="S41" s="146"/>
      <c r="T41" s="146"/>
      <c r="U41" s="146"/>
      <c r="V41" s="146"/>
      <c r="W41" s="146"/>
      <c r="X41" s="146"/>
      <c r="Y41" s="146"/>
      <c r="Z41" s="146"/>
      <c r="AA41" s="146"/>
      <c r="AB41" s="146"/>
      <c r="AC41" s="146"/>
      <c r="AD41" s="146"/>
      <c r="AE41" s="146"/>
      <c r="AF41" s="146"/>
      <c r="AG41" s="146"/>
      <c r="AH41" s="146"/>
      <c r="AI41" s="146"/>
      <c r="AJ41" s="146"/>
      <c r="AK41" s="146"/>
      <c r="AL41" s="146"/>
      <c r="AM41" s="146"/>
      <c r="AN41" s="146"/>
      <c r="AO41" s="146"/>
      <c r="AP41" s="146"/>
      <c r="AQ41" s="146"/>
      <c r="AR41" s="146"/>
      <c r="AS41" s="146"/>
      <c r="AT41" s="146"/>
      <c r="AU41" s="146"/>
      <c r="AV41" s="146"/>
      <c r="AW41" s="146"/>
      <c r="AX41" s="146"/>
      <c r="AY41" s="146"/>
      <c r="AZ41" s="146"/>
      <c r="BA41" s="146"/>
      <c r="BB41" s="146"/>
      <c r="BC41" s="146"/>
      <c r="BD41" s="146"/>
      <c r="BE41" s="146"/>
      <c r="BF41" s="146"/>
      <c r="BG41" s="146"/>
      <c r="BH41" s="146"/>
      <c r="BI41" s="146"/>
      <c r="BJ41" s="146"/>
      <c r="BK41" s="146"/>
      <c r="BL41" s="146"/>
      <c r="BM41" s="146"/>
      <c r="BN41" s="146"/>
      <c r="BO41" s="146"/>
      <c r="BP41" s="146"/>
      <c r="BQ41" s="146"/>
      <c r="BR41" s="146"/>
    </row>
    <row r="42" spans="1:70" ht="48.75" customHeight="1" x14ac:dyDescent="0.3">
      <c r="A42" s="662"/>
      <c r="B42" s="496"/>
      <c r="C42" s="497"/>
      <c r="D42" s="466"/>
      <c r="E42" s="467"/>
      <c r="F42" s="463" t="str">
        <f t="shared" ref="F42:M57" si="2">IFERROR(IF($E42="","No",IF($E42="No","No"," "))," ")</f>
        <v>No</v>
      </c>
      <c r="G42" s="463" t="str">
        <f t="shared" si="2"/>
        <v>No</v>
      </c>
      <c r="H42" s="463" t="str">
        <f t="shared" si="2"/>
        <v>No</v>
      </c>
      <c r="I42" s="463" t="str">
        <f t="shared" si="2"/>
        <v>No</v>
      </c>
      <c r="J42" s="463" t="str">
        <f t="shared" si="2"/>
        <v>No</v>
      </c>
      <c r="K42" s="463" t="str">
        <f t="shared" si="2"/>
        <v>No</v>
      </c>
      <c r="L42" s="463" t="str">
        <f t="shared" si="2"/>
        <v>No</v>
      </c>
      <c r="M42" s="463" t="str">
        <f t="shared" si="2"/>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8.75" customHeight="1" x14ac:dyDescent="0.3">
      <c r="A43" s="662"/>
      <c r="B43" s="496"/>
      <c r="C43" s="497"/>
      <c r="D43" s="466"/>
      <c r="E43" s="467"/>
      <c r="F43" s="463"/>
      <c r="G43" s="463"/>
      <c r="H43" s="463"/>
      <c r="I43" s="463"/>
      <c r="J43" s="463"/>
      <c r="K43" s="463"/>
      <c r="L43" s="463"/>
      <c r="M43" s="463"/>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8.75" customHeight="1" x14ac:dyDescent="0.3">
      <c r="A44" s="662"/>
      <c r="B44" s="496"/>
      <c r="C44" s="497"/>
      <c r="D44" s="466"/>
      <c r="E44" s="467"/>
      <c r="F44" s="463"/>
      <c r="G44" s="463"/>
      <c r="H44" s="463"/>
      <c r="I44" s="463"/>
      <c r="J44" s="463"/>
      <c r="K44" s="463"/>
      <c r="L44" s="463"/>
      <c r="M44" s="463"/>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8.75" customHeight="1" x14ac:dyDescent="0.3">
      <c r="A45" s="662"/>
      <c r="B45" s="496"/>
      <c r="C45" s="497"/>
      <c r="D45" s="466"/>
      <c r="E45" s="467"/>
      <c r="F45" s="463" t="str">
        <f t="shared" si="2"/>
        <v>No</v>
      </c>
      <c r="G45" s="463" t="str">
        <f t="shared" si="2"/>
        <v>No</v>
      </c>
      <c r="H45" s="463" t="str">
        <f t="shared" si="2"/>
        <v>No</v>
      </c>
      <c r="I45" s="463" t="str">
        <f t="shared" si="2"/>
        <v>No</v>
      </c>
      <c r="J45" s="463" t="str">
        <f t="shared" si="2"/>
        <v>No</v>
      </c>
      <c r="K45" s="463" t="str">
        <f t="shared" si="2"/>
        <v>No</v>
      </c>
      <c r="L45" s="463" t="str">
        <f t="shared" si="2"/>
        <v>No</v>
      </c>
      <c r="M45" s="463" t="str">
        <f t="shared" si="2"/>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8.75" customHeight="1" x14ac:dyDescent="0.3">
      <c r="A46" s="662"/>
      <c r="B46" s="496"/>
      <c r="C46" s="497"/>
      <c r="D46" s="466"/>
      <c r="E46" s="467"/>
      <c r="F46" s="463"/>
      <c r="G46" s="463"/>
      <c r="H46" s="463"/>
      <c r="I46" s="463"/>
      <c r="J46" s="463"/>
      <c r="K46" s="463"/>
      <c r="L46" s="463"/>
      <c r="M46" s="463"/>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8.75" customHeight="1" x14ac:dyDescent="0.3">
      <c r="A47" s="662"/>
      <c r="B47" s="496"/>
      <c r="C47" s="497"/>
      <c r="D47" s="466"/>
      <c r="E47" s="467"/>
      <c r="F47" s="463"/>
      <c r="G47" s="463"/>
      <c r="H47" s="463"/>
      <c r="I47" s="463"/>
      <c r="J47" s="463"/>
      <c r="K47" s="463"/>
      <c r="L47" s="463"/>
      <c r="M47" s="463"/>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row r="48" spans="1:70" ht="48.75" customHeight="1" x14ac:dyDescent="0.3">
      <c r="A48" s="662"/>
      <c r="B48" s="496"/>
      <c r="C48" s="497"/>
      <c r="D48" s="466"/>
      <c r="E48" s="467"/>
      <c r="F48" s="463" t="str">
        <f t="shared" si="2"/>
        <v>No</v>
      </c>
      <c r="G48" s="463" t="str">
        <f t="shared" si="2"/>
        <v>No</v>
      </c>
      <c r="H48" s="463" t="str">
        <f t="shared" si="2"/>
        <v>No</v>
      </c>
      <c r="I48" s="463" t="str">
        <f t="shared" si="2"/>
        <v>No</v>
      </c>
      <c r="J48" s="463" t="str">
        <f t="shared" si="2"/>
        <v>No</v>
      </c>
      <c r="K48" s="463" t="str">
        <f t="shared" si="2"/>
        <v>No</v>
      </c>
      <c r="L48" s="463" t="str">
        <f t="shared" si="2"/>
        <v>No</v>
      </c>
      <c r="M48" s="463" t="str">
        <f t="shared" si="2"/>
        <v>No</v>
      </c>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c r="AO48" s="148"/>
      <c r="AP48" s="148"/>
      <c r="AQ48" s="148"/>
      <c r="AR48" s="148"/>
      <c r="AS48" s="148"/>
      <c r="AT48" s="148"/>
      <c r="AU48" s="148"/>
      <c r="AV48" s="148"/>
      <c r="AW48" s="148"/>
      <c r="AX48" s="148"/>
      <c r="AY48" s="148"/>
      <c r="AZ48" s="148"/>
      <c r="BA48" s="148"/>
      <c r="BB48" s="148"/>
      <c r="BC48" s="148"/>
      <c r="BD48" s="148"/>
      <c r="BE48" s="148"/>
      <c r="BF48" s="148"/>
      <c r="BG48" s="148"/>
      <c r="BH48" s="148"/>
      <c r="BI48" s="148"/>
      <c r="BJ48" s="148"/>
      <c r="BK48" s="148"/>
      <c r="BL48" s="148"/>
      <c r="BM48" s="148"/>
      <c r="BN48" s="148"/>
      <c r="BO48" s="148"/>
      <c r="BP48" s="148"/>
      <c r="BQ48" s="148"/>
      <c r="BR48" s="148"/>
    </row>
    <row r="49" spans="1:70" ht="48.75" customHeight="1" x14ac:dyDescent="0.3">
      <c r="A49" s="662"/>
      <c r="B49" s="496"/>
      <c r="C49" s="497"/>
      <c r="D49" s="466"/>
      <c r="E49" s="467"/>
      <c r="F49" s="463"/>
      <c r="G49" s="463"/>
      <c r="H49" s="463"/>
      <c r="I49" s="463"/>
      <c r="J49" s="463"/>
      <c r="K49" s="463"/>
      <c r="L49" s="463"/>
      <c r="M49" s="463"/>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c r="BI49" s="148"/>
      <c r="BJ49" s="148"/>
      <c r="BK49" s="148"/>
      <c r="BL49" s="148"/>
      <c r="BM49" s="148"/>
      <c r="BN49" s="148"/>
      <c r="BO49" s="148"/>
      <c r="BP49" s="148"/>
      <c r="BQ49" s="148"/>
      <c r="BR49" s="148"/>
    </row>
    <row r="50" spans="1:70" ht="48.75" customHeight="1" x14ac:dyDescent="0.3">
      <c r="A50" s="662"/>
      <c r="B50" s="496"/>
      <c r="C50" s="497"/>
      <c r="D50" s="466"/>
      <c r="E50" s="467"/>
      <c r="F50" s="463"/>
      <c r="G50" s="463"/>
      <c r="H50" s="463"/>
      <c r="I50" s="463"/>
      <c r="J50" s="463"/>
      <c r="K50" s="463"/>
      <c r="L50" s="463"/>
      <c r="M50" s="463"/>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c r="AO50" s="148"/>
      <c r="AP50" s="148"/>
      <c r="AQ50" s="148"/>
      <c r="AR50" s="148"/>
      <c r="AS50" s="148"/>
      <c r="AT50" s="148"/>
      <c r="AU50" s="148"/>
      <c r="AV50" s="148"/>
      <c r="AW50" s="148"/>
      <c r="AX50" s="148"/>
      <c r="AY50" s="148"/>
      <c r="AZ50" s="148"/>
      <c r="BA50" s="148"/>
      <c r="BB50" s="148"/>
      <c r="BC50" s="148"/>
      <c r="BD50" s="148"/>
      <c r="BE50" s="148"/>
      <c r="BF50" s="148"/>
      <c r="BG50" s="148"/>
      <c r="BH50" s="148"/>
      <c r="BI50" s="148"/>
      <c r="BJ50" s="148"/>
      <c r="BK50" s="148"/>
      <c r="BL50" s="148"/>
      <c r="BM50" s="148"/>
      <c r="BN50" s="148"/>
      <c r="BO50" s="148"/>
      <c r="BP50" s="148"/>
      <c r="BQ50" s="148"/>
      <c r="BR50" s="148"/>
    </row>
    <row r="51" spans="1:70" ht="48.75" customHeight="1" x14ac:dyDescent="0.3">
      <c r="A51" s="662"/>
      <c r="B51" s="496"/>
      <c r="C51" s="497"/>
      <c r="D51" s="466"/>
      <c r="E51" s="467"/>
      <c r="F51" s="463" t="str">
        <f t="shared" si="2"/>
        <v>No</v>
      </c>
      <c r="G51" s="463" t="str">
        <f t="shared" si="2"/>
        <v>No</v>
      </c>
      <c r="H51" s="463" t="str">
        <f t="shared" si="2"/>
        <v>No</v>
      </c>
      <c r="I51" s="463" t="str">
        <f t="shared" si="2"/>
        <v>No</v>
      </c>
      <c r="J51" s="463" t="str">
        <f t="shared" si="2"/>
        <v>No</v>
      </c>
      <c r="K51" s="463" t="str">
        <f t="shared" si="2"/>
        <v>No</v>
      </c>
      <c r="L51" s="463" t="str">
        <f t="shared" si="2"/>
        <v>No</v>
      </c>
      <c r="M51" s="463" t="str">
        <f t="shared" si="2"/>
        <v>No</v>
      </c>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c r="AO51" s="148"/>
      <c r="AP51" s="148"/>
      <c r="AQ51" s="148"/>
      <c r="AR51" s="148"/>
      <c r="AS51" s="148"/>
      <c r="AT51" s="148"/>
      <c r="AU51" s="148"/>
      <c r="AV51" s="148"/>
      <c r="AW51" s="148"/>
      <c r="AX51" s="148"/>
      <c r="AY51" s="148"/>
      <c r="AZ51" s="148"/>
      <c r="BA51" s="148"/>
      <c r="BB51" s="148"/>
      <c r="BC51" s="148"/>
      <c r="BD51" s="148"/>
      <c r="BE51" s="148"/>
      <c r="BF51" s="148"/>
      <c r="BG51" s="148"/>
      <c r="BH51" s="148"/>
      <c r="BI51" s="148"/>
      <c r="BJ51" s="148"/>
      <c r="BK51" s="148"/>
      <c r="BL51" s="148"/>
      <c r="BM51" s="148"/>
      <c r="BN51" s="148"/>
      <c r="BO51" s="148"/>
      <c r="BP51" s="148"/>
      <c r="BQ51" s="148"/>
      <c r="BR51" s="148"/>
    </row>
    <row r="52" spans="1:70" ht="48.75" customHeight="1" x14ac:dyDescent="0.3">
      <c r="A52" s="662"/>
      <c r="B52" s="496"/>
      <c r="C52" s="497"/>
      <c r="D52" s="466"/>
      <c r="E52" s="467"/>
      <c r="F52" s="463"/>
      <c r="G52" s="463"/>
      <c r="H52" s="463"/>
      <c r="I52" s="463"/>
      <c r="J52" s="463"/>
      <c r="K52" s="463"/>
      <c r="L52" s="463"/>
      <c r="M52" s="463"/>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c r="AO52" s="148"/>
      <c r="AP52" s="148"/>
      <c r="AQ52" s="148"/>
      <c r="AR52" s="148"/>
      <c r="AS52" s="148"/>
      <c r="AT52" s="148"/>
      <c r="AU52" s="148"/>
      <c r="AV52" s="148"/>
      <c r="AW52" s="148"/>
      <c r="AX52" s="148"/>
      <c r="AY52" s="148"/>
      <c r="AZ52" s="148"/>
      <c r="BA52" s="148"/>
      <c r="BB52" s="148"/>
      <c r="BC52" s="148"/>
      <c r="BD52" s="148"/>
      <c r="BE52" s="148"/>
      <c r="BF52" s="148"/>
      <c r="BG52" s="148"/>
      <c r="BH52" s="148"/>
      <c r="BI52" s="148"/>
      <c r="BJ52" s="148"/>
      <c r="BK52" s="148"/>
      <c r="BL52" s="148"/>
      <c r="BM52" s="148"/>
      <c r="BN52" s="148"/>
      <c r="BO52" s="148"/>
      <c r="BP52" s="148"/>
      <c r="BQ52" s="148"/>
      <c r="BR52" s="148"/>
    </row>
    <row r="53" spans="1:70" ht="48.75" customHeight="1" x14ac:dyDescent="0.3">
      <c r="A53" s="662"/>
      <c r="B53" s="496"/>
      <c r="C53" s="497"/>
      <c r="D53" s="466"/>
      <c r="E53" s="467"/>
      <c r="F53" s="463"/>
      <c r="G53" s="463"/>
      <c r="H53" s="463"/>
      <c r="I53" s="463"/>
      <c r="J53" s="463"/>
      <c r="K53" s="463"/>
      <c r="L53" s="463"/>
      <c r="M53" s="463"/>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c r="AO53" s="148"/>
      <c r="AP53" s="148"/>
      <c r="AQ53" s="148"/>
      <c r="AR53" s="148"/>
      <c r="AS53" s="148"/>
      <c r="AT53" s="148"/>
      <c r="AU53" s="148"/>
      <c r="AV53" s="148"/>
      <c r="AW53" s="148"/>
      <c r="AX53" s="148"/>
      <c r="AY53" s="148"/>
      <c r="AZ53" s="148"/>
      <c r="BA53" s="148"/>
      <c r="BB53" s="148"/>
      <c r="BC53" s="148"/>
      <c r="BD53" s="148"/>
      <c r="BE53" s="148"/>
      <c r="BF53" s="148"/>
      <c r="BG53" s="148"/>
      <c r="BH53" s="148"/>
      <c r="BI53" s="148"/>
      <c r="BJ53" s="148"/>
      <c r="BK53" s="148"/>
      <c r="BL53" s="148"/>
      <c r="BM53" s="148"/>
      <c r="BN53" s="148"/>
      <c r="BO53" s="148"/>
      <c r="BP53" s="148"/>
      <c r="BQ53" s="148"/>
      <c r="BR53" s="148"/>
    </row>
    <row r="54" spans="1:70" ht="48.75" customHeight="1" x14ac:dyDescent="0.3">
      <c r="A54" s="662"/>
      <c r="B54" s="496"/>
      <c r="C54" s="497"/>
      <c r="D54" s="466"/>
      <c r="E54" s="467"/>
      <c r="F54" s="463" t="str">
        <f t="shared" si="2"/>
        <v>No</v>
      </c>
      <c r="G54" s="463" t="str">
        <f t="shared" si="2"/>
        <v>No</v>
      </c>
      <c r="H54" s="463" t="str">
        <f t="shared" si="2"/>
        <v>No</v>
      </c>
      <c r="I54" s="463" t="str">
        <f t="shared" si="2"/>
        <v>No</v>
      </c>
      <c r="J54" s="463" t="str">
        <f t="shared" si="2"/>
        <v>No</v>
      </c>
      <c r="K54" s="463" t="str">
        <f t="shared" si="2"/>
        <v>No</v>
      </c>
      <c r="L54" s="463" t="str">
        <f t="shared" si="2"/>
        <v>No</v>
      </c>
      <c r="M54" s="463" t="str">
        <f t="shared" si="2"/>
        <v>No</v>
      </c>
      <c r="N54" s="148"/>
      <c r="O54" s="148"/>
      <c r="P54" s="148"/>
      <c r="Q54" s="148"/>
      <c r="R54" s="148"/>
      <c r="S54" s="148"/>
      <c r="T54" s="148"/>
      <c r="U54" s="148"/>
      <c r="V54" s="148"/>
      <c r="W54" s="148"/>
      <c r="X54" s="148"/>
      <c r="Y54" s="148"/>
      <c r="Z54" s="148"/>
      <c r="AA54" s="148"/>
      <c r="AB54" s="148"/>
      <c r="AC54" s="148"/>
      <c r="AD54" s="148"/>
      <c r="AE54" s="148"/>
      <c r="AF54" s="148"/>
      <c r="AG54" s="148"/>
      <c r="AH54" s="148"/>
      <c r="AI54" s="148"/>
      <c r="AJ54" s="148"/>
      <c r="AK54" s="148"/>
      <c r="AL54" s="148"/>
      <c r="AM54" s="148"/>
      <c r="AN54" s="148"/>
      <c r="AO54" s="148"/>
      <c r="AP54" s="148"/>
      <c r="AQ54" s="148"/>
      <c r="AR54" s="148"/>
      <c r="AS54" s="148"/>
      <c r="AT54" s="148"/>
      <c r="AU54" s="148"/>
      <c r="AV54" s="148"/>
      <c r="AW54" s="148"/>
      <c r="AX54" s="148"/>
      <c r="AY54" s="148"/>
      <c r="AZ54" s="148"/>
      <c r="BA54" s="148"/>
      <c r="BB54" s="148"/>
      <c r="BC54" s="148"/>
      <c r="BD54" s="148"/>
      <c r="BE54" s="148"/>
      <c r="BF54" s="148"/>
      <c r="BG54" s="148"/>
      <c r="BH54" s="148"/>
      <c r="BI54" s="148"/>
      <c r="BJ54" s="148"/>
      <c r="BK54" s="148"/>
      <c r="BL54" s="148"/>
      <c r="BM54" s="148"/>
      <c r="BN54" s="148"/>
      <c r="BO54" s="148"/>
      <c r="BP54" s="148"/>
      <c r="BQ54" s="148"/>
      <c r="BR54" s="148"/>
    </row>
    <row r="55" spans="1:70" ht="48.75" customHeight="1" x14ac:dyDescent="0.3">
      <c r="A55" s="662"/>
      <c r="B55" s="496"/>
      <c r="C55" s="497"/>
      <c r="D55" s="466"/>
      <c r="E55" s="467"/>
      <c r="F55" s="463"/>
      <c r="G55" s="463"/>
      <c r="H55" s="463"/>
      <c r="I55" s="463"/>
      <c r="J55" s="463"/>
      <c r="K55" s="463"/>
      <c r="L55" s="463"/>
      <c r="M55" s="463"/>
      <c r="N55" s="148"/>
      <c r="O55" s="148"/>
      <c r="P55" s="148"/>
      <c r="Q55" s="148"/>
      <c r="R55" s="148"/>
      <c r="S55" s="148"/>
      <c r="T55" s="148"/>
      <c r="U55" s="148"/>
      <c r="V55" s="148"/>
      <c r="W55" s="148"/>
      <c r="X55" s="148"/>
      <c r="Y55" s="148"/>
      <c r="Z55" s="148"/>
      <c r="AA55" s="148"/>
      <c r="AB55" s="148"/>
      <c r="AC55" s="148"/>
      <c r="AD55" s="148"/>
      <c r="AE55" s="148"/>
      <c r="AF55" s="148"/>
      <c r="AG55" s="148"/>
      <c r="AH55" s="148"/>
      <c r="AI55" s="148"/>
      <c r="AJ55" s="148"/>
      <c r="AK55" s="148"/>
      <c r="AL55" s="148"/>
      <c r="AM55" s="148"/>
      <c r="AN55" s="148"/>
      <c r="AO55" s="148"/>
      <c r="AP55" s="148"/>
      <c r="AQ55" s="148"/>
      <c r="AR55" s="148"/>
      <c r="AS55" s="148"/>
      <c r="AT55" s="148"/>
      <c r="AU55" s="148"/>
      <c r="AV55" s="148"/>
      <c r="AW55" s="148"/>
      <c r="AX55" s="148"/>
      <c r="AY55" s="148"/>
      <c r="AZ55" s="148"/>
      <c r="BA55" s="148"/>
      <c r="BB55" s="148"/>
      <c r="BC55" s="148"/>
      <c r="BD55" s="148"/>
      <c r="BE55" s="148"/>
      <c r="BF55" s="148"/>
      <c r="BG55" s="148"/>
      <c r="BH55" s="148"/>
      <c r="BI55" s="148"/>
      <c r="BJ55" s="148"/>
      <c r="BK55" s="148"/>
      <c r="BL55" s="148"/>
      <c r="BM55" s="148"/>
      <c r="BN55" s="148"/>
      <c r="BO55" s="148"/>
      <c r="BP55" s="148"/>
      <c r="BQ55" s="148"/>
      <c r="BR55" s="148"/>
    </row>
    <row r="56" spans="1:70" ht="48.75" customHeight="1" x14ac:dyDescent="0.3">
      <c r="A56" s="662"/>
      <c r="B56" s="496"/>
      <c r="C56" s="497"/>
      <c r="D56" s="466"/>
      <c r="E56" s="467"/>
      <c r="F56" s="463"/>
      <c r="G56" s="463"/>
      <c r="H56" s="463"/>
      <c r="I56" s="463"/>
      <c r="J56" s="463"/>
      <c r="K56" s="463"/>
      <c r="L56" s="463"/>
      <c r="M56" s="463"/>
      <c r="N56" s="148"/>
      <c r="O56" s="148"/>
      <c r="P56" s="148"/>
      <c r="Q56" s="148"/>
      <c r="R56" s="148"/>
      <c r="S56" s="148"/>
      <c r="T56" s="148"/>
      <c r="U56" s="148"/>
      <c r="V56" s="148"/>
      <c r="W56" s="148"/>
      <c r="X56" s="148"/>
      <c r="Y56" s="148"/>
      <c r="Z56" s="148"/>
      <c r="AA56" s="148"/>
      <c r="AB56" s="148"/>
      <c r="AC56" s="148"/>
      <c r="AD56" s="148"/>
      <c r="AE56" s="148"/>
      <c r="AF56" s="148"/>
      <c r="AG56" s="148"/>
      <c r="AH56" s="148"/>
      <c r="AI56" s="148"/>
      <c r="AJ56" s="148"/>
      <c r="AK56" s="148"/>
      <c r="AL56" s="148"/>
      <c r="AM56" s="148"/>
      <c r="AN56" s="148"/>
      <c r="AO56" s="148"/>
      <c r="AP56" s="148"/>
      <c r="AQ56" s="148"/>
      <c r="AR56" s="148"/>
      <c r="AS56" s="148"/>
      <c r="AT56" s="148"/>
      <c r="AU56" s="148"/>
      <c r="AV56" s="148"/>
      <c r="AW56" s="148"/>
      <c r="AX56" s="148"/>
      <c r="AY56" s="148"/>
      <c r="AZ56" s="148"/>
      <c r="BA56" s="148"/>
      <c r="BB56" s="148"/>
      <c r="BC56" s="148"/>
      <c r="BD56" s="148"/>
      <c r="BE56" s="148"/>
      <c r="BF56" s="148"/>
      <c r="BG56" s="148"/>
      <c r="BH56" s="148"/>
      <c r="BI56" s="148"/>
      <c r="BJ56" s="148"/>
      <c r="BK56" s="148"/>
      <c r="BL56" s="148"/>
      <c r="BM56" s="148"/>
      <c r="BN56" s="148"/>
      <c r="BO56" s="148"/>
      <c r="BP56" s="148"/>
      <c r="BQ56" s="148"/>
      <c r="BR56" s="148"/>
    </row>
    <row r="57" spans="1:70" ht="48.75" customHeight="1" x14ac:dyDescent="0.3">
      <c r="A57" s="662"/>
      <c r="B57" s="496"/>
      <c r="C57" s="497"/>
      <c r="D57" s="466"/>
      <c r="E57" s="467"/>
      <c r="F57" s="463" t="str">
        <f t="shared" si="2"/>
        <v>No</v>
      </c>
      <c r="G57" s="463" t="str">
        <f t="shared" si="2"/>
        <v>No</v>
      </c>
      <c r="H57" s="463" t="str">
        <f t="shared" si="2"/>
        <v>No</v>
      </c>
      <c r="I57" s="463" t="str">
        <f t="shared" si="2"/>
        <v>No</v>
      </c>
      <c r="J57" s="463" t="str">
        <f t="shared" si="2"/>
        <v>No</v>
      </c>
      <c r="K57" s="463" t="str">
        <f t="shared" si="2"/>
        <v>No</v>
      </c>
      <c r="L57" s="463" t="str">
        <f t="shared" si="2"/>
        <v>No</v>
      </c>
      <c r="M57" s="463" t="str">
        <f t="shared" si="2"/>
        <v>No</v>
      </c>
      <c r="N57" s="148"/>
      <c r="O57" s="148"/>
      <c r="P57" s="148"/>
      <c r="Q57" s="148"/>
      <c r="R57" s="148"/>
      <c r="S57" s="148"/>
      <c r="T57" s="148"/>
      <c r="U57" s="148"/>
      <c r="V57" s="148"/>
      <c r="W57" s="148"/>
      <c r="X57" s="148"/>
      <c r="Y57" s="148"/>
      <c r="Z57" s="148"/>
      <c r="AA57" s="148"/>
      <c r="AB57" s="148"/>
      <c r="AC57" s="148"/>
      <c r="AD57" s="148"/>
      <c r="AE57" s="148"/>
      <c r="AF57" s="148"/>
      <c r="AG57" s="148"/>
      <c r="AH57" s="148"/>
      <c r="AI57" s="148"/>
      <c r="AJ57" s="148"/>
      <c r="AK57" s="148"/>
      <c r="AL57" s="148"/>
      <c r="AM57" s="148"/>
      <c r="AN57" s="148"/>
      <c r="AO57" s="148"/>
      <c r="AP57" s="148"/>
      <c r="AQ57" s="148"/>
      <c r="AR57" s="148"/>
      <c r="AS57" s="148"/>
      <c r="AT57" s="148"/>
      <c r="AU57" s="148"/>
      <c r="AV57" s="148"/>
      <c r="AW57" s="148"/>
      <c r="AX57" s="148"/>
      <c r="AY57" s="148"/>
      <c r="AZ57" s="148"/>
      <c r="BA57" s="148"/>
      <c r="BB57" s="148"/>
      <c r="BC57" s="148"/>
      <c r="BD57" s="148"/>
      <c r="BE57" s="148"/>
      <c r="BF57" s="148"/>
      <c r="BG57" s="148"/>
      <c r="BH57" s="148"/>
      <c r="BI57" s="148"/>
      <c r="BJ57" s="148"/>
      <c r="BK57" s="148"/>
      <c r="BL57" s="148"/>
      <c r="BM57" s="148"/>
      <c r="BN57" s="148"/>
      <c r="BO57" s="148"/>
      <c r="BP57" s="148"/>
      <c r="BQ57" s="148"/>
      <c r="BR57" s="148"/>
    </row>
    <row r="58" spans="1:70" ht="48.75" customHeight="1" x14ac:dyDescent="0.3">
      <c r="A58" s="662"/>
      <c r="B58" s="496"/>
      <c r="C58" s="497"/>
      <c r="D58" s="466"/>
      <c r="E58" s="467"/>
      <c r="F58" s="463"/>
      <c r="G58" s="463"/>
      <c r="H58" s="463"/>
      <c r="I58" s="463"/>
      <c r="J58" s="463"/>
      <c r="K58" s="463"/>
      <c r="L58" s="463"/>
      <c r="M58" s="463"/>
      <c r="N58" s="148"/>
      <c r="O58" s="148"/>
      <c r="P58" s="148"/>
      <c r="Q58" s="148"/>
      <c r="R58" s="148"/>
      <c r="S58" s="148"/>
      <c r="T58" s="148"/>
      <c r="U58" s="148"/>
      <c r="V58" s="148"/>
      <c r="W58" s="148"/>
      <c r="X58" s="148"/>
      <c r="Y58" s="148"/>
      <c r="Z58" s="148"/>
      <c r="AA58" s="148"/>
      <c r="AB58" s="148"/>
      <c r="AC58" s="148"/>
      <c r="AD58" s="148"/>
      <c r="AE58" s="148"/>
      <c r="AF58" s="148"/>
      <c r="AG58" s="148"/>
      <c r="AH58" s="148"/>
      <c r="AI58" s="148"/>
      <c r="AJ58" s="148"/>
      <c r="AK58" s="148"/>
      <c r="AL58" s="148"/>
      <c r="AM58" s="148"/>
      <c r="AN58" s="148"/>
      <c r="AO58" s="148"/>
      <c r="AP58" s="148"/>
      <c r="AQ58" s="148"/>
      <c r="AR58" s="148"/>
      <c r="AS58" s="148"/>
      <c r="AT58" s="148"/>
      <c r="AU58" s="148"/>
      <c r="AV58" s="148"/>
      <c r="AW58" s="148"/>
      <c r="AX58" s="148"/>
      <c r="AY58" s="148"/>
      <c r="AZ58" s="148"/>
      <c r="BA58" s="148"/>
      <c r="BB58" s="148"/>
      <c r="BC58" s="148"/>
      <c r="BD58" s="148"/>
      <c r="BE58" s="148"/>
      <c r="BF58" s="148"/>
      <c r="BG58" s="148"/>
      <c r="BH58" s="148"/>
      <c r="BI58" s="148"/>
      <c r="BJ58" s="148"/>
      <c r="BK58" s="148"/>
      <c r="BL58" s="148"/>
      <c r="BM58" s="148"/>
      <c r="BN58" s="148"/>
      <c r="BO58" s="148"/>
      <c r="BP58" s="148"/>
      <c r="BQ58" s="148"/>
      <c r="BR58" s="148"/>
    </row>
    <row r="59" spans="1:70" ht="48.75" customHeight="1" x14ac:dyDescent="0.3">
      <c r="A59" s="662"/>
      <c r="B59" s="496"/>
      <c r="C59" s="497"/>
      <c r="D59" s="466"/>
      <c r="E59" s="467"/>
      <c r="F59" s="463"/>
      <c r="G59" s="463"/>
      <c r="H59" s="463"/>
      <c r="I59" s="463"/>
      <c r="J59" s="463"/>
      <c r="K59" s="463"/>
      <c r="L59" s="463"/>
      <c r="M59" s="463"/>
      <c r="N59" s="148"/>
      <c r="O59" s="148"/>
      <c r="P59" s="148"/>
      <c r="Q59" s="148"/>
      <c r="R59" s="148"/>
      <c r="S59" s="148"/>
      <c r="T59" s="148"/>
      <c r="U59" s="148"/>
      <c r="V59" s="148"/>
      <c r="W59" s="148"/>
      <c r="X59" s="148"/>
      <c r="Y59" s="148"/>
      <c r="Z59" s="148"/>
      <c r="AA59" s="148"/>
      <c r="AB59" s="148"/>
      <c r="AC59" s="148"/>
      <c r="AD59" s="148"/>
      <c r="AE59" s="148"/>
      <c r="AF59" s="148"/>
      <c r="AG59" s="148"/>
      <c r="AH59" s="148"/>
      <c r="AI59" s="148"/>
      <c r="AJ59" s="148"/>
      <c r="AK59" s="148"/>
      <c r="AL59" s="148"/>
      <c r="AM59" s="148"/>
      <c r="AN59" s="148"/>
      <c r="AO59" s="148"/>
      <c r="AP59" s="148"/>
      <c r="AQ59" s="148"/>
      <c r="AR59" s="148"/>
      <c r="AS59" s="148"/>
      <c r="AT59" s="148"/>
      <c r="AU59" s="148"/>
      <c r="AV59" s="148"/>
      <c r="AW59" s="148"/>
      <c r="AX59" s="148"/>
      <c r="AY59" s="148"/>
      <c r="AZ59" s="148"/>
      <c r="BA59" s="148"/>
      <c r="BB59" s="148"/>
      <c r="BC59" s="148"/>
      <c r="BD59" s="148"/>
      <c r="BE59" s="148"/>
      <c r="BF59" s="148"/>
      <c r="BG59" s="148"/>
      <c r="BH59" s="148"/>
      <c r="BI59" s="148"/>
      <c r="BJ59" s="148"/>
      <c r="BK59" s="148"/>
      <c r="BL59" s="148"/>
      <c r="BM59" s="148"/>
      <c r="BN59" s="148"/>
      <c r="BO59" s="148"/>
      <c r="BP59" s="148"/>
      <c r="BQ59" s="148"/>
      <c r="BR59" s="148"/>
    </row>
    <row r="60" spans="1:70" ht="48.75" customHeight="1" x14ac:dyDescent="0.3">
      <c r="A60" s="662"/>
      <c r="B60" s="496"/>
      <c r="C60" s="497"/>
      <c r="D60" s="466"/>
      <c r="E60" s="467"/>
      <c r="F60" s="463" t="str">
        <f t="shared" ref="F60:F69" si="3">IFERROR(IF($E60="","No",IF($E60="No","No"," "))," ")</f>
        <v>No</v>
      </c>
      <c r="G60" s="463" t="str">
        <f t="shared" ref="G60:M60" si="4">IFERROR(IF($E60="","No",IF($E60="No","No"," "))," ")</f>
        <v>No</v>
      </c>
      <c r="H60" s="463" t="str">
        <f t="shared" si="4"/>
        <v>No</v>
      </c>
      <c r="I60" s="463" t="str">
        <f t="shared" si="4"/>
        <v>No</v>
      </c>
      <c r="J60" s="463" t="str">
        <f t="shared" si="4"/>
        <v>No</v>
      </c>
      <c r="K60" s="463" t="str">
        <f t="shared" si="4"/>
        <v>No</v>
      </c>
      <c r="L60" s="463" t="str">
        <f t="shared" si="4"/>
        <v>No</v>
      </c>
      <c r="M60" s="463" t="str">
        <f t="shared" si="4"/>
        <v>No</v>
      </c>
      <c r="N60" s="148"/>
      <c r="O60" s="148"/>
      <c r="P60" s="148"/>
      <c r="Q60" s="148"/>
      <c r="R60" s="148"/>
      <c r="S60" s="148"/>
      <c r="T60" s="148"/>
      <c r="U60" s="148"/>
      <c r="V60" s="148"/>
      <c r="W60" s="148"/>
      <c r="X60" s="148"/>
      <c r="Y60" s="148"/>
      <c r="Z60" s="148"/>
      <c r="AA60" s="148"/>
      <c r="AB60" s="148"/>
      <c r="AC60" s="148"/>
      <c r="AD60" s="148"/>
      <c r="AE60" s="148"/>
      <c r="AF60" s="148"/>
      <c r="AG60" s="148"/>
      <c r="AH60" s="148"/>
      <c r="AI60" s="148"/>
      <c r="AJ60" s="148"/>
      <c r="AK60" s="148"/>
      <c r="AL60" s="148"/>
      <c r="AM60" s="148"/>
      <c r="AN60" s="148"/>
      <c r="AO60" s="148"/>
      <c r="AP60" s="148"/>
      <c r="AQ60" s="148"/>
      <c r="AR60" s="148"/>
      <c r="AS60" s="148"/>
      <c r="AT60" s="148"/>
      <c r="AU60" s="148"/>
      <c r="AV60" s="148"/>
      <c r="AW60" s="148"/>
      <c r="AX60" s="148"/>
      <c r="AY60" s="148"/>
      <c r="AZ60" s="148"/>
      <c r="BA60" s="148"/>
      <c r="BB60" s="148"/>
      <c r="BC60" s="148"/>
      <c r="BD60" s="148"/>
      <c r="BE60" s="148"/>
      <c r="BF60" s="148"/>
      <c r="BG60" s="148"/>
      <c r="BH60" s="148"/>
      <c r="BI60" s="148"/>
      <c r="BJ60" s="148"/>
      <c r="BK60" s="148"/>
      <c r="BL60" s="148"/>
      <c r="BM60" s="148"/>
      <c r="BN60" s="148"/>
      <c r="BO60" s="148"/>
      <c r="BP60" s="148"/>
      <c r="BQ60" s="148"/>
      <c r="BR60" s="148"/>
    </row>
    <row r="61" spans="1:70" ht="48.75" customHeight="1" x14ac:dyDescent="0.3">
      <c r="A61" s="662"/>
      <c r="B61" s="496"/>
      <c r="C61" s="497"/>
      <c r="D61" s="466"/>
      <c r="E61" s="467"/>
      <c r="F61" s="463"/>
      <c r="G61" s="463"/>
      <c r="H61" s="463"/>
      <c r="I61" s="463"/>
      <c r="J61" s="463"/>
      <c r="K61" s="463"/>
      <c r="L61" s="463"/>
      <c r="M61" s="463"/>
      <c r="N61" s="148"/>
      <c r="O61" s="148"/>
      <c r="P61" s="148"/>
      <c r="Q61" s="148"/>
      <c r="R61" s="148"/>
      <c r="S61" s="148"/>
      <c r="T61" s="148"/>
      <c r="U61" s="148"/>
      <c r="V61" s="148"/>
      <c r="W61" s="148"/>
      <c r="X61" s="148"/>
      <c r="Y61" s="148"/>
      <c r="Z61" s="148"/>
      <c r="AA61" s="148"/>
      <c r="AB61" s="148"/>
      <c r="AC61" s="148"/>
      <c r="AD61" s="148"/>
      <c r="AE61" s="148"/>
      <c r="AF61" s="148"/>
      <c r="AG61" s="148"/>
      <c r="AH61" s="148"/>
      <c r="AI61" s="148"/>
      <c r="AJ61" s="148"/>
      <c r="AK61" s="148"/>
      <c r="AL61" s="148"/>
      <c r="AM61" s="148"/>
      <c r="AN61" s="148"/>
      <c r="AO61" s="148"/>
      <c r="AP61" s="148"/>
      <c r="AQ61" s="148"/>
      <c r="AR61" s="148"/>
      <c r="AS61" s="148"/>
      <c r="AT61" s="148"/>
      <c r="AU61" s="148"/>
      <c r="AV61" s="148"/>
      <c r="AW61" s="148"/>
      <c r="AX61" s="148"/>
      <c r="AY61" s="148"/>
      <c r="AZ61" s="148"/>
      <c r="BA61" s="148"/>
      <c r="BB61" s="148"/>
      <c r="BC61" s="148"/>
      <c r="BD61" s="148"/>
      <c r="BE61" s="148"/>
      <c r="BF61" s="148"/>
      <c r="BG61" s="148"/>
      <c r="BH61" s="148"/>
      <c r="BI61" s="148"/>
      <c r="BJ61" s="148"/>
      <c r="BK61" s="148"/>
      <c r="BL61" s="148"/>
      <c r="BM61" s="148"/>
      <c r="BN61" s="148"/>
      <c r="BO61" s="148"/>
      <c r="BP61" s="148"/>
      <c r="BQ61" s="148"/>
      <c r="BR61" s="148"/>
    </row>
    <row r="62" spans="1:70" ht="48.75" customHeight="1" x14ac:dyDescent="0.3">
      <c r="A62" s="662"/>
      <c r="B62" s="496"/>
      <c r="C62" s="497"/>
      <c r="D62" s="466"/>
      <c r="E62" s="467"/>
      <c r="F62" s="463"/>
      <c r="G62" s="463"/>
      <c r="H62" s="463"/>
      <c r="I62" s="463"/>
      <c r="J62" s="463"/>
      <c r="K62" s="463"/>
      <c r="L62" s="463"/>
      <c r="M62" s="463"/>
      <c r="N62" s="148"/>
      <c r="O62" s="148"/>
      <c r="P62" s="148"/>
      <c r="Q62" s="148"/>
      <c r="R62" s="148"/>
      <c r="S62" s="148"/>
      <c r="T62" s="148"/>
      <c r="U62" s="148"/>
      <c r="V62" s="148"/>
      <c r="W62" s="148"/>
      <c r="X62" s="148"/>
      <c r="Y62" s="148"/>
      <c r="Z62" s="148"/>
      <c r="AA62" s="148"/>
      <c r="AB62" s="148"/>
      <c r="AC62" s="148"/>
      <c r="AD62" s="148"/>
      <c r="AE62" s="148"/>
      <c r="AF62" s="148"/>
      <c r="AG62" s="148"/>
      <c r="AH62" s="148"/>
      <c r="AI62" s="148"/>
      <c r="AJ62" s="148"/>
      <c r="AK62" s="148"/>
      <c r="AL62" s="148"/>
      <c r="AM62" s="148"/>
      <c r="AN62" s="148"/>
      <c r="AO62" s="148"/>
      <c r="AP62" s="148"/>
      <c r="AQ62" s="148"/>
      <c r="AR62" s="148"/>
      <c r="AS62" s="148"/>
      <c r="AT62" s="148"/>
      <c r="AU62" s="148"/>
      <c r="AV62" s="148"/>
      <c r="AW62" s="148"/>
      <c r="AX62" s="148"/>
      <c r="AY62" s="148"/>
      <c r="AZ62" s="148"/>
      <c r="BA62" s="148"/>
      <c r="BB62" s="148"/>
      <c r="BC62" s="148"/>
      <c r="BD62" s="148"/>
      <c r="BE62" s="148"/>
      <c r="BF62" s="148"/>
      <c r="BG62" s="148"/>
      <c r="BH62" s="148"/>
      <c r="BI62" s="148"/>
      <c r="BJ62" s="148"/>
      <c r="BK62" s="148"/>
      <c r="BL62" s="148"/>
      <c r="BM62" s="148"/>
      <c r="BN62" s="148"/>
      <c r="BO62" s="148"/>
      <c r="BP62" s="148"/>
      <c r="BQ62" s="148"/>
      <c r="BR62" s="148"/>
    </row>
    <row r="63" spans="1:70" ht="48.75" customHeight="1" x14ac:dyDescent="0.3">
      <c r="A63" s="662"/>
      <c r="B63" s="496"/>
      <c r="C63" s="497"/>
      <c r="D63" s="466"/>
      <c r="E63" s="467"/>
      <c r="F63" s="463" t="str">
        <f t="shared" si="3"/>
        <v>No</v>
      </c>
      <c r="G63" s="463" t="str">
        <f t="shared" ref="G63:M63" si="5">IFERROR(IF($E63="","No",IF($E63="No","No"," "))," ")</f>
        <v>No</v>
      </c>
      <c r="H63" s="463" t="str">
        <f t="shared" si="5"/>
        <v>No</v>
      </c>
      <c r="I63" s="463" t="str">
        <f t="shared" si="5"/>
        <v>No</v>
      </c>
      <c r="J63" s="463" t="str">
        <f t="shared" si="5"/>
        <v>No</v>
      </c>
      <c r="K63" s="463" t="str">
        <f t="shared" si="5"/>
        <v>No</v>
      </c>
      <c r="L63" s="463" t="str">
        <f t="shared" si="5"/>
        <v>No</v>
      </c>
      <c r="M63" s="463" t="str">
        <f t="shared" si="5"/>
        <v>No</v>
      </c>
      <c r="N63" s="148"/>
      <c r="O63" s="148"/>
      <c r="P63" s="148"/>
      <c r="Q63" s="148"/>
      <c r="R63" s="148"/>
      <c r="S63" s="148"/>
      <c r="T63" s="148"/>
      <c r="U63" s="148"/>
      <c r="V63" s="148"/>
      <c r="W63" s="148"/>
      <c r="X63" s="148"/>
      <c r="Y63" s="148"/>
      <c r="Z63" s="148"/>
      <c r="AA63" s="148"/>
      <c r="AB63" s="148"/>
      <c r="AC63" s="148"/>
      <c r="AD63" s="148"/>
      <c r="AE63" s="148"/>
      <c r="AF63" s="148"/>
      <c r="AG63" s="148"/>
      <c r="AH63" s="148"/>
      <c r="AI63" s="148"/>
      <c r="AJ63" s="148"/>
      <c r="AK63" s="148"/>
      <c r="AL63" s="148"/>
      <c r="AM63" s="148"/>
      <c r="AN63" s="148"/>
      <c r="AO63" s="148"/>
      <c r="AP63" s="148"/>
      <c r="AQ63" s="148"/>
      <c r="AR63" s="148"/>
      <c r="AS63" s="148"/>
      <c r="AT63" s="148"/>
      <c r="AU63" s="148"/>
      <c r="AV63" s="148"/>
      <c r="AW63" s="148"/>
      <c r="AX63" s="148"/>
      <c r="AY63" s="148"/>
      <c r="AZ63" s="148"/>
      <c r="BA63" s="148"/>
      <c r="BB63" s="148"/>
      <c r="BC63" s="148"/>
      <c r="BD63" s="148"/>
      <c r="BE63" s="148"/>
      <c r="BF63" s="148"/>
      <c r="BG63" s="148"/>
      <c r="BH63" s="148"/>
      <c r="BI63" s="148"/>
      <c r="BJ63" s="148"/>
      <c r="BK63" s="148"/>
      <c r="BL63" s="148"/>
      <c r="BM63" s="148"/>
      <c r="BN63" s="148"/>
      <c r="BO63" s="148"/>
      <c r="BP63" s="148"/>
      <c r="BQ63" s="148"/>
      <c r="BR63" s="148"/>
    </row>
    <row r="64" spans="1:70" ht="48.75" customHeight="1" x14ac:dyDescent="0.3">
      <c r="A64" s="662"/>
      <c r="B64" s="496"/>
      <c r="C64" s="497"/>
      <c r="D64" s="466"/>
      <c r="E64" s="467"/>
      <c r="F64" s="463"/>
      <c r="G64" s="463"/>
      <c r="H64" s="463"/>
      <c r="I64" s="463"/>
      <c r="J64" s="463"/>
      <c r="K64" s="463"/>
      <c r="L64" s="463"/>
      <c r="M64" s="463"/>
      <c r="N64" s="148"/>
      <c r="O64" s="148"/>
      <c r="P64" s="148"/>
      <c r="Q64" s="148"/>
      <c r="R64" s="148"/>
      <c r="S64" s="148"/>
      <c r="T64" s="148"/>
      <c r="U64" s="148"/>
      <c r="V64" s="148"/>
      <c r="W64" s="148"/>
      <c r="X64" s="148"/>
      <c r="Y64" s="148"/>
      <c r="Z64" s="148"/>
      <c r="AA64" s="148"/>
      <c r="AB64" s="148"/>
      <c r="AC64" s="148"/>
      <c r="AD64" s="148"/>
      <c r="AE64" s="148"/>
      <c r="AF64" s="148"/>
      <c r="AG64" s="148"/>
      <c r="AH64" s="148"/>
      <c r="AI64" s="148"/>
      <c r="AJ64" s="148"/>
      <c r="AK64" s="148"/>
      <c r="AL64" s="148"/>
      <c r="AM64" s="148"/>
      <c r="AN64" s="148"/>
      <c r="AO64" s="148"/>
      <c r="AP64" s="148"/>
      <c r="AQ64" s="148"/>
      <c r="AR64" s="148"/>
      <c r="AS64" s="148"/>
      <c r="AT64" s="148"/>
      <c r="AU64" s="148"/>
      <c r="AV64" s="148"/>
      <c r="AW64" s="148"/>
      <c r="AX64" s="148"/>
      <c r="AY64" s="148"/>
      <c r="AZ64" s="148"/>
      <c r="BA64" s="148"/>
      <c r="BB64" s="148"/>
      <c r="BC64" s="148"/>
      <c r="BD64" s="148"/>
      <c r="BE64" s="148"/>
      <c r="BF64" s="148"/>
      <c r="BG64" s="148"/>
      <c r="BH64" s="148"/>
      <c r="BI64" s="148"/>
      <c r="BJ64" s="148"/>
      <c r="BK64" s="148"/>
      <c r="BL64" s="148"/>
      <c r="BM64" s="148"/>
      <c r="BN64" s="148"/>
      <c r="BO64" s="148"/>
      <c r="BP64" s="148"/>
      <c r="BQ64" s="148"/>
      <c r="BR64" s="148"/>
    </row>
    <row r="65" spans="1:70" ht="48.75" customHeight="1" x14ac:dyDescent="0.3">
      <c r="A65" s="662"/>
      <c r="B65" s="496"/>
      <c r="C65" s="497"/>
      <c r="D65" s="466"/>
      <c r="E65" s="467"/>
      <c r="F65" s="463"/>
      <c r="G65" s="463"/>
      <c r="H65" s="463"/>
      <c r="I65" s="463"/>
      <c r="J65" s="463"/>
      <c r="K65" s="463"/>
      <c r="L65" s="463"/>
      <c r="M65" s="463"/>
      <c r="N65" s="148"/>
      <c r="O65" s="148"/>
      <c r="P65" s="148"/>
      <c r="Q65" s="148"/>
      <c r="R65" s="148"/>
      <c r="S65" s="148"/>
      <c r="T65" s="148"/>
      <c r="U65" s="148"/>
      <c r="V65" s="148"/>
      <c r="W65" s="148"/>
      <c r="X65" s="148"/>
      <c r="Y65" s="148"/>
      <c r="Z65" s="148"/>
      <c r="AA65" s="148"/>
      <c r="AB65" s="148"/>
      <c r="AC65" s="148"/>
      <c r="AD65" s="148"/>
      <c r="AE65" s="148"/>
      <c r="AF65" s="148"/>
      <c r="AG65" s="148"/>
      <c r="AH65" s="148"/>
      <c r="AI65" s="148"/>
      <c r="AJ65" s="148"/>
      <c r="AK65" s="148"/>
      <c r="AL65" s="148"/>
      <c r="AM65" s="148"/>
      <c r="AN65" s="148"/>
      <c r="AO65" s="148"/>
      <c r="AP65" s="148"/>
      <c r="AQ65" s="148"/>
      <c r="AR65" s="148"/>
      <c r="AS65" s="148"/>
      <c r="AT65" s="148"/>
      <c r="AU65" s="148"/>
      <c r="AV65" s="148"/>
      <c r="AW65" s="148"/>
      <c r="AX65" s="148"/>
      <c r="AY65" s="148"/>
      <c r="AZ65" s="148"/>
      <c r="BA65" s="148"/>
      <c r="BB65" s="148"/>
      <c r="BC65" s="148"/>
      <c r="BD65" s="148"/>
      <c r="BE65" s="148"/>
      <c r="BF65" s="148"/>
      <c r="BG65" s="148"/>
      <c r="BH65" s="148"/>
      <c r="BI65" s="148"/>
      <c r="BJ65" s="148"/>
      <c r="BK65" s="148"/>
      <c r="BL65" s="148"/>
      <c r="BM65" s="148"/>
      <c r="BN65" s="148"/>
      <c r="BO65" s="148"/>
      <c r="BP65" s="148"/>
      <c r="BQ65" s="148"/>
      <c r="BR65" s="148"/>
    </row>
    <row r="66" spans="1:70" ht="48.75" customHeight="1" x14ac:dyDescent="0.3">
      <c r="A66" s="662"/>
      <c r="B66" s="496"/>
      <c r="C66" s="497"/>
      <c r="D66" s="466"/>
      <c r="E66" s="467"/>
      <c r="F66" s="463" t="str">
        <f t="shared" si="3"/>
        <v>No</v>
      </c>
      <c r="G66" s="463" t="str">
        <f t="shared" ref="G66:M66" si="6">IFERROR(IF($E66="","No",IF($E66="No","No"," "))," ")</f>
        <v>No</v>
      </c>
      <c r="H66" s="463" t="str">
        <f t="shared" si="6"/>
        <v>No</v>
      </c>
      <c r="I66" s="463" t="str">
        <f t="shared" si="6"/>
        <v>No</v>
      </c>
      <c r="J66" s="463" t="str">
        <f t="shared" si="6"/>
        <v>No</v>
      </c>
      <c r="K66" s="463" t="str">
        <f t="shared" si="6"/>
        <v>No</v>
      </c>
      <c r="L66" s="463" t="str">
        <f t="shared" si="6"/>
        <v>No</v>
      </c>
      <c r="M66" s="463" t="str">
        <f t="shared" si="6"/>
        <v>No</v>
      </c>
      <c r="N66" s="148"/>
      <c r="O66" s="148"/>
      <c r="P66" s="148"/>
      <c r="Q66" s="148"/>
      <c r="R66" s="148"/>
      <c r="S66" s="148"/>
      <c r="T66" s="148"/>
      <c r="U66" s="148"/>
      <c r="V66" s="148"/>
      <c r="W66" s="148"/>
      <c r="X66" s="148"/>
      <c r="Y66" s="148"/>
      <c r="Z66" s="148"/>
      <c r="AA66" s="148"/>
      <c r="AB66" s="148"/>
      <c r="AC66" s="148"/>
      <c r="AD66" s="148"/>
      <c r="AE66" s="148"/>
      <c r="AF66" s="148"/>
      <c r="AG66" s="148"/>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8"/>
      <c r="BF66" s="148"/>
      <c r="BG66" s="148"/>
      <c r="BH66" s="148"/>
      <c r="BI66" s="148"/>
      <c r="BJ66" s="148"/>
      <c r="BK66" s="148"/>
      <c r="BL66" s="148"/>
      <c r="BM66" s="148"/>
      <c r="BN66" s="148"/>
      <c r="BO66" s="148"/>
      <c r="BP66" s="148"/>
      <c r="BQ66" s="148"/>
      <c r="BR66" s="148"/>
    </row>
    <row r="67" spans="1:70" ht="48.75" customHeight="1" x14ac:dyDescent="0.3">
      <c r="A67" s="662"/>
      <c r="B67" s="496"/>
      <c r="C67" s="497"/>
      <c r="D67" s="466"/>
      <c r="E67" s="467"/>
      <c r="F67" s="463"/>
      <c r="G67" s="463"/>
      <c r="H67" s="463"/>
      <c r="I67" s="463"/>
      <c r="J67" s="463"/>
      <c r="K67" s="463"/>
      <c r="L67" s="463"/>
      <c r="M67" s="463"/>
      <c r="N67" s="148"/>
      <c r="O67" s="148"/>
      <c r="P67" s="148"/>
      <c r="Q67" s="148"/>
      <c r="R67" s="148"/>
      <c r="S67" s="148"/>
      <c r="T67" s="148"/>
      <c r="U67" s="148"/>
      <c r="V67" s="148"/>
      <c r="W67" s="148"/>
      <c r="X67" s="148"/>
      <c r="Y67" s="148"/>
      <c r="Z67" s="148"/>
      <c r="AA67" s="148"/>
      <c r="AB67" s="148"/>
      <c r="AC67" s="148"/>
      <c r="AD67" s="148"/>
      <c r="AE67" s="148"/>
      <c r="AF67" s="148"/>
      <c r="AG67" s="148"/>
      <c r="AH67" s="148"/>
      <c r="AI67" s="148"/>
      <c r="AJ67" s="148"/>
      <c r="AK67" s="148"/>
      <c r="AL67" s="148"/>
      <c r="AM67" s="148"/>
      <c r="AN67" s="148"/>
      <c r="AO67" s="148"/>
      <c r="AP67" s="148"/>
      <c r="AQ67" s="148"/>
      <c r="AR67" s="148"/>
      <c r="AS67" s="148"/>
      <c r="AT67" s="148"/>
      <c r="AU67" s="148"/>
      <c r="AV67" s="148"/>
      <c r="AW67" s="148"/>
      <c r="AX67" s="148"/>
      <c r="AY67" s="148"/>
      <c r="AZ67" s="148"/>
      <c r="BA67" s="148"/>
      <c r="BB67" s="148"/>
      <c r="BC67" s="148"/>
      <c r="BD67" s="148"/>
      <c r="BE67" s="148"/>
      <c r="BF67" s="148"/>
      <c r="BG67" s="148"/>
      <c r="BH67" s="148"/>
      <c r="BI67" s="148"/>
      <c r="BJ67" s="148"/>
      <c r="BK67" s="148"/>
      <c r="BL67" s="148"/>
      <c r="BM67" s="148"/>
      <c r="BN67" s="148"/>
      <c r="BO67" s="148"/>
      <c r="BP67" s="148"/>
      <c r="BQ67" s="148"/>
      <c r="BR67" s="148"/>
    </row>
    <row r="68" spans="1:70" ht="48.75" customHeight="1" x14ac:dyDescent="0.3">
      <c r="A68" s="662"/>
      <c r="B68" s="496"/>
      <c r="C68" s="497"/>
      <c r="D68" s="466"/>
      <c r="E68" s="467"/>
      <c r="F68" s="463"/>
      <c r="G68" s="463"/>
      <c r="H68" s="463"/>
      <c r="I68" s="463"/>
      <c r="J68" s="463"/>
      <c r="K68" s="463"/>
      <c r="L68" s="463"/>
      <c r="M68" s="463"/>
      <c r="N68" s="148"/>
      <c r="O68" s="148"/>
      <c r="P68" s="148"/>
      <c r="Q68" s="148"/>
      <c r="R68" s="148"/>
      <c r="S68" s="148"/>
      <c r="T68" s="148"/>
      <c r="U68" s="148"/>
      <c r="V68" s="148"/>
      <c r="W68" s="148"/>
      <c r="X68" s="148"/>
      <c r="Y68" s="148"/>
      <c r="Z68" s="148"/>
      <c r="AA68" s="148"/>
      <c r="AB68" s="148"/>
      <c r="AC68" s="148"/>
      <c r="AD68" s="148"/>
      <c r="AE68" s="148"/>
      <c r="AF68" s="148"/>
      <c r="AG68" s="148"/>
      <c r="AH68" s="148"/>
      <c r="AI68" s="148"/>
      <c r="AJ68" s="148"/>
      <c r="AK68" s="148"/>
      <c r="AL68" s="148"/>
      <c r="AM68" s="148"/>
      <c r="AN68" s="148"/>
      <c r="AO68" s="148"/>
      <c r="AP68" s="148"/>
      <c r="AQ68" s="148"/>
      <c r="AR68" s="148"/>
      <c r="AS68" s="148"/>
      <c r="AT68" s="148"/>
      <c r="AU68" s="148"/>
      <c r="AV68" s="148"/>
      <c r="AW68" s="148"/>
      <c r="AX68" s="148"/>
      <c r="AY68" s="148"/>
      <c r="AZ68" s="148"/>
      <c r="BA68" s="148"/>
      <c r="BB68" s="148"/>
      <c r="BC68" s="148"/>
      <c r="BD68" s="148"/>
      <c r="BE68" s="148"/>
      <c r="BF68" s="148"/>
      <c r="BG68" s="148"/>
      <c r="BH68" s="148"/>
      <c r="BI68" s="148"/>
      <c r="BJ68" s="148"/>
      <c r="BK68" s="148"/>
      <c r="BL68" s="148"/>
      <c r="BM68" s="148"/>
      <c r="BN68" s="148"/>
      <c r="BO68" s="148"/>
      <c r="BP68" s="148"/>
      <c r="BQ68" s="148"/>
      <c r="BR68" s="148"/>
    </row>
    <row r="69" spans="1:70" ht="48.75" customHeight="1" x14ac:dyDescent="0.3">
      <c r="A69" s="662"/>
      <c r="B69" s="496"/>
      <c r="C69" s="497"/>
      <c r="D69" s="466"/>
      <c r="E69" s="467"/>
      <c r="F69" s="463" t="str">
        <f t="shared" si="3"/>
        <v>No</v>
      </c>
      <c r="G69" s="463" t="str">
        <f t="shared" ref="G69:M69" si="7">IFERROR(IF($E69="","No",IF($E69="No","No"," "))," ")</f>
        <v>No</v>
      </c>
      <c r="H69" s="463" t="str">
        <f t="shared" si="7"/>
        <v>No</v>
      </c>
      <c r="I69" s="463" t="str">
        <f t="shared" si="7"/>
        <v>No</v>
      </c>
      <c r="J69" s="463" t="str">
        <f t="shared" si="7"/>
        <v>No</v>
      </c>
      <c r="K69" s="463" t="str">
        <f t="shared" si="7"/>
        <v>No</v>
      </c>
      <c r="L69" s="463" t="str">
        <f t="shared" si="7"/>
        <v>No</v>
      </c>
      <c r="M69" s="463" t="str">
        <f t="shared" si="7"/>
        <v>No</v>
      </c>
      <c r="N69" s="148"/>
      <c r="O69" s="148"/>
      <c r="P69" s="148"/>
      <c r="Q69" s="148"/>
      <c r="R69" s="148"/>
      <c r="S69" s="148"/>
      <c r="T69" s="148"/>
      <c r="U69" s="148"/>
      <c r="V69" s="148"/>
      <c r="W69" s="148"/>
      <c r="X69" s="148"/>
      <c r="Y69" s="148"/>
      <c r="Z69" s="148"/>
      <c r="AA69" s="148"/>
      <c r="AB69" s="148"/>
      <c r="AC69" s="148"/>
      <c r="AD69" s="148"/>
      <c r="AE69" s="148"/>
      <c r="AF69" s="148"/>
      <c r="AG69" s="148"/>
      <c r="AH69" s="148"/>
      <c r="AI69" s="148"/>
      <c r="AJ69" s="148"/>
      <c r="AK69" s="148"/>
      <c r="AL69" s="148"/>
      <c r="AM69" s="148"/>
      <c r="AN69" s="148"/>
      <c r="AO69" s="148"/>
      <c r="AP69" s="148"/>
      <c r="AQ69" s="148"/>
      <c r="AR69" s="148"/>
      <c r="AS69" s="148"/>
      <c r="AT69" s="148"/>
      <c r="AU69" s="148"/>
      <c r="AV69" s="148"/>
      <c r="AW69" s="148"/>
      <c r="AX69" s="148"/>
      <c r="AY69" s="148"/>
      <c r="AZ69" s="148"/>
      <c r="BA69" s="148"/>
      <c r="BB69" s="148"/>
      <c r="BC69" s="148"/>
      <c r="BD69" s="148"/>
      <c r="BE69" s="148"/>
      <c r="BF69" s="148"/>
      <c r="BG69" s="148"/>
      <c r="BH69" s="148"/>
      <c r="BI69" s="148"/>
      <c r="BJ69" s="148"/>
      <c r="BK69" s="148"/>
      <c r="BL69" s="148"/>
      <c r="BM69" s="148"/>
      <c r="BN69" s="148"/>
      <c r="BO69" s="148"/>
      <c r="BP69" s="148"/>
      <c r="BQ69" s="148"/>
      <c r="BR69" s="148"/>
    </row>
    <row r="70" spans="1:70" ht="48.75" customHeight="1" x14ac:dyDescent="0.3">
      <c r="A70" s="662"/>
      <c r="B70" s="496"/>
      <c r="C70" s="497"/>
      <c r="D70" s="466"/>
      <c r="E70" s="467"/>
      <c r="F70" s="463"/>
      <c r="G70" s="463"/>
      <c r="H70" s="463"/>
      <c r="I70" s="463"/>
      <c r="J70" s="463"/>
      <c r="K70" s="463"/>
      <c r="L70" s="463"/>
      <c r="M70" s="463"/>
      <c r="N70" s="148"/>
      <c r="O70" s="148"/>
      <c r="P70" s="148"/>
      <c r="Q70" s="148"/>
      <c r="R70" s="148"/>
      <c r="S70" s="148"/>
      <c r="T70" s="148"/>
      <c r="U70" s="148"/>
      <c r="V70" s="148"/>
      <c r="W70" s="148"/>
      <c r="X70" s="148"/>
      <c r="Y70" s="148"/>
      <c r="Z70" s="148"/>
      <c r="AA70" s="148"/>
      <c r="AB70" s="148"/>
      <c r="AC70" s="148"/>
      <c r="AD70" s="148"/>
      <c r="AE70" s="148"/>
      <c r="AF70" s="148"/>
      <c r="AG70" s="148"/>
      <c r="AH70" s="148"/>
      <c r="AI70" s="148"/>
      <c r="AJ70" s="148"/>
      <c r="AK70" s="148"/>
      <c r="AL70" s="148"/>
      <c r="AM70" s="148"/>
      <c r="AN70" s="148"/>
      <c r="AO70" s="148"/>
      <c r="AP70" s="148"/>
      <c r="AQ70" s="148"/>
      <c r="AR70" s="148"/>
      <c r="AS70" s="148"/>
      <c r="AT70" s="148"/>
      <c r="AU70" s="148"/>
      <c r="AV70" s="148"/>
      <c r="AW70" s="148"/>
      <c r="AX70" s="148"/>
      <c r="AY70" s="148"/>
      <c r="AZ70" s="148"/>
      <c r="BA70" s="148"/>
      <c r="BB70" s="148"/>
      <c r="BC70" s="148"/>
      <c r="BD70" s="148"/>
      <c r="BE70" s="148"/>
      <c r="BF70" s="148"/>
      <c r="BG70" s="148"/>
      <c r="BH70" s="148"/>
      <c r="BI70" s="148"/>
      <c r="BJ70" s="148"/>
      <c r="BK70" s="148"/>
      <c r="BL70" s="148"/>
      <c r="BM70" s="148"/>
      <c r="BN70" s="148"/>
      <c r="BO70" s="148"/>
      <c r="BP70" s="148"/>
      <c r="BQ70" s="148"/>
      <c r="BR70" s="148"/>
    </row>
    <row r="71" spans="1:70" ht="48.75" customHeight="1" x14ac:dyDescent="0.3">
      <c r="A71" s="662"/>
      <c r="B71" s="496"/>
      <c r="C71" s="497"/>
      <c r="D71" s="466"/>
      <c r="E71" s="467"/>
      <c r="F71" s="463"/>
      <c r="G71" s="463"/>
      <c r="H71" s="463"/>
      <c r="I71" s="463"/>
      <c r="J71" s="463"/>
      <c r="K71" s="463"/>
      <c r="L71" s="463"/>
      <c r="M71" s="463"/>
      <c r="N71" s="148"/>
      <c r="O71" s="148"/>
      <c r="P71" s="148"/>
      <c r="Q71" s="148"/>
      <c r="R71" s="148"/>
      <c r="S71" s="148"/>
      <c r="T71" s="148"/>
      <c r="U71" s="148"/>
      <c r="V71" s="148"/>
      <c r="W71" s="148"/>
      <c r="X71" s="148"/>
      <c r="Y71" s="148"/>
      <c r="Z71" s="148"/>
      <c r="AA71" s="148"/>
      <c r="AB71" s="148"/>
      <c r="AC71" s="148"/>
      <c r="AD71" s="148"/>
      <c r="AE71" s="148"/>
      <c r="AF71" s="148"/>
      <c r="AG71" s="148"/>
      <c r="AH71" s="148"/>
      <c r="AI71" s="148"/>
      <c r="AJ71" s="148"/>
      <c r="AK71" s="148"/>
      <c r="AL71" s="148"/>
      <c r="AM71" s="148"/>
      <c r="AN71" s="148"/>
      <c r="AO71" s="148"/>
      <c r="AP71" s="148"/>
      <c r="AQ71" s="148"/>
      <c r="AR71" s="148"/>
      <c r="AS71" s="148"/>
      <c r="AT71" s="148"/>
      <c r="AU71" s="148"/>
      <c r="AV71" s="148"/>
      <c r="AW71" s="148"/>
      <c r="AX71" s="148"/>
      <c r="AY71" s="148"/>
      <c r="AZ71" s="148"/>
      <c r="BA71" s="148"/>
      <c r="BB71" s="148"/>
      <c r="BC71" s="148"/>
      <c r="BD71" s="148"/>
      <c r="BE71" s="148"/>
      <c r="BF71" s="148"/>
      <c r="BG71" s="148"/>
      <c r="BH71" s="148"/>
      <c r="BI71" s="148"/>
      <c r="BJ71" s="148"/>
      <c r="BK71" s="148"/>
      <c r="BL71" s="148"/>
      <c r="BM71" s="148"/>
      <c r="BN71" s="148"/>
      <c r="BO71" s="148"/>
      <c r="BP71" s="148"/>
      <c r="BQ71" s="148"/>
      <c r="BR71" s="148"/>
    </row>
  </sheetData>
  <sheetProtection algorithmName="SHA-512" hashValue="x3AgsN/3XeEhtrNom6pqIohpp09jRM3LHYd/5z8nBQZ/bRiPZYMiyDRyQmCjbwRhPnnRCb6cVlQEz0olK2QUvA==" saltValue="hI53Q80kapdIPkRtVvAWtg==" spinCount="100000" sheet="1" objects="1" scenarios="1"/>
  <mergeCells count="255">
    <mergeCell ref="E10:E11"/>
    <mergeCell ref="F10:M10"/>
    <mergeCell ref="M12:M14"/>
    <mergeCell ref="K12:K14"/>
    <mergeCell ref="L12:L14"/>
    <mergeCell ref="K15:K17"/>
    <mergeCell ref="E15:E17"/>
    <mergeCell ref="F15:F17"/>
    <mergeCell ref="G15:G17"/>
    <mergeCell ref="H15:H17"/>
    <mergeCell ref="I15:I17"/>
    <mergeCell ref="J15:J17"/>
    <mergeCell ref="A2:C2"/>
    <mergeCell ref="D2:L2"/>
    <mergeCell ref="M2:M3"/>
    <mergeCell ref="A3:C6"/>
    <mergeCell ref="D3:L4"/>
    <mergeCell ref="D5:L5"/>
    <mergeCell ref="D6:L6"/>
    <mergeCell ref="A12:A71"/>
    <mergeCell ref="B12:B14"/>
    <mergeCell ref="C12:C14"/>
    <mergeCell ref="D12:D14"/>
    <mergeCell ref="E12:E14"/>
    <mergeCell ref="F12:F14"/>
    <mergeCell ref="A7:M7"/>
    <mergeCell ref="A9:M9"/>
    <mergeCell ref="A10:A11"/>
    <mergeCell ref="B10:C10"/>
    <mergeCell ref="D10:D11"/>
    <mergeCell ref="E18:E20"/>
    <mergeCell ref="F18:F20"/>
    <mergeCell ref="G18:G20"/>
    <mergeCell ref="H18:H20"/>
    <mergeCell ref="I18:I20"/>
    <mergeCell ref="J18:J20"/>
    <mergeCell ref="K18:K20"/>
    <mergeCell ref="L18:L20"/>
    <mergeCell ref="M18:M20"/>
    <mergeCell ref="G12:G14"/>
    <mergeCell ref="B21:B23"/>
    <mergeCell ref="C21:C23"/>
    <mergeCell ref="D21:D23"/>
    <mergeCell ref="E21:E23"/>
    <mergeCell ref="F21:F23"/>
    <mergeCell ref="M21:M23"/>
    <mergeCell ref="G21:G23"/>
    <mergeCell ref="H21:H23"/>
    <mergeCell ref="I21:I23"/>
    <mergeCell ref="J21:J23"/>
    <mergeCell ref="K21:K23"/>
    <mergeCell ref="L21:L23"/>
    <mergeCell ref="B15:B17"/>
    <mergeCell ref="C15:C17"/>
    <mergeCell ref="D15:D17"/>
    <mergeCell ref="H12:H14"/>
    <mergeCell ref="I12:I14"/>
    <mergeCell ref="J12:J14"/>
    <mergeCell ref="L15:L17"/>
    <mergeCell ref="M15:M17"/>
    <mergeCell ref="B18:B20"/>
    <mergeCell ref="C18:C20"/>
    <mergeCell ref="D18:D20"/>
    <mergeCell ref="B24:B26"/>
    <mergeCell ref="C24:C26"/>
    <mergeCell ref="D24:D26"/>
    <mergeCell ref="E24:E26"/>
    <mergeCell ref="F24:F26"/>
    <mergeCell ref="G24:G26"/>
    <mergeCell ref="H24:H26"/>
    <mergeCell ref="I24:I26"/>
    <mergeCell ref="J24:J26"/>
    <mergeCell ref="K24:K26"/>
    <mergeCell ref="L24:L26"/>
    <mergeCell ref="M24:M26"/>
    <mergeCell ref="K27:K29"/>
    <mergeCell ref="L27:L29"/>
    <mergeCell ref="M27:M29"/>
    <mergeCell ref="B30:B32"/>
    <mergeCell ref="C30:C32"/>
    <mergeCell ref="D30:D32"/>
    <mergeCell ref="E30:E32"/>
    <mergeCell ref="F30:F32"/>
    <mergeCell ref="M30:M32"/>
    <mergeCell ref="G30:G32"/>
    <mergeCell ref="H30:H32"/>
    <mergeCell ref="I30:I32"/>
    <mergeCell ref="J30:J32"/>
    <mergeCell ref="K30:K32"/>
    <mergeCell ref="L30:L32"/>
    <mergeCell ref="B27:B29"/>
    <mergeCell ref="C27:C29"/>
    <mergeCell ref="D27:D29"/>
    <mergeCell ref="E27:E29"/>
    <mergeCell ref="F27:F29"/>
    <mergeCell ref="G27:G29"/>
    <mergeCell ref="H27:H29"/>
    <mergeCell ref="I27:I29"/>
    <mergeCell ref="J27:J29"/>
    <mergeCell ref="K33:K35"/>
    <mergeCell ref="L33:L35"/>
    <mergeCell ref="M33:M35"/>
    <mergeCell ref="B36:B38"/>
    <mergeCell ref="C36:C38"/>
    <mergeCell ref="D36:D38"/>
    <mergeCell ref="E36:E38"/>
    <mergeCell ref="F36:F38"/>
    <mergeCell ref="G36:G38"/>
    <mergeCell ref="H36:H38"/>
    <mergeCell ref="I36:I38"/>
    <mergeCell ref="J36:J38"/>
    <mergeCell ref="K36:K38"/>
    <mergeCell ref="L36:L38"/>
    <mergeCell ref="M36:M38"/>
    <mergeCell ref="B33:B35"/>
    <mergeCell ref="C33:C35"/>
    <mergeCell ref="D33:D35"/>
    <mergeCell ref="E33:E35"/>
    <mergeCell ref="F33:F35"/>
    <mergeCell ref="G33:G35"/>
    <mergeCell ref="H33:H35"/>
    <mergeCell ref="I33:I35"/>
    <mergeCell ref="J33:J35"/>
    <mergeCell ref="B39:B41"/>
    <mergeCell ref="C39:C41"/>
    <mergeCell ref="D39:D41"/>
    <mergeCell ref="E39:E41"/>
    <mergeCell ref="F39:F41"/>
    <mergeCell ref="M39:M41"/>
    <mergeCell ref="G39:G41"/>
    <mergeCell ref="H39:H41"/>
    <mergeCell ref="I39:I41"/>
    <mergeCell ref="J39:J41"/>
    <mergeCell ref="K39:K41"/>
    <mergeCell ref="L39:L41"/>
    <mergeCell ref="B42:B44"/>
    <mergeCell ref="C42:C44"/>
    <mergeCell ref="D42:D44"/>
    <mergeCell ref="E42:E44"/>
    <mergeCell ref="F42:F44"/>
    <mergeCell ref="G42:G44"/>
    <mergeCell ref="H42:H44"/>
    <mergeCell ref="I42:I44"/>
    <mergeCell ref="J42:J44"/>
    <mergeCell ref="K42:K44"/>
    <mergeCell ref="L42:L44"/>
    <mergeCell ref="M42:M44"/>
    <mergeCell ref="K45:K47"/>
    <mergeCell ref="L45:L47"/>
    <mergeCell ref="M45:M47"/>
    <mergeCell ref="B48:B50"/>
    <mergeCell ref="C48:C50"/>
    <mergeCell ref="D48:D50"/>
    <mergeCell ref="E48:E50"/>
    <mergeCell ref="F48:F50"/>
    <mergeCell ref="M48:M50"/>
    <mergeCell ref="G48:G50"/>
    <mergeCell ref="H48:H50"/>
    <mergeCell ref="I48:I50"/>
    <mergeCell ref="J48:J50"/>
    <mergeCell ref="K48:K50"/>
    <mergeCell ref="L48:L50"/>
    <mergeCell ref="B45:B47"/>
    <mergeCell ref="C45:C47"/>
    <mergeCell ref="D45:D47"/>
    <mergeCell ref="E45:E47"/>
    <mergeCell ref="F45:F47"/>
    <mergeCell ref="G45:G47"/>
    <mergeCell ref="H45:H47"/>
    <mergeCell ref="I45:I47"/>
    <mergeCell ref="J45:J47"/>
    <mergeCell ref="K51:K53"/>
    <mergeCell ref="L51:L53"/>
    <mergeCell ref="M51:M53"/>
    <mergeCell ref="B54:B56"/>
    <mergeCell ref="C54:C56"/>
    <mergeCell ref="D54:D56"/>
    <mergeCell ref="E54:E56"/>
    <mergeCell ref="F54:F56"/>
    <mergeCell ref="G54:G56"/>
    <mergeCell ref="H54:H56"/>
    <mergeCell ref="I54:I56"/>
    <mergeCell ref="J54:J56"/>
    <mergeCell ref="K54:K56"/>
    <mergeCell ref="L54:L56"/>
    <mergeCell ref="M54:M56"/>
    <mergeCell ref="B51:B53"/>
    <mergeCell ref="C51:C53"/>
    <mergeCell ref="D51:D53"/>
    <mergeCell ref="E51:E53"/>
    <mergeCell ref="F51:F53"/>
    <mergeCell ref="G51:G53"/>
    <mergeCell ref="H51:H53"/>
    <mergeCell ref="I51:I53"/>
    <mergeCell ref="J51:J53"/>
    <mergeCell ref="B57:B59"/>
    <mergeCell ref="C57:C59"/>
    <mergeCell ref="D57:D59"/>
    <mergeCell ref="E57:E59"/>
    <mergeCell ref="F57:F59"/>
    <mergeCell ref="M57:M59"/>
    <mergeCell ref="G57:G59"/>
    <mergeCell ref="H57:H59"/>
    <mergeCell ref="I57:I59"/>
    <mergeCell ref="J57:J59"/>
    <mergeCell ref="K57:K59"/>
    <mergeCell ref="L57:L59"/>
    <mergeCell ref="B60:B62"/>
    <mergeCell ref="C60:C62"/>
    <mergeCell ref="D60:D62"/>
    <mergeCell ref="E60:E62"/>
    <mergeCell ref="F60:F62"/>
    <mergeCell ref="G60:G62"/>
    <mergeCell ref="H60:H62"/>
    <mergeCell ref="I60:I62"/>
    <mergeCell ref="J60:J62"/>
    <mergeCell ref="K60:K62"/>
    <mergeCell ref="L60:L62"/>
    <mergeCell ref="M60:M62"/>
    <mergeCell ref="K69:K71"/>
    <mergeCell ref="L69:L71"/>
    <mergeCell ref="M69:M71"/>
    <mergeCell ref="M66:M68"/>
    <mergeCell ref="B69:B71"/>
    <mergeCell ref="C69:C71"/>
    <mergeCell ref="D69:D71"/>
    <mergeCell ref="E69:E71"/>
    <mergeCell ref="F69:F71"/>
    <mergeCell ref="G69:G71"/>
    <mergeCell ref="H69:H71"/>
    <mergeCell ref="I69:I71"/>
    <mergeCell ref="J69:J71"/>
    <mergeCell ref="G66:G68"/>
    <mergeCell ref="H66:H68"/>
    <mergeCell ref="I66:I68"/>
    <mergeCell ref="J66:J68"/>
    <mergeCell ref="K66:K68"/>
    <mergeCell ref="L66:L68"/>
    <mergeCell ref="K63:K65"/>
    <mergeCell ref="L63:L65"/>
    <mergeCell ref="M63:M65"/>
    <mergeCell ref="B66:B68"/>
    <mergeCell ref="C66:C68"/>
    <mergeCell ref="D66:D68"/>
    <mergeCell ref="E66:E68"/>
    <mergeCell ref="F66:F68"/>
    <mergeCell ref="B63:B65"/>
    <mergeCell ref="C63:C65"/>
    <mergeCell ref="D63:D65"/>
    <mergeCell ref="E63:E65"/>
    <mergeCell ref="F63:F65"/>
    <mergeCell ref="G63:G65"/>
    <mergeCell ref="H63:H65"/>
    <mergeCell ref="I63:I65"/>
    <mergeCell ref="J63:J65"/>
  </mergeCells>
  <conditionalFormatting sqref="F12:M71">
    <cfRule type="containsText" dxfId="5"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Tratamiento'!$D$32:$D$33</xm:f>
          </x14:formula1>
          <xm:sqref>H12:H71</xm:sqref>
        </x14:dataValidation>
        <x14:dataValidation type="list" allowBlank="1" showInputMessage="1" showErrorMessage="1">
          <x14:formula1>
            <xm:f>'Opciones Tratamiento'!$D$27:$D$29</xm:f>
          </x14:formula1>
          <xm:sqref>E12:E71</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4"/>
  <dimension ref="A1:BR47"/>
  <sheetViews>
    <sheetView view="pageBreakPreview" zoomScale="40" zoomScaleNormal="10" zoomScaleSheetLayoutView="40" workbookViewId="0">
      <selection activeCell="B12" sqref="B12:B14"/>
    </sheetView>
  </sheetViews>
  <sheetFormatPr baseColWidth="10" defaultColWidth="11.42578125" defaultRowHeight="16.5" x14ac:dyDescent="0.3"/>
  <cols>
    <col min="1" max="1" width="54.42578125" style="149" bestFit="1" customWidth="1"/>
    <col min="2" max="2" width="31.5703125" style="149" bestFit="1" customWidth="1"/>
    <col min="3" max="4" width="91.140625" style="149" customWidth="1"/>
    <col min="5" max="5" width="41.5703125" style="149" customWidth="1"/>
    <col min="6" max="6" width="90.85546875" style="149" customWidth="1"/>
    <col min="7" max="8" width="45.140625" style="149" customWidth="1"/>
    <col min="9" max="10" width="90.85546875" style="149" customWidth="1"/>
    <col min="11" max="11" width="54.42578125" style="149" customWidth="1"/>
    <col min="12" max="12" width="38.7109375" style="149" customWidth="1"/>
    <col min="13" max="13" width="72.7109375" style="149" customWidth="1"/>
    <col min="14" max="14" width="3.28515625" style="149" customWidth="1"/>
    <col min="15" max="15" width="35.85546875" style="149" customWidth="1"/>
    <col min="16" max="16384" width="11.42578125" style="149"/>
  </cols>
  <sheetData>
    <row r="1" spans="1:70" s="142" customFormat="1" ht="24" thickBot="1" x14ac:dyDescent="0.4">
      <c r="A1" s="14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c r="AC1" s="141"/>
      <c r="AD1" s="141"/>
      <c r="AE1" s="141"/>
      <c r="AF1" s="141"/>
      <c r="AG1" s="141"/>
      <c r="AH1" s="141"/>
      <c r="AI1" s="141"/>
      <c r="AJ1" s="141"/>
      <c r="AK1" s="141"/>
      <c r="AL1" s="141"/>
      <c r="AM1" s="141"/>
      <c r="AN1" s="141"/>
      <c r="AO1" s="141"/>
      <c r="AP1" s="141"/>
      <c r="AQ1" s="141"/>
      <c r="AR1" s="141"/>
      <c r="AS1" s="141"/>
      <c r="AT1" s="141"/>
      <c r="AU1" s="141"/>
      <c r="AV1" s="141"/>
      <c r="AW1" s="141"/>
      <c r="AX1" s="141"/>
      <c r="AY1" s="141"/>
      <c r="AZ1" s="141"/>
      <c r="BA1" s="141"/>
      <c r="BB1" s="141"/>
      <c r="BC1" s="141"/>
      <c r="BD1" s="141"/>
      <c r="BE1" s="141"/>
      <c r="BF1" s="141"/>
      <c r="BG1" s="141"/>
      <c r="BH1" s="141"/>
      <c r="BI1" s="141"/>
      <c r="BJ1" s="141"/>
      <c r="BK1" s="141"/>
      <c r="BL1" s="141"/>
      <c r="BM1" s="141"/>
      <c r="BN1" s="141"/>
      <c r="BO1" s="141"/>
      <c r="BP1" s="141"/>
      <c r="BQ1" s="141"/>
      <c r="BR1" s="141"/>
    </row>
    <row r="2" spans="1:70" s="142" customFormat="1" ht="70.5" customHeight="1" x14ac:dyDescent="0.35">
      <c r="A2" s="514" t="s">
        <v>60</v>
      </c>
      <c r="B2" s="515"/>
      <c r="C2" s="515"/>
      <c r="D2" s="499" t="s">
        <v>106</v>
      </c>
      <c r="E2" s="500"/>
      <c r="F2" s="500"/>
      <c r="G2" s="500"/>
      <c r="H2" s="500"/>
      <c r="I2" s="500"/>
      <c r="J2" s="500"/>
      <c r="K2" s="500"/>
      <c r="L2" s="501"/>
      <c r="M2" s="516" t="s">
        <v>107</v>
      </c>
      <c r="N2" s="141"/>
      <c r="O2" s="141"/>
      <c r="P2" s="141"/>
      <c r="Q2" s="141"/>
      <c r="R2" s="141"/>
      <c r="S2" s="141"/>
      <c r="T2" s="141"/>
      <c r="U2" s="141"/>
      <c r="V2" s="141"/>
      <c r="W2" s="141"/>
      <c r="X2" s="141"/>
      <c r="Y2" s="141"/>
      <c r="Z2" s="141"/>
      <c r="AA2" s="141"/>
      <c r="AB2" s="141"/>
      <c r="AC2" s="141"/>
      <c r="AD2" s="141"/>
      <c r="AE2" s="141"/>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c r="BJ2" s="141"/>
      <c r="BK2" s="141"/>
      <c r="BL2" s="141"/>
      <c r="BM2" s="141"/>
      <c r="BN2" s="141"/>
      <c r="BO2" s="141"/>
      <c r="BP2" s="141"/>
      <c r="BQ2" s="141"/>
      <c r="BR2" s="141"/>
    </row>
    <row r="3" spans="1:70" s="142" customFormat="1" ht="34.5" customHeight="1" x14ac:dyDescent="0.35">
      <c r="A3" s="518"/>
      <c r="B3" s="519"/>
      <c r="C3" s="519"/>
      <c r="D3" s="502" t="s">
        <v>63</v>
      </c>
      <c r="E3" s="503"/>
      <c r="F3" s="503"/>
      <c r="G3" s="503"/>
      <c r="H3" s="503"/>
      <c r="I3" s="503"/>
      <c r="J3" s="503"/>
      <c r="K3" s="503"/>
      <c r="L3" s="504"/>
      <c r="M3" s="517"/>
      <c r="N3" s="143"/>
      <c r="O3" s="143"/>
      <c r="P3" s="143"/>
      <c r="Q3" s="143"/>
      <c r="R3" s="143"/>
      <c r="S3" s="143"/>
      <c r="T3" s="143"/>
      <c r="X3" s="141"/>
      <c r="Y3" s="141"/>
      <c r="Z3" s="141"/>
      <c r="AA3" s="141"/>
      <c r="AB3" s="141"/>
      <c r="AC3" s="141"/>
      <c r="AD3" s="141"/>
      <c r="AE3" s="141"/>
      <c r="AF3" s="141"/>
      <c r="AG3" s="141"/>
      <c r="AH3" s="141"/>
      <c r="AI3" s="141"/>
      <c r="AJ3" s="141"/>
      <c r="AK3" s="141"/>
      <c r="AL3" s="141"/>
      <c r="AM3" s="141"/>
      <c r="AN3" s="141"/>
      <c r="AO3" s="141"/>
      <c r="AP3" s="141"/>
      <c r="AQ3" s="141"/>
      <c r="AR3" s="141"/>
      <c r="AS3" s="141"/>
      <c r="AT3" s="141"/>
      <c r="AU3" s="141"/>
      <c r="AV3" s="141"/>
      <c r="AW3" s="141"/>
      <c r="AX3" s="141"/>
      <c r="AY3" s="141"/>
      <c r="AZ3" s="141"/>
      <c r="BA3" s="141"/>
      <c r="BB3" s="141"/>
      <c r="BC3" s="141"/>
      <c r="BD3" s="141"/>
      <c r="BE3" s="141"/>
      <c r="BF3" s="141"/>
      <c r="BG3" s="141"/>
      <c r="BH3" s="141"/>
      <c r="BI3" s="141"/>
      <c r="BJ3" s="141"/>
      <c r="BK3" s="141"/>
      <c r="BL3" s="141"/>
      <c r="BM3" s="141"/>
      <c r="BN3" s="141"/>
      <c r="BO3" s="141"/>
      <c r="BP3" s="141"/>
      <c r="BQ3" s="141"/>
      <c r="BR3" s="141"/>
    </row>
    <row r="4" spans="1:70" s="142" customFormat="1" ht="34.5" customHeight="1" x14ac:dyDescent="0.35">
      <c r="A4" s="518"/>
      <c r="B4" s="519"/>
      <c r="C4" s="519"/>
      <c r="D4" s="505"/>
      <c r="E4" s="506"/>
      <c r="F4" s="506"/>
      <c r="G4" s="506"/>
      <c r="H4" s="506"/>
      <c r="I4" s="506"/>
      <c r="J4" s="506"/>
      <c r="K4" s="506"/>
      <c r="L4" s="507"/>
      <c r="M4" s="165" t="s">
        <v>64</v>
      </c>
      <c r="N4" s="141"/>
      <c r="P4" s="144"/>
      <c r="Q4" s="144"/>
      <c r="R4" s="144"/>
      <c r="S4" s="144"/>
      <c r="T4" s="144"/>
      <c r="U4" s="144"/>
      <c r="V4" s="144"/>
      <c r="W4" s="144"/>
      <c r="X4" s="141"/>
      <c r="Y4" s="141"/>
      <c r="Z4" s="141"/>
      <c r="AA4" s="141"/>
      <c r="AB4" s="141"/>
      <c r="AC4" s="141"/>
      <c r="AD4" s="141"/>
      <c r="AE4" s="141"/>
      <c r="AF4" s="141"/>
      <c r="AG4" s="141"/>
      <c r="AH4" s="141"/>
      <c r="AI4" s="141"/>
      <c r="AJ4" s="141"/>
      <c r="AK4" s="141"/>
      <c r="AL4" s="141"/>
      <c r="AM4" s="141"/>
      <c r="AN4" s="141"/>
      <c r="AO4" s="141"/>
      <c r="AP4" s="141"/>
      <c r="AQ4" s="141"/>
      <c r="AR4" s="141"/>
      <c r="AS4" s="141"/>
      <c r="AT4" s="141"/>
      <c r="AU4" s="141"/>
      <c r="AV4" s="141"/>
      <c r="AW4" s="141"/>
      <c r="AX4" s="141"/>
      <c r="AY4" s="141"/>
      <c r="AZ4" s="141"/>
      <c r="BA4" s="141"/>
      <c r="BB4" s="141"/>
      <c r="BC4" s="141"/>
      <c r="BD4" s="141"/>
      <c r="BE4" s="141"/>
      <c r="BF4" s="141"/>
      <c r="BG4" s="141"/>
      <c r="BH4" s="141"/>
      <c r="BI4" s="141"/>
      <c r="BJ4" s="141"/>
      <c r="BK4" s="141"/>
      <c r="BL4" s="141"/>
      <c r="BM4" s="141"/>
      <c r="BN4" s="141"/>
      <c r="BO4" s="141"/>
      <c r="BP4" s="141"/>
      <c r="BQ4" s="141"/>
      <c r="BR4" s="141"/>
    </row>
    <row r="5" spans="1:70" s="142" customFormat="1" ht="34.5" customHeight="1" x14ac:dyDescent="0.35">
      <c r="A5" s="518"/>
      <c r="B5" s="519"/>
      <c r="C5" s="519"/>
      <c r="D5" s="508" t="s">
        <v>65</v>
      </c>
      <c r="E5" s="509"/>
      <c r="F5" s="509"/>
      <c r="G5" s="509"/>
      <c r="H5" s="509"/>
      <c r="I5" s="509"/>
      <c r="J5" s="509"/>
      <c r="K5" s="509"/>
      <c r="L5" s="510"/>
      <c r="M5" s="165" t="s">
        <v>108</v>
      </c>
      <c r="N5" s="141"/>
      <c r="P5" s="144"/>
      <c r="Q5" s="144"/>
      <c r="R5" s="144"/>
      <c r="S5" s="144"/>
      <c r="T5" s="144"/>
      <c r="U5" s="144"/>
      <c r="V5" s="144"/>
      <c r="W5" s="144"/>
      <c r="X5" s="141"/>
      <c r="Y5" s="141"/>
      <c r="Z5" s="141"/>
      <c r="AA5" s="141"/>
      <c r="AB5" s="141"/>
      <c r="AC5" s="141"/>
      <c r="AD5" s="141"/>
      <c r="AE5" s="141"/>
      <c r="AF5" s="141"/>
      <c r="AG5" s="141"/>
      <c r="AH5" s="141"/>
      <c r="AI5" s="141"/>
      <c r="AJ5" s="141"/>
      <c r="AK5" s="141"/>
      <c r="AL5" s="141"/>
      <c r="AM5" s="141"/>
      <c r="AN5" s="141"/>
      <c r="AO5" s="141"/>
      <c r="AP5" s="141"/>
      <c r="AQ5" s="141"/>
      <c r="AR5" s="141"/>
      <c r="AS5" s="141"/>
      <c r="AT5" s="141"/>
      <c r="AU5" s="141"/>
      <c r="AV5" s="141"/>
      <c r="AW5" s="141"/>
      <c r="AX5" s="141"/>
      <c r="AY5" s="141"/>
      <c r="AZ5" s="141"/>
      <c r="BA5" s="141"/>
      <c r="BB5" s="141"/>
      <c r="BC5" s="141"/>
      <c r="BD5" s="141"/>
      <c r="BE5" s="141"/>
      <c r="BF5" s="141"/>
      <c r="BG5" s="141"/>
      <c r="BH5" s="141"/>
      <c r="BI5" s="141"/>
      <c r="BJ5" s="141"/>
      <c r="BK5" s="141"/>
      <c r="BL5" s="141"/>
      <c r="BM5" s="141"/>
      <c r="BN5" s="141"/>
      <c r="BO5" s="141"/>
      <c r="BP5" s="141"/>
      <c r="BQ5" s="141"/>
      <c r="BR5" s="141"/>
    </row>
    <row r="6" spans="1:70" s="142" customFormat="1" ht="34.5" customHeight="1" x14ac:dyDescent="0.35">
      <c r="A6" s="518"/>
      <c r="B6" s="519"/>
      <c r="C6" s="519"/>
      <c r="D6" s="511" t="s">
        <v>67</v>
      </c>
      <c r="E6" s="512"/>
      <c r="F6" s="512"/>
      <c r="G6" s="512"/>
      <c r="H6" s="512"/>
      <c r="I6" s="512"/>
      <c r="J6" s="512"/>
      <c r="K6" s="512"/>
      <c r="L6" s="513"/>
      <c r="M6" s="171" t="s">
        <v>68</v>
      </c>
      <c r="N6" s="141"/>
      <c r="P6" s="145"/>
      <c r="Q6" s="145"/>
      <c r="R6" s="145"/>
      <c r="S6" s="145"/>
      <c r="T6" s="145"/>
      <c r="U6" s="145"/>
      <c r="V6" s="145"/>
      <c r="W6" s="145"/>
      <c r="X6" s="141"/>
      <c r="Y6" s="141"/>
      <c r="Z6" s="141"/>
      <c r="AA6" s="141"/>
      <c r="AB6" s="141"/>
      <c r="AC6" s="141"/>
      <c r="AD6" s="141"/>
      <c r="AE6" s="141"/>
      <c r="AF6" s="141"/>
      <c r="AG6" s="141"/>
      <c r="AH6" s="141"/>
      <c r="AI6" s="141"/>
      <c r="AJ6" s="141"/>
      <c r="AK6" s="141"/>
      <c r="AL6" s="141"/>
      <c r="AM6" s="141"/>
      <c r="AN6" s="141"/>
      <c r="AO6" s="141"/>
      <c r="AP6" s="141"/>
      <c r="AQ6" s="141"/>
      <c r="AR6" s="141"/>
      <c r="AS6" s="141"/>
      <c r="AT6" s="141"/>
      <c r="AU6" s="141"/>
      <c r="AV6" s="141"/>
      <c r="AW6" s="141"/>
      <c r="AX6" s="141"/>
      <c r="AY6" s="141"/>
      <c r="AZ6" s="141"/>
      <c r="BA6" s="141"/>
      <c r="BB6" s="141"/>
      <c r="BC6" s="141"/>
      <c r="BD6" s="141"/>
      <c r="BE6" s="141"/>
      <c r="BF6" s="141"/>
      <c r="BG6" s="141"/>
      <c r="BH6" s="141"/>
      <c r="BI6" s="141"/>
      <c r="BJ6" s="141"/>
      <c r="BK6" s="141"/>
      <c r="BL6" s="141"/>
      <c r="BM6" s="141"/>
      <c r="BN6" s="141"/>
      <c r="BO6" s="141"/>
      <c r="BP6" s="141"/>
      <c r="BQ6" s="141"/>
      <c r="BR6" s="141"/>
    </row>
    <row r="7" spans="1:70" s="142" customFormat="1" ht="33" customHeight="1" thickBot="1" x14ac:dyDescent="0.4">
      <c r="A7" s="520"/>
      <c r="B7" s="521"/>
      <c r="C7" s="521"/>
      <c r="D7" s="521"/>
      <c r="E7" s="521"/>
      <c r="F7" s="521"/>
      <c r="G7" s="521"/>
      <c r="H7" s="521"/>
      <c r="I7" s="521"/>
      <c r="J7" s="521"/>
      <c r="K7" s="521"/>
      <c r="L7" s="521"/>
      <c r="M7" s="522"/>
      <c r="N7" s="141"/>
      <c r="O7" s="145"/>
      <c r="P7" s="145"/>
      <c r="Q7" s="145"/>
      <c r="R7" s="145"/>
      <c r="S7" s="145"/>
      <c r="T7" s="145"/>
      <c r="U7" s="145"/>
      <c r="V7" s="145"/>
      <c r="W7" s="145"/>
      <c r="X7" s="141"/>
      <c r="Y7" s="141"/>
      <c r="Z7" s="141"/>
      <c r="AA7" s="141"/>
      <c r="AB7" s="141"/>
      <c r="AC7" s="141"/>
      <c r="AD7" s="141"/>
      <c r="AE7" s="141"/>
      <c r="AF7" s="141"/>
      <c r="AG7" s="141"/>
      <c r="AH7" s="141"/>
      <c r="AI7" s="141"/>
      <c r="AJ7" s="141"/>
      <c r="AK7" s="141"/>
      <c r="AL7" s="141"/>
      <c r="AM7" s="141"/>
      <c r="AN7" s="141"/>
      <c r="AO7" s="141"/>
      <c r="AP7" s="141"/>
      <c r="AQ7" s="141"/>
      <c r="AR7" s="141"/>
      <c r="AS7" s="141"/>
      <c r="AT7" s="141"/>
      <c r="AU7" s="141"/>
      <c r="AV7" s="141"/>
      <c r="AW7" s="141"/>
      <c r="AX7" s="141"/>
      <c r="AY7" s="141"/>
      <c r="AZ7" s="141"/>
      <c r="BA7" s="141"/>
      <c r="BB7" s="141"/>
      <c r="BC7" s="141"/>
      <c r="BD7" s="141"/>
      <c r="BE7" s="141"/>
      <c r="BF7" s="141"/>
      <c r="BG7" s="141"/>
      <c r="BH7" s="141"/>
      <c r="BI7" s="141"/>
      <c r="BJ7" s="141"/>
      <c r="BK7" s="141"/>
      <c r="BL7" s="141"/>
      <c r="BM7" s="141"/>
      <c r="BN7" s="141"/>
      <c r="BO7" s="141"/>
      <c r="BP7" s="141"/>
      <c r="BQ7" s="141"/>
      <c r="BR7" s="141"/>
    </row>
    <row r="8" spans="1:70" s="142" customFormat="1" ht="29.25" customHeight="1" x14ac:dyDescent="0.35">
      <c r="A8" s="137"/>
      <c r="B8" s="138"/>
      <c r="C8" s="139"/>
      <c r="D8" s="139"/>
      <c r="E8" s="139"/>
      <c r="F8" s="139"/>
      <c r="G8" s="139"/>
      <c r="H8" s="139"/>
      <c r="I8" s="139"/>
      <c r="J8" s="139"/>
      <c r="K8" s="139"/>
      <c r="L8" s="139"/>
      <c r="M8" s="139"/>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row>
    <row r="9" spans="1:70" s="142" customFormat="1" ht="175.5" customHeight="1" x14ac:dyDescent="0.35">
      <c r="A9" s="667" t="s">
        <v>157</v>
      </c>
      <c r="B9" s="668"/>
      <c r="C9" s="668"/>
      <c r="D9" s="668"/>
      <c r="E9" s="668"/>
      <c r="F9" s="668"/>
      <c r="G9" s="668"/>
      <c r="H9" s="668"/>
      <c r="I9" s="668"/>
      <c r="J9" s="668"/>
      <c r="K9" s="668"/>
      <c r="L9" s="668"/>
      <c r="M9" s="668"/>
      <c r="N9" s="141"/>
      <c r="O9" s="141"/>
      <c r="P9" s="141"/>
      <c r="Q9" s="141"/>
      <c r="R9" s="141"/>
      <c r="S9" s="141"/>
      <c r="T9" s="141"/>
      <c r="U9" s="141"/>
      <c r="V9" s="141"/>
      <c r="W9" s="141"/>
      <c r="X9" s="141"/>
      <c r="Y9" s="141"/>
      <c r="Z9" s="141"/>
      <c r="AA9" s="141"/>
      <c r="AB9" s="141"/>
      <c r="AC9" s="141"/>
      <c r="AD9" s="141"/>
      <c r="AE9" s="141"/>
      <c r="AF9" s="141"/>
      <c r="AG9" s="141"/>
      <c r="AH9" s="141"/>
      <c r="AI9" s="141"/>
      <c r="AJ9" s="141"/>
      <c r="AK9" s="141"/>
      <c r="AL9" s="141"/>
      <c r="AM9" s="141"/>
      <c r="AN9" s="141"/>
      <c r="AO9" s="141"/>
      <c r="AP9" s="141"/>
      <c r="AQ9" s="141"/>
      <c r="AR9" s="141"/>
      <c r="AS9" s="141"/>
      <c r="AT9" s="141"/>
      <c r="AU9" s="141"/>
      <c r="AV9" s="141"/>
      <c r="AW9" s="141"/>
      <c r="AX9" s="141"/>
      <c r="AY9" s="141"/>
      <c r="AZ9" s="141"/>
      <c r="BA9" s="141"/>
      <c r="BB9" s="141"/>
      <c r="BC9" s="141"/>
      <c r="BD9" s="141"/>
      <c r="BE9" s="141"/>
      <c r="BF9" s="141"/>
      <c r="BG9" s="141"/>
      <c r="BH9" s="141"/>
      <c r="BI9" s="141"/>
      <c r="BJ9" s="141"/>
      <c r="BK9" s="141"/>
      <c r="BL9" s="141"/>
      <c r="BM9" s="141"/>
      <c r="BN9" s="141"/>
      <c r="BO9" s="141"/>
      <c r="BP9" s="141"/>
      <c r="BQ9" s="141"/>
      <c r="BR9" s="141"/>
    </row>
    <row r="10" spans="1:70" s="142" customFormat="1" ht="99.75" customHeight="1" x14ac:dyDescent="0.35">
      <c r="A10" s="669" t="s">
        <v>158</v>
      </c>
      <c r="B10" s="670" t="s">
        <v>110</v>
      </c>
      <c r="C10" s="670"/>
      <c r="D10" s="670" t="s">
        <v>159</v>
      </c>
      <c r="E10" s="670" t="s">
        <v>112</v>
      </c>
      <c r="F10" s="670" t="s">
        <v>113</v>
      </c>
      <c r="G10" s="670"/>
      <c r="H10" s="670"/>
      <c r="I10" s="670"/>
      <c r="J10" s="670"/>
      <c r="K10" s="670"/>
      <c r="L10" s="670"/>
      <c r="M10" s="670"/>
      <c r="N10" s="141"/>
      <c r="O10" s="141"/>
      <c r="P10" s="141"/>
      <c r="Q10" s="141"/>
      <c r="R10" s="141"/>
      <c r="S10" s="141"/>
      <c r="T10" s="141"/>
      <c r="U10" s="141"/>
      <c r="V10" s="141"/>
      <c r="W10" s="141"/>
      <c r="X10" s="141"/>
      <c r="Y10" s="141"/>
      <c r="Z10" s="141"/>
      <c r="AA10" s="141"/>
      <c r="AB10" s="141"/>
      <c r="AC10" s="141"/>
      <c r="AD10" s="141"/>
      <c r="AE10" s="141"/>
      <c r="AF10" s="141"/>
      <c r="AG10" s="141"/>
      <c r="AH10" s="141"/>
      <c r="AI10" s="141"/>
      <c r="AJ10" s="141"/>
      <c r="AK10" s="141"/>
      <c r="AL10" s="141"/>
      <c r="AM10" s="141"/>
      <c r="AN10" s="141"/>
      <c r="AO10" s="141"/>
      <c r="AP10" s="141"/>
      <c r="AQ10" s="141"/>
      <c r="AR10" s="141"/>
      <c r="AS10" s="141"/>
      <c r="AT10" s="141"/>
      <c r="AU10" s="141"/>
      <c r="AV10" s="141"/>
      <c r="AW10" s="141"/>
      <c r="AX10" s="141"/>
      <c r="AY10" s="141"/>
      <c r="AZ10" s="141"/>
      <c r="BA10" s="141"/>
      <c r="BB10" s="141"/>
      <c r="BC10" s="141"/>
      <c r="BD10" s="141"/>
      <c r="BE10" s="141"/>
      <c r="BF10" s="141"/>
      <c r="BG10" s="141"/>
      <c r="BH10" s="141"/>
      <c r="BI10" s="141"/>
      <c r="BJ10" s="141"/>
      <c r="BK10" s="141"/>
      <c r="BL10" s="141"/>
      <c r="BM10" s="141"/>
      <c r="BN10" s="141"/>
      <c r="BO10" s="141"/>
      <c r="BP10" s="141"/>
      <c r="BQ10" s="141"/>
      <c r="BR10" s="141"/>
    </row>
    <row r="11" spans="1:70" s="142" customFormat="1" ht="211.5" customHeight="1" x14ac:dyDescent="0.35">
      <c r="A11" s="669"/>
      <c r="B11" s="156" t="s">
        <v>114</v>
      </c>
      <c r="C11" s="156" t="s">
        <v>21</v>
      </c>
      <c r="D11" s="670"/>
      <c r="E11" s="670"/>
      <c r="F11" s="156" t="s">
        <v>160</v>
      </c>
      <c r="G11" s="156" t="s">
        <v>116</v>
      </c>
      <c r="H11" s="156" t="s">
        <v>161</v>
      </c>
      <c r="I11" s="156" t="s">
        <v>162</v>
      </c>
      <c r="J11" s="156" t="s">
        <v>124</v>
      </c>
      <c r="K11" s="156" t="s">
        <v>93</v>
      </c>
      <c r="L11" s="156" t="s">
        <v>120</v>
      </c>
      <c r="M11" s="156" t="s">
        <v>121</v>
      </c>
      <c r="N11" s="141"/>
      <c r="O11" s="141"/>
      <c r="P11" s="141"/>
      <c r="Q11" s="141"/>
      <c r="R11" s="141"/>
      <c r="S11" s="141"/>
      <c r="T11" s="141"/>
      <c r="U11" s="141"/>
      <c r="V11" s="141"/>
      <c r="W11" s="141"/>
      <c r="X11" s="141"/>
      <c r="Y11" s="141"/>
      <c r="Z11" s="141"/>
      <c r="AA11" s="141"/>
      <c r="AB11" s="141"/>
      <c r="AC11" s="141"/>
      <c r="AD11" s="141"/>
      <c r="AE11" s="141"/>
      <c r="AF11" s="141"/>
      <c r="AG11" s="141"/>
      <c r="AH11" s="141"/>
      <c r="AI11" s="141"/>
      <c r="AJ11" s="141"/>
      <c r="AK11" s="141"/>
      <c r="AL11" s="141"/>
      <c r="AM11" s="141"/>
      <c r="AN11" s="141"/>
      <c r="AO11" s="141"/>
      <c r="AP11" s="141"/>
      <c r="AQ11" s="141"/>
      <c r="AR11" s="141"/>
      <c r="AS11" s="141"/>
      <c r="AT11" s="141"/>
      <c r="AU11" s="141"/>
      <c r="AV11" s="141"/>
      <c r="AW11" s="141"/>
      <c r="AX11" s="141"/>
      <c r="AY11" s="141"/>
      <c r="AZ11" s="141"/>
      <c r="BA11" s="141"/>
      <c r="BB11" s="141"/>
      <c r="BC11" s="141"/>
      <c r="BD11" s="141"/>
      <c r="BE11" s="141"/>
      <c r="BF11" s="141"/>
      <c r="BG11" s="141"/>
      <c r="BH11" s="141"/>
      <c r="BI11" s="141"/>
      <c r="BJ11" s="141"/>
      <c r="BK11" s="141"/>
      <c r="BL11" s="141"/>
      <c r="BM11" s="141"/>
      <c r="BN11" s="141"/>
      <c r="BO11" s="141"/>
      <c r="BP11" s="141"/>
      <c r="BQ11" s="141"/>
      <c r="BR11" s="141"/>
    </row>
    <row r="12" spans="1:70" s="147" customFormat="1" ht="48.75" customHeight="1" x14ac:dyDescent="0.3">
      <c r="A12" s="666" t="s">
        <v>163</v>
      </c>
      <c r="B12" s="496"/>
      <c r="C12" s="497"/>
      <c r="D12" s="466"/>
      <c r="E12" s="467"/>
      <c r="F12" s="463" t="str">
        <f t="shared" ref="F12:M12" si="0">IFERROR(IF($E12="","No",IF($E12="No","No"," "))," ")</f>
        <v>No</v>
      </c>
      <c r="G12" s="463" t="str">
        <f t="shared" si="0"/>
        <v>No</v>
      </c>
      <c r="H12" s="463" t="str">
        <f t="shared" si="0"/>
        <v>No</v>
      </c>
      <c r="I12" s="463" t="str">
        <f t="shared" si="0"/>
        <v>No</v>
      </c>
      <c r="J12" s="463" t="str">
        <f t="shared" si="0"/>
        <v>No</v>
      </c>
      <c r="K12" s="463" t="str">
        <f t="shared" si="0"/>
        <v>No</v>
      </c>
      <c r="L12" s="463" t="str">
        <f t="shared" si="0"/>
        <v>No</v>
      </c>
      <c r="M12" s="463" t="str">
        <f t="shared" si="0"/>
        <v>No</v>
      </c>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c r="AQ12" s="146"/>
      <c r="AR12" s="146"/>
      <c r="AS12" s="146"/>
      <c r="AT12" s="146"/>
      <c r="AU12" s="146"/>
      <c r="AV12" s="146"/>
      <c r="AW12" s="146"/>
      <c r="AX12" s="146"/>
      <c r="AY12" s="146"/>
      <c r="AZ12" s="146"/>
      <c r="BA12" s="146"/>
      <c r="BB12" s="146"/>
      <c r="BC12" s="146"/>
      <c r="BD12" s="146"/>
      <c r="BE12" s="146"/>
      <c r="BF12" s="146"/>
      <c r="BG12" s="146"/>
      <c r="BH12" s="146"/>
      <c r="BI12" s="146"/>
      <c r="BJ12" s="146"/>
      <c r="BK12" s="146"/>
      <c r="BL12" s="146"/>
      <c r="BM12" s="146"/>
      <c r="BN12" s="146"/>
      <c r="BO12" s="146"/>
      <c r="BP12" s="146"/>
      <c r="BQ12" s="146"/>
      <c r="BR12" s="146"/>
    </row>
    <row r="13" spans="1:70" s="147" customFormat="1" ht="48.75" customHeight="1" x14ac:dyDescent="0.3">
      <c r="A13" s="666"/>
      <c r="B13" s="496"/>
      <c r="C13" s="497"/>
      <c r="D13" s="466"/>
      <c r="E13" s="467"/>
      <c r="F13" s="463"/>
      <c r="G13" s="463"/>
      <c r="H13" s="463"/>
      <c r="I13" s="463"/>
      <c r="J13" s="463"/>
      <c r="K13" s="463"/>
      <c r="L13" s="463"/>
      <c r="M13" s="463"/>
      <c r="N13" s="146"/>
      <c r="O13" s="146"/>
      <c r="P13" s="146"/>
      <c r="Q13" s="146"/>
      <c r="R13" s="146"/>
      <c r="S13" s="146"/>
      <c r="T13" s="146"/>
      <c r="U13" s="146"/>
      <c r="V13" s="146"/>
      <c r="W13" s="146"/>
      <c r="X13" s="146"/>
      <c r="Y13" s="146"/>
      <c r="Z13" s="146"/>
      <c r="AA13" s="146"/>
      <c r="AB13" s="146"/>
      <c r="AC13" s="146"/>
      <c r="AD13" s="146"/>
      <c r="AE13" s="146"/>
      <c r="AF13" s="146"/>
      <c r="AG13" s="146"/>
      <c r="AH13" s="146"/>
      <c r="AI13" s="146"/>
      <c r="AJ13" s="146"/>
      <c r="AK13" s="146"/>
      <c r="AL13" s="146"/>
      <c r="AM13" s="146"/>
      <c r="AN13" s="146"/>
      <c r="AO13" s="146"/>
      <c r="AP13" s="146"/>
      <c r="AQ13" s="146"/>
      <c r="AR13" s="146"/>
      <c r="AS13" s="146"/>
      <c r="AT13" s="146"/>
      <c r="AU13" s="146"/>
      <c r="AV13" s="146"/>
      <c r="AW13" s="146"/>
      <c r="AX13" s="146"/>
      <c r="AY13" s="146"/>
      <c r="AZ13" s="146"/>
      <c r="BA13" s="146"/>
      <c r="BB13" s="146"/>
      <c r="BC13" s="146"/>
      <c r="BD13" s="146"/>
      <c r="BE13" s="146"/>
      <c r="BF13" s="146"/>
      <c r="BG13" s="146"/>
      <c r="BH13" s="146"/>
      <c r="BI13" s="146"/>
      <c r="BJ13" s="146"/>
      <c r="BK13" s="146"/>
      <c r="BL13" s="146"/>
      <c r="BM13" s="146"/>
      <c r="BN13" s="146"/>
      <c r="BO13" s="146"/>
      <c r="BP13" s="146"/>
      <c r="BQ13" s="146"/>
      <c r="BR13" s="146"/>
    </row>
    <row r="14" spans="1:70" s="147" customFormat="1" ht="48.75" customHeight="1" x14ac:dyDescent="0.3">
      <c r="A14" s="666"/>
      <c r="B14" s="496"/>
      <c r="C14" s="497"/>
      <c r="D14" s="466"/>
      <c r="E14" s="467"/>
      <c r="F14" s="463"/>
      <c r="G14" s="463"/>
      <c r="H14" s="463"/>
      <c r="I14" s="463"/>
      <c r="J14" s="463"/>
      <c r="K14" s="463"/>
      <c r="L14" s="463"/>
      <c r="M14" s="463"/>
      <c r="N14" s="146"/>
      <c r="O14" s="146"/>
      <c r="P14" s="146"/>
      <c r="Q14" s="146"/>
      <c r="R14" s="146"/>
      <c r="S14" s="146"/>
      <c r="T14" s="146"/>
      <c r="U14" s="146"/>
      <c r="V14" s="146"/>
      <c r="W14" s="146"/>
      <c r="X14" s="146"/>
      <c r="Y14" s="146"/>
      <c r="Z14" s="146"/>
      <c r="AA14" s="146"/>
      <c r="AB14" s="146"/>
      <c r="AC14" s="146"/>
      <c r="AD14" s="146"/>
      <c r="AE14" s="146"/>
      <c r="AF14" s="146"/>
      <c r="AG14" s="146"/>
      <c r="AH14" s="146"/>
      <c r="AI14" s="146"/>
      <c r="AJ14" s="146"/>
      <c r="AK14" s="146"/>
      <c r="AL14" s="146"/>
      <c r="AM14" s="146"/>
      <c r="AN14" s="146"/>
      <c r="AO14" s="146"/>
      <c r="AP14" s="146"/>
      <c r="AQ14" s="146"/>
      <c r="AR14" s="146"/>
      <c r="AS14" s="146"/>
      <c r="AT14" s="146"/>
      <c r="AU14" s="146"/>
      <c r="AV14" s="146"/>
      <c r="AW14" s="146"/>
      <c r="AX14" s="146"/>
      <c r="AY14" s="146"/>
      <c r="AZ14" s="146"/>
      <c r="BA14" s="146"/>
      <c r="BB14" s="146"/>
      <c r="BC14" s="146"/>
      <c r="BD14" s="146"/>
      <c r="BE14" s="146"/>
      <c r="BF14" s="146"/>
      <c r="BG14" s="146"/>
      <c r="BH14" s="146"/>
      <c r="BI14" s="146"/>
      <c r="BJ14" s="146"/>
      <c r="BK14" s="146"/>
      <c r="BL14" s="146"/>
      <c r="BM14" s="146"/>
      <c r="BN14" s="146"/>
      <c r="BO14" s="146"/>
      <c r="BP14" s="146"/>
      <c r="BQ14" s="146"/>
      <c r="BR14" s="146"/>
    </row>
    <row r="15" spans="1:70" s="147" customFormat="1" ht="48.75" customHeight="1" x14ac:dyDescent="0.3">
      <c r="A15" s="666" t="s">
        <v>164</v>
      </c>
      <c r="B15" s="496"/>
      <c r="C15" s="497"/>
      <c r="D15" s="466"/>
      <c r="E15" s="467"/>
      <c r="F15" s="463" t="str">
        <f t="shared" ref="F15:M39" si="1">IFERROR(IF($E15="","No",IF($E15="No","No"," "))," ")</f>
        <v>No</v>
      </c>
      <c r="G15" s="463" t="str">
        <f t="shared" si="1"/>
        <v>No</v>
      </c>
      <c r="H15" s="463" t="str">
        <f t="shared" si="1"/>
        <v>No</v>
      </c>
      <c r="I15" s="463" t="str">
        <f t="shared" si="1"/>
        <v>No</v>
      </c>
      <c r="J15" s="463" t="str">
        <f t="shared" si="1"/>
        <v>No</v>
      </c>
      <c r="K15" s="463" t="str">
        <f t="shared" si="1"/>
        <v>No</v>
      </c>
      <c r="L15" s="463" t="str">
        <f t="shared" si="1"/>
        <v>No</v>
      </c>
      <c r="M15" s="463" t="str">
        <f t="shared" si="1"/>
        <v>No</v>
      </c>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6"/>
      <c r="AP15" s="146"/>
      <c r="AQ15" s="146"/>
      <c r="AR15" s="146"/>
      <c r="AS15" s="146"/>
      <c r="AT15" s="146"/>
      <c r="AU15" s="146"/>
      <c r="AV15" s="146"/>
      <c r="AW15" s="146"/>
      <c r="AX15" s="146"/>
      <c r="AY15" s="146"/>
      <c r="AZ15" s="146"/>
      <c r="BA15" s="146"/>
      <c r="BB15" s="146"/>
      <c r="BC15" s="146"/>
      <c r="BD15" s="146"/>
      <c r="BE15" s="146"/>
      <c r="BF15" s="146"/>
      <c r="BG15" s="146"/>
      <c r="BH15" s="146"/>
      <c r="BI15" s="146"/>
      <c r="BJ15" s="146"/>
      <c r="BK15" s="146"/>
      <c r="BL15" s="146"/>
      <c r="BM15" s="146"/>
      <c r="BN15" s="146"/>
      <c r="BO15" s="146"/>
      <c r="BP15" s="146"/>
      <c r="BQ15" s="146"/>
      <c r="BR15" s="146"/>
    </row>
    <row r="16" spans="1:70" s="147" customFormat="1" ht="48.75" customHeight="1" x14ac:dyDescent="0.3">
      <c r="A16" s="666"/>
      <c r="B16" s="496"/>
      <c r="C16" s="497"/>
      <c r="D16" s="466"/>
      <c r="E16" s="467"/>
      <c r="F16" s="463"/>
      <c r="G16" s="463"/>
      <c r="H16" s="463"/>
      <c r="I16" s="463"/>
      <c r="J16" s="463"/>
      <c r="K16" s="463"/>
      <c r="L16" s="463"/>
      <c r="M16" s="463"/>
      <c r="N16" s="146"/>
      <c r="O16" s="146"/>
      <c r="P16" s="146"/>
      <c r="Q16" s="146"/>
      <c r="R16" s="146"/>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46"/>
      <c r="AP16" s="146"/>
      <c r="AQ16" s="146"/>
      <c r="AR16" s="146"/>
      <c r="AS16" s="146"/>
      <c r="AT16" s="146"/>
      <c r="AU16" s="146"/>
      <c r="AV16" s="146"/>
      <c r="AW16" s="146"/>
      <c r="AX16" s="146"/>
      <c r="AY16" s="146"/>
      <c r="AZ16" s="146"/>
      <c r="BA16" s="146"/>
      <c r="BB16" s="146"/>
      <c r="BC16" s="146"/>
      <c r="BD16" s="146"/>
      <c r="BE16" s="146"/>
      <c r="BF16" s="146"/>
      <c r="BG16" s="146"/>
      <c r="BH16" s="146"/>
      <c r="BI16" s="146"/>
      <c r="BJ16" s="146"/>
      <c r="BK16" s="146"/>
      <c r="BL16" s="146"/>
      <c r="BM16" s="146"/>
      <c r="BN16" s="146"/>
      <c r="BO16" s="146"/>
      <c r="BP16" s="146"/>
      <c r="BQ16" s="146"/>
      <c r="BR16" s="146"/>
    </row>
    <row r="17" spans="1:70" s="147" customFormat="1" ht="48.75" customHeight="1" x14ac:dyDescent="0.3">
      <c r="A17" s="666"/>
      <c r="B17" s="496"/>
      <c r="C17" s="497"/>
      <c r="D17" s="466"/>
      <c r="E17" s="467"/>
      <c r="F17" s="463"/>
      <c r="G17" s="463"/>
      <c r="H17" s="463"/>
      <c r="I17" s="463"/>
      <c r="J17" s="463"/>
      <c r="K17" s="463"/>
      <c r="L17" s="463"/>
      <c r="M17" s="463"/>
      <c r="N17" s="146"/>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146"/>
      <c r="AR17" s="146"/>
      <c r="AS17" s="146"/>
      <c r="AT17" s="146"/>
      <c r="AU17" s="146"/>
      <c r="AV17" s="146"/>
      <c r="AW17" s="146"/>
      <c r="AX17" s="146"/>
      <c r="AY17" s="146"/>
      <c r="AZ17" s="146"/>
      <c r="BA17" s="146"/>
      <c r="BB17" s="146"/>
      <c r="BC17" s="146"/>
      <c r="BD17" s="146"/>
      <c r="BE17" s="146"/>
      <c r="BF17" s="146"/>
      <c r="BG17" s="146"/>
      <c r="BH17" s="146"/>
      <c r="BI17" s="146"/>
      <c r="BJ17" s="146"/>
      <c r="BK17" s="146"/>
      <c r="BL17" s="146"/>
      <c r="BM17" s="146"/>
      <c r="BN17" s="146"/>
      <c r="BO17" s="146"/>
      <c r="BP17" s="146"/>
      <c r="BQ17" s="146"/>
      <c r="BR17" s="146"/>
    </row>
    <row r="18" spans="1:70" s="147" customFormat="1" ht="48.75" customHeight="1" x14ac:dyDescent="0.3">
      <c r="A18" s="666" t="s">
        <v>165</v>
      </c>
      <c r="B18" s="496"/>
      <c r="C18" s="497"/>
      <c r="D18" s="466"/>
      <c r="E18" s="467"/>
      <c r="F18" s="463" t="str">
        <f t="shared" si="1"/>
        <v>No</v>
      </c>
      <c r="G18" s="463" t="str">
        <f t="shared" si="1"/>
        <v>No</v>
      </c>
      <c r="H18" s="463" t="str">
        <f t="shared" si="1"/>
        <v>No</v>
      </c>
      <c r="I18" s="463" t="str">
        <f t="shared" si="1"/>
        <v>No</v>
      </c>
      <c r="J18" s="463" t="str">
        <f t="shared" si="1"/>
        <v>No</v>
      </c>
      <c r="K18" s="463" t="str">
        <f t="shared" si="1"/>
        <v>No</v>
      </c>
      <c r="L18" s="463" t="str">
        <f t="shared" si="1"/>
        <v>No</v>
      </c>
      <c r="M18" s="463" t="str">
        <f t="shared" si="1"/>
        <v>No</v>
      </c>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6"/>
      <c r="AP18" s="146"/>
      <c r="AQ18" s="146"/>
      <c r="AR18" s="146"/>
      <c r="AS18" s="146"/>
      <c r="AT18" s="146"/>
      <c r="AU18" s="146"/>
      <c r="AV18" s="146"/>
      <c r="AW18" s="146"/>
      <c r="AX18" s="146"/>
      <c r="AY18" s="146"/>
      <c r="AZ18" s="146"/>
      <c r="BA18" s="146"/>
      <c r="BB18" s="146"/>
      <c r="BC18" s="146"/>
      <c r="BD18" s="146"/>
      <c r="BE18" s="146"/>
      <c r="BF18" s="146"/>
      <c r="BG18" s="146"/>
      <c r="BH18" s="146"/>
      <c r="BI18" s="146"/>
      <c r="BJ18" s="146"/>
      <c r="BK18" s="146"/>
      <c r="BL18" s="146"/>
      <c r="BM18" s="146"/>
      <c r="BN18" s="146"/>
      <c r="BO18" s="146"/>
      <c r="BP18" s="146"/>
      <c r="BQ18" s="146"/>
      <c r="BR18" s="146"/>
    </row>
    <row r="19" spans="1:70" s="147" customFormat="1" ht="48.75" customHeight="1" x14ac:dyDescent="0.3">
      <c r="A19" s="666"/>
      <c r="B19" s="496"/>
      <c r="C19" s="497"/>
      <c r="D19" s="466"/>
      <c r="E19" s="467"/>
      <c r="F19" s="463"/>
      <c r="G19" s="463"/>
      <c r="H19" s="463"/>
      <c r="I19" s="463"/>
      <c r="J19" s="463"/>
      <c r="K19" s="463"/>
      <c r="L19" s="463"/>
      <c r="M19" s="463"/>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c r="AQ19" s="146"/>
      <c r="AR19" s="146"/>
      <c r="AS19" s="146"/>
      <c r="AT19" s="146"/>
      <c r="AU19" s="146"/>
      <c r="AV19" s="146"/>
      <c r="AW19" s="146"/>
      <c r="AX19" s="146"/>
      <c r="AY19" s="146"/>
      <c r="AZ19" s="146"/>
      <c r="BA19" s="146"/>
      <c r="BB19" s="146"/>
      <c r="BC19" s="146"/>
      <c r="BD19" s="146"/>
      <c r="BE19" s="146"/>
      <c r="BF19" s="146"/>
      <c r="BG19" s="146"/>
      <c r="BH19" s="146"/>
      <c r="BI19" s="146"/>
      <c r="BJ19" s="146"/>
      <c r="BK19" s="146"/>
      <c r="BL19" s="146"/>
      <c r="BM19" s="146"/>
      <c r="BN19" s="146"/>
      <c r="BO19" s="146"/>
      <c r="BP19" s="146"/>
      <c r="BQ19" s="146"/>
      <c r="BR19" s="146"/>
    </row>
    <row r="20" spans="1:70" s="147" customFormat="1" ht="48.75" customHeight="1" x14ac:dyDescent="0.3">
      <c r="A20" s="666"/>
      <c r="B20" s="496"/>
      <c r="C20" s="497"/>
      <c r="D20" s="466"/>
      <c r="E20" s="467"/>
      <c r="F20" s="463"/>
      <c r="G20" s="463"/>
      <c r="H20" s="463"/>
      <c r="I20" s="463"/>
      <c r="J20" s="463"/>
      <c r="K20" s="463"/>
      <c r="L20" s="463"/>
      <c r="M20" s="463"/>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AQ20" s="146"/>
      <c r="AR20" s="146"/>
      <c r="AS20" s="146"/>
      <c r="AT20" s="146"/>
      <c r="AU20" s="146"/>
      <c r="AV20" s="146"/>
      <c r="AW20" s="146"/>
      <c r="AX20" s="146"/>
      <c r="AY20" s="146"/>
      <c r="AZ20" s="146"/>
      <c r="BA20" s="146"/>
      <c r="BB20" s="146"/>
      <c r="BC20" s="146"/>
      <c r="BD20" s="146"/>
      <c r="BE20" s="146"/>
      <c r="BF20" s="146"/>
      <c r="BG20" s="146"/>
      <c r="BH20" s="146"/>
      <c r="BI20" s="146"/>
      <c r="BJ20" s="146"/>
      <c r="BK20" s="146"/>
      <c r="BL20" s="146"/>
      <c r="BM20" s="146"/>
      <c r="BN20" s="146"/>
      <c r="BO20" s="146"/>
      <c r="BP20" s="146"/>
      <c r="BQ20" s="146"/>
      <c r="BR20" s="146"/>
    </row>
    <row r="21" spans="1:70" s="147" customFormat="1" ht="48.75" customHeight="1" x14ac:dyDescent="0.3">
      <c r="A21" s="666" t="s">
        <v>166</v>
      </c>
      <c r="B21" s="496"/>
      <c r="C21" s="497"/>
      <c r="D21" s="466"/>
      <c r="E21" s="467"/>
      <c r="F21" s="463" t="str">
        <f t="shared" si="1"/>
        <v>No</v>
      </c>
      <c r="G21" s="463" t="str">
        <f t="shared" si="1"/>
        <v>No</v>
      </c>
      <c r="H21" s="463" t="str">
        <f t="shared" si="1"/>
        <v>No</v>
      </c>
      <c r="I21" s="463" t="str">
        <f t="shared" si="1"/>
        <v>No</v>
      </c>
      <c r="J21" s="463" t="str">
        <f t="shared" si="1"/>
        <v>No</v>
      </c>
      <c r="K21" s="463" t="str">
        <f t="shared" si="1"/>
        <v>No</v>
      </c>
      <c r="L21" s="463" t="str">
        <f t="shared" si="1"/>
        <v>No</v>
      </c>
      <c r="M21" s="463" t="str">
        <f t="shared" si="1"/>
        <v>No</v>
      </c>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46"/>
      <c r="AN21" s="146"/>
      <c r="AO21" s="146"/>
      <c r="AP21" s="146"/>
      <c r="AQ21" s="146"/>
      <c r="AR21" s="146"/>
      <c r="AS21" s="146"/>
      <c r="AT21" s="146"/>
      <c r="AU21" s="146"/>
      <c r="AV21" s="146"/>
      <c r="AW21" s="146"/>
      <c r="AX21" s="146"/>
      <c r="AY21" s="146"/>
      <c r="AZ21" s="146"/>
      <c r="BA21" s="146"/>
      <c r="BB21" s="146"/>
      <c r="BC21" s="146"/>
      <c r="BD21" s="146"/>
      <c r="BE21" s="146"/>
      <c r="BF21" s="146"/>
      <c r="BG21" s="146"/>
      <c r="BH21" s="146"/>
      <c r="BI21" s="146"/>
      <c r="BJ21" s="146"/>
      <c r="BK21" s="146"/>
      <c r="BL21" s="146"/>
      <c r="BM21" s="146"/>
      <c r="BN21" s="146"/>
      <c r="BO21" s="146"/>
      <c r="BP21" s="146"/>
      <c r="BQ21" s="146"/>
      <c r="BR21" s="146"/>
    </row>
    <row r="22" spans="1:70" s="147" customFormat="1" ht="48.75" customHeight="1" x14ac:dyDescent="0.3">
      <c r="A22" s="666"/>
      <c r="B22" s="496"/>
      <c r="C22" s="497"/>
      <c r="D22" s="466"/>
      <c r="E22" s="467"/>
      <c r="F22" s="463"/>
      <c r="G22" s="463"/>
      <c r="H22" s="463"/>
      <c r="I22" s="463"/>
      <c r="J22" s="463"/>
      <c r="K22" s="463"/>
      <c r="L22" s="463"/>
      <c r="M22" s="463"/>
      <c r="N22" s="146"/>
      <c r="O22" s="146"/>
      <c r="P22" s="146"/>
      <c r="Q22" s="146"/>
      <c r="R22" s="146"/>
      <c r="S22" s="146"/>
      <c r="T22" s="146"/>
      <c r="U22" s="146"/>
      <c r="V22" s="146"/>
      <c r="W22" s="146"/>
      <c r="X22" s="146"/>
      <c r="Y22" s="146"/>
      <c r="Z22" s="146"/>
      <c r="AA22" s="146"/>
      <c r="AB22" s="146"/>
      <c r="AC22" s="146"/>
      <c r="AD22" s="146"/>
      <c r="AE22" s="146"/>
      <c r="AF22" s="146"/>
      <c r="AG22" s="146"/>
      <c r="AH22" s="146"/>
      <c r="AI22" s="146"/>
      <c r="AJ22" s="146"/>
      <c r="AK22" s="146"/>
      <c r="AL22" s="146"/>
      <c r="AM22" s="146"/>
      <c r="AN22" s="146"/>
      <c r="AO22" s="146"/>
      <c r="AP22" s="146"/>
      <c r="AQ22" s="146"/>
      <c r="AR22" s="146"/>
      <c r="AS22" s="146"/>
      <c r="AT22" s="146"/>
      <c r="AU22" s="146"/>
      <c r="AV22" s="146"/>
      <c r="AW22" s="146"/>
      <c r="AX22" s="146"/>
      <c r="AY22" s="146"/>
      <c r="AZ22" s="146"/>
      <c r="BA22" s="146"/>
      <c r="BB22" s="146"/>
      <c r="BC22" s="146"/>
      <c r="BD22" s="146"/>
      <c r="BE22" s="146"/>
      <c r="BF22" s="146"/>
      <c r="BG22" s="146"/>
      <c r="BH22" s="146"/>
      <c r="BI22" s="146"/>
      <c r="BJ22" s="146"/>
      <c r="BK22" s="146"/>
      <c r="BL22" s="146"/>
      <c r="BM22" s="146"/>
      <c r="BN22" s="146"/>
      <c r="BO22" s="146"/>
      <c r="BP22" s="146"/>
      <c r="BQ22" s="146"/>
      <c r="BR22" s="146"/>
    </row>
    <row r="23" spans="1:70" s="147" customFormat="1" ht="48.75" customHeight="1" x14ac:dyDescent="0.3">
      <c r="A23" s="666"/>
      <c r="B23" s="496"/>
      <c r="C23" s="497"/>
      <c r="D23" s="466"/>
      <c r="E23" s="467"/>
      <c r="F23" s="463"/>
      <c r="G23" s="463"/>
      <c r="H23" s="463"/>
      <c r="I23" s="463"/>
      <c r="J23" s="463"/>
      <c r="K23" s="463"/>
      <c r="L23" s="463"/>
      <c r="M23" s="463"/>
      <c r="N23" s="146"/>
      <c r="O23" s="146"/>
      <c r="P23" s="146"/>
      <c r="Q23" s="146"/>
      <c r="R23" s="146"/>
      <c r="S23" s="146"/>
      <c r="T23" s="146"/>
      <c r="U23" s="146"/>
      <c r="V23" s="146"/>
      <c r="W23" s="146"/>
      <c r="X23" s="146"/>
      <c r="Y23" s="146"/>
      <c r="Z23" s="146"/>
      <c r="AA23" s="146"/>
      <c r="AB23" s="146"/>
      <c r="AC23" s="146"/>
      <c r="AD23" s="146"/>
      <c r="AE23" s="146"/>
      <c r="AF23" s="146"/>
      <c r="AG23" s="146"/>
      <c r="AH23" s="146"/>
      <c r="AI23" s="146"/>
      <c r="AJ23" s="146"/>
      <c r="AK23" s="146"/>
      <c r="AL23" s="146"/>
      <c r="AM23" s="146"/>
      <c r="AN23" s="146"/>
      <c r="AO23" s="146"/>
      <c r="AP23" s="146"/>
      <c r="AQ23" s="146"/>
      <c r="AR23" s="146"/>
      <c r="AS23" s="146"/>
      <c r="AT23" s="146"/>
      <c r="AU23" s="146"/>
      <c r="AV23" s="146"/>
      <c r="AW23" s="146"/>
      <c r="AX23" s="146"/>
      <c r="AY23" s="146"/>
      <c r="AZ23" s="146"/>
      <c r="BA23" s="146"/>
      <c r="BB23" s="146"/>
      <c r="BC23" s="146"/>
      <c r="BD23" s="146"/>
      <c r="BE23" s="146"/>
      <c r="BF23" s="146"/>
      <c r="BG23" s="146"/>
      <c r="BH23" s="146"/>
      <c r="BI23" s="146"/>
      <c r="BJ23" s="146"/>
      <c r="BK23" s="146"/>
      <c r="BL23" s="146"/>
      <c r="BM23" s="146"/>
      <c r="BN23" s="146"/>
      <c r="BO23" s="146"/>
      <c r="BP23" s="146"/>
      <c r="BQ23" s="146"/>
      <c r="BR23" s="146"/>
    </row>
    <row r="24" spans="1:70" s="147" customFormat="1" ht="48.75" customHeight="1" x14ac:dyDescent="0.3">
      <c r="A24" s="666" t="s">
        <v>167</v>
      </c>
      <c r="B24" s="496"/>
      <c r="C24" s="497"/>
      <c r="D24" s="466"/>
      <c r="E24" s="467"/>
      <c r="F24" s="463" t="str">
        <f t="shared" si="1"/>
        <v>No</v>
      </c>
      <c r="G24" s="463" t="str">
        <f t="shared" si="1"/>
        <v>No</v>
      </c>
      <c r="H24" s="463" t="str">
        <f t="shared" si="1"/>
        <v>No</v>
      </c>
      <c r="I24" s="463" t="str">
        <f t="shared" si="1"/>
        <v>No</v>
      </c>
      <c r="J24" s="463" t="str">
        <f t="shared" si="1"/>
        <v>No</v>
      </c>
      <c r="K24" s="463" t="str">
        <f t="shared" si="1"/>
        <v>No</v>
      </c>
      <c r="L24" s="463" t="str">
        <f t="shared" si="1"/>
        <v>No</v>
      </c>
      <c r="M24" s="463" t="str">
        <f t="shared" si="1"/>
        <v>No</v>
      </c>
      <c r="N24" s="146"/>
      <c r="O24" s="146"/>
      <c r="P24" s="146"/>
      <c r="Q24" s="146"/>
      <c r="R24" s="146"/>
      <c r="S24" s="146"/>
      <c r="T24" s="146"/>
      <c r="U24" s="146"/>
      <c r="V24" s="146"/>
      <c r="W24" s="146"/>
      <c r="X24" s="146"/>
      <c r="Y24" s="146"/>
      <c r="Z24" s="146"/>
      <c r="AA24" s="146"/>
      <c r="AB24" s="146"/>
      <c r="AC24" s="146"/>
      <c r="AD24" s="146"/>
      <c r="AE24" s="146"/>
      <c r="AF24" s="146"/>
      <c r="AG24" s="146"/>
      <c r="AH24" s="146"/>
      <c r="AI24" s="146"/>
      <c r="AJ24" s="146"/>
      <c r="AK24" s="146"/>
      <c r="AL24" s="146"/>
      <c r="AM24" s="146"/>
      <c r="AN24" s="146"/>
      <c r="AO24" s="146"/>
      <c r="AP24" s="146"/>
      <c r="AQ24" s="146"/>
      <c r="AR24" s="146"/>
      <c r="AS24" s="146"/>
      <c r="AT24" s="146"/>
      <c r="AU24" s="146"/>
      <c r="AV24" s="146"/>
      <c r="AW24" s="146"/>
      <c r="AX24" s="146"/>
      <c r="AY24" s="146"/>
      <c r="AZ24" s="146"/>
      <c r="BA24" s="146"/>
      <c r="BB24" s="146"/>
      <c r="BC24" s="146"/>
      <c r="BD24" s="146"/>
      <c r="BE24" s="146"/>
      <c r="BF24" s="146"/>
      <c r="BG24" s="146"/>
      <c r="BH24" s="146"/>
      <c r="BI24" s="146"/>
      <c r="BJ24" s="146"/>
      <c r="BK24" s="146"/>
      <c r="BL24" s="146"/>
      <c r="BM24" s="146"/>
      <c r="BN24" s="146"/>
      <c r="BO24" s="146"/>
      <c r="BP24" s="146"/>
      <c r="BQ24" s="146"/>
      <c r="BR24" s="146"/>
    </row>
    <row r="25" spans="1:70" s="147" customFormat="1" ht="48.75" customHeight="1" x14ac:dyDescent="0.3">
      <c r="A25" s="666"/>
      <c r="B25" s="496"/>
      <c r="C25" s="497"/>
      <c r="D25" s="466"/>
      <c r="E25" s="467"/>
      <c r="F25" s="463"/>
      <c r="G25" s="463"/>
      <c r="H25" s="463"/>
      <c r="I25" s="463"/>
      <c r="J25" s="463"/>
      <c r="K25" s="463"/>
      <c r="L25" s="463"/>
      <c r="M25" s="463"/>
      <c r="N25" s="146"/>
      <c r="O25" s="146"/>
      <c r="P25" s="146"/>
      <c r="Q25" s="146"/>
      <c r="R25" s="146"/>
      <c r="S25" s="146"/>
      <c r="T25" s="146"/>
      <c r="U25" s="146"/>
      <c r="V25" s="146"/>
      <c r="W25" s="146"/>
      <c r="X25" s="146"/>
      <c r="Y25" s="146"/>
      <c r="Z25" s="146"/>
      <c r="AA25" s="146"/>
      <c r="AB25" s="146"/>
      <c r="AC25" s="146"/>
      <c r="AD25" s="146"/>
      <c r="AE25" s="146"/>
      <c r="AF25" s="146"/>
      <c r="AG25" s="146"/>
      <c r="AH25" s="146"/>
      <c r="AI25" s="146"/>
      <c r="AJ25" s="146"/>
      <c r="AK25" s="146"/>
      <c r="AL25" s="146"/>
      <c r="AM25" s="146"/>
      <c r="AN25" s="146"/>
      <c r="AO25" s="146"/>
      <c r="AP25" s="146"/>
      <c r="AQ25" s="146"/>
      <c r="AR25" s="146"/>
      <c r="AS25" s="146"/>
      <c r="AT25" s="146"/>
      <c r="AU25" s="146"/>
      <c r="AV25" s="146"/>
      <c r="AW25" s="146"/>
      <c r="AX25" s="146"/>
      <c r="AY25" s="146"/>
      <c r="AZ25" s="146"/>
      <c r="BA25" s="146"/>
      <c r="BB25" s="146"/>
      <c r="BC25" s="146"/>
      <c r="BD25" s="146"/>
      <c r="BE25" s="146"/>
      <c r="BF25" s="146"/>
      <c r="BG25" s="146"/>
      <c r="BH25" s="146"/>
      <c r="BI25" s="146"/>
      <c r="BJ25" s="146"/>
      <c r="BK25" s="146"/>
      <c r="BL25" s="146"/>
      <c r="BM25" s="146"/>
      <c r="BN25" s="146"/>
      <c r="BO25" s="146"/>
      <c r="BP25" s="146"/>
      <c r="BQ25" s="146"/>
      <c r="BR25" s="146"/>
    </row>
    <row r="26" spans="1:70" s="147" customFormat="1" ht="48.75" customHeight="1" x14ac:dyDescent="0.3">
      <c r="A26" s="666"/>
      <c r="B26" s="496"/>
      <c r="C26" s="497"/>
      <c r="D26" s="466"/>
      <c r="E26" s="467"/>
      <c r="F26" s="463"/>
      <c r="G26" s="463"/>
      <c r="H26" s="463"/>
      <c r="I26" s="463"/>
      <c r="J26" s="463"/>
      <c r="K26" s="463"/>
      <c r="L26" s="463"/>
      <c r="M26" s="463"/>
      <c r="N26" s="146"/>
      <c r="O26" s="146"/>
      <c r="P26" s="146"/>
      <c r="Q26" s="146"/>
      <c r="R26" s="146"/>
      <c r="S26" s="146"/>
      <c r="T26" s="146"/>
      <c r="U26" s="146"/>
      <c r="V26" s="146"/>
      <c r="W26" s="146"/>
      <c r="X26" s="146"/>
      <c r="Y26" s="146"/>
      <c r="Z26" s="146"/>
      <c r="AA26" s="146"/>
      <c r="AB26" s="146"/>
      <c r="AC26" s="146"/>
      <c r="AD26" s="146"/>
      <c r="AE26" s="146"/>
      <c r="AF26" s="146"/>
      <c r="AG26" s="146"/>
      <c r="AH26" s="146"/>
      <c r="AI26" s="146"/>
      <c r="AJ26" s="146"/>
      <c r="AK26" s="146"/>
      <c r="AL26" s="146"/>
      <c r="AM26" s="146"/>
      <c r="AN26" s="146"/>
      <c r="AO26" s="146"/>
      <c r="AP26" s="146"/>
      <c r="AQ26" s="146"/>
      <c r="AR26" s="146"/>
      <c r="AS26" s="146"/>
      <c r="AT26" s="146"/>
      <c r="AU26" s="146"/>
      <c r="AV26" s="146"/>
      <c r="AW26" s="146"/>
      <c r="AX26" s="146"/>
      <c r="AY26" s="146"/>
      <c r="AZ26" s="146"/>
      <c r="BA26" s="146"/>
      <c r="BB26" s="146"/>
      <c r="BC26" s="146"/>
      <c r="BD26" s="146"/>
      <c r="BE26" s="146"/>
      <c r="BF26" s="146"/>
      <c r="BG26" s="146"/>
      <c r="BH26" s="146"/>
      <c r="BI26" s="146"/>
      <c r="BJ26" s="146"/>
      <c r="BK26" s="146"/>
      <c r="BL26" s="146"/>
      <c r="BM26" s="146"/>
      <c r="BN26" s="146"/>
      <c r="BO26" s="146"/>
      <c r="BP26" s="146"/>
      <c r="BQ26" s="146"/>
      <c r="BR26" s="146"/>
    </row>
    <row r="27" spans="1:70" s="147" customFormat="1" ht="48.75" customHeight="1" x14ac:dyDescent="0.3">
      <c r="A27" s="666" t="s">
        <v>168</v>
      </c>
      <c r="B27" s="496"/>
      <c r="C27" s="497"/>
      <c r="D27" s="466"/>
      <c r="E27" s="467"/>
      <c r="F27" s="463" t="str">
        <f t="shared" si="1"/>
        <v>No</v>
      </c>
      <c r="G27" s="463" t="str">
        <f t="shared" si="1"/>
        <v>No</v>
      </c>
      <c r="H27" s="463" t="str">
        <f t="shared" si="1"/>
        <v>No</v>
      </c>
      <c r="I27" s="463" t="str">
        <f t="shared" si="1"/>
        <v>No</v>
      </c>
      <c r="J27" s="463" t="str">
        <f t="shared" si="1"/>
        <v>No</v>
      </c>
      <c r="K27" s="463" t="str">
        <f t="shared" si="1"/>
        <v>No</v>
      </c>
      <c r="L27" s="463" t="str">
        <f t="shared" si="1"/>
        <v>No</v>
      </c>
      <c r="M27" s="463" t="str">
        <f t="shared" si="1"/>
        <v>No</v>
      </c>
      <c r="N27" s="146"/>
      <c r="O27" s="146"/>
      <c r="P27" s="146"/>
      <c r="Q27" s="146"/>
      <c r="R27" s="146"/>
      <c r="S27" s="146"/>
      <c r="T27" s="146"/>
      <c r="U27" s="146"/>
      <c r="V27" s="146"/>
      <c r="W27" s="146"/>
      <c r="X27" s="146"/>
      <c r="Y27" s="146"/>
      <c r="Z27" s="146"/>
      <c r="AA27" s="146"/>
      <c r="AB27" s="146"/>
      <c r="AC27" s="146"/>
      <c r="AD27" s="146"/>
      <c r="AE27" s="146"/>
      <c r="AF27" s="146"/>
      <c r="AG27" s="146"/>
      <c r="AH27" s="146"/>
      <c r="AI27" s="146"/>
      <c r="AJ27" s="146"/>
      <c r="AK27" s="146"/>
      <c r="AL27" s="146"/>
      <c r="AM27" s="146"/>
      <c r="AN27" s="146"/>
      <c r="AO27" s="146"/>
      <c r="AP27" s="146"/>
      <c r="AQ27" s="146"/>
      <c r="AR27" s="146"/>
      <c r="AS27" s="146"/>
      <c r="AT27" s="146"/>
      <c r="AU27" s="146"/>
      <c r="AV27" s="146"/>
      <c r="AW27" s="146"/>
      <c r="AX27" s="146"/>
      <c r="AY27" s="146"/>
      <c r="AZ27" s="146"/>
      <c r="BA27" s="146"/>
      <c r="BB27" s="146"/>
      <c r="BC27" s="146"/>
      <c r="BD27" s="146"/>
      <c r="BE27" s="146"/>
      <c r="BF27" s="146"/>
      <c r="BG27" s="146"/>
      <c r="BH27" s="146"/>
      <c r="BI27" s="146"/>
      <c r="BJ27" s="146"/>
      <c r="BK27" s="146"/>
      <c r="BL27" s="146"/>
      <c r="BM27" s="146"/>
      <c r="BN27" s="146"/>
      <c r="BO27" s="146"/>
      <c r="BP27" s="146"/>
      <c r="BQ27" s="146"/>
      <c r="BR27" s="146"/>
    </row>
    <row r="28" spans="1:70" s="147" customFormat="1" ht="48.75" customHeight="1" x14ac:dyDescent="0.3">
      <c r="A28" s="666"/>
      <c r="B28" s="496"/>
      <c r="C28" s="497"/>
      <c r="D28" s="466"/>
      <c r="E28" s="467"/>
      <c r="F28" s="463"/>
      <c r="G28" s="463"/>
      <c r="H28" s="463"/>
      <c r="I28" s="463"/>
      <c r="J28" s="463"/>
      <c r="K28" s="463"/>
      <c r="L28" s="463"/>
      <c r="M28" s="463"/>
      <c r="N28" s="146"/>
      <c r="O28" s="146"/>
      <c r="P28" s="146"/>
      <c r="Q28" s="146"/>
      <c r="R28" s="146"/>
      <c r="S28" s="146"/>
      <c r="T28" s="146"/>
      <c r="U28" s="146"/>
      <c r="V28" s="146"/>
      <c r="W28" s="146"/>
      <c r="X28" s="146"/>
      <c r="Y28" s="146"/>
      <c r="Z28" s="146"/>
      <c r="AA28" s="146"/>
      <c r="AB28" s="146"/>
      <c r="AC28" s="146"/>
      <c r="AD28" s="146"/>
      <c r="AE28" s="146"/>
      <c r="AF28" s="146"/>
      <c r="AG28" s="146"/>
      <c r="AH28" s="146"/>
      <c r="AI28" s="146"/>
      <c r="AJ28" s="146"/>
      <c r="AK28" s="146"/>
      <c r="AL28" s="146"/>
      <c r="AM28" s="146"/>
      <c r="AN28" s="146"/>
      <c r="AO28" s="146"/>
      <c r="AP28" s="146"/>
      <c r="AQ28" s="146"/>
      <c r="AR28" s="146"/>
      <c r="AS28" s="146"/>
      <c r="AT28" s="146"/>
      <c r="AU28" s="146"/>
      <c r="AV28" s="146"/>
      <c r="AW28" s="146"/>
      <c r="AX28" s="146"/>
      <c r="AY28" s="146"/>
      <c r="AZ28" s="146"/>
      <c r="BA28" s="146"/>
      <c r="BB28" s="146"/>
      <c r="BC28" s="146"/>
      <c r="BD28" s="146"/>
      <c r="BE28" s="146"/>
      <c r="BF28" s="146"/>
      <c r="BG28" s="146"/>
      <c r="BH28" s="146"/>
      <c r="BI28" s="146"/>
      <c r="BJ28" s="146"/>
      <c r="BK28" s="146"/>
      <c r="BL28" s="146"/>
      <c r="BM28" s="146"/>
      <c r="BN28" s="146"/>
      <c r="BO28" s="146"/>
      <c r="BP28" s="146"/>
      <c r="BQ28" s="146"/>
      <c r="BR28" s="146"/>
    </row>
    <row r="29" spans="1:70" s="147" customFormat="1" ht="48.75" customHeight="1" x14ac:dyDescent="0.3">
      <c r="A29" s="666"/>
      <c r="B29" s="496"/>
      <c r="C29" s="497"/>
      <c r="D29" s="466"/>
      <c r="E29" s="467"/>
      <c r="F29" s="463"/>
      <c r="G29" s="463"/>
      <c r="H29" s="463"/>
      <c r="I29" s="463"/>
      <c r="J29" s="463"/>
      <c r="K29" s="463"/>
      <c r="L29" s="463"/>
      <c r="M29" s="463"/>
      <c r="N29" s="146"/>
      <c r="O29" s="146"/>
      <c r="P29" s="146"/>
      <c r="Q29" s="146"/>
      <c r="R29" s="146"/>
      <c r="S29" s="146"/>
      <c r="T29" s="146"/>
      <c r="U29" s="146"/>
      <c r="V29" s="146"/>
      <c r="W29" s="146"/>
      <c r="X29" s="146"/>
      <c r="Y29" s="146"/>
      <c r="Z29" s="146"/>
      <c r="AA29" s="146"/>
      <c r="AB29" s="146"/>
      <c r="AC29" s="146"/>
      <c r="AD29" s="146"/>
      <c r="AE29" s="146"/>
      <c r="AF29" s="146"/>
      <c r="AG29" s="146"/>
      <c r="AH29" s="146"/>
      <c r="AI29" s="146"/>
      <c r="AJ29" s="146"/>
      <c r="AK29" s="146"/>
      <c r="AL29" s="146"/>
      <c r="AM29" s="146"/>
      <c r="AN29" s="146"/>
      <c r="AO29" s="146"/>
      <c r="AP29" s="146"/>
      <c r="AQ29" s="146"/>
      <c r="AR29" s="146"/>
      <c r="AS29" s="146"/>
      <c r="AT29" s="146"/>
      <c r="AU29" s="146"/>
      <c r="AV29" s="146"/>
      <c r="AW29" s="146"/>
      <c r="AX29" s="146"/>
      <c r="AY29" s="146"/>
      <c r="AZ29" s="146"/>
      <c r="BA29" s="146"/>
      <c r="BB29" s="146"/>
      <c r="BC29" s="146"/>
      <c r="BD29" s="146"/>
      <c r="BE29" s="146"/>
      <c r="BF29" s="146"/>
      <c r="BG29" s="146"/>
      <c r="BH29" s="146"/>
      <c r="BI29" s="146"/>
      <c r="BJ29" s="146"/>
      <c r="BK29" s="146"/>
      <c r="BL29" s="146"/>
      <c r="BM29" s="146"/>
      <c r="BN29" s="146"/>
      <c r="BO29" s="146"/>
      <c r="BP29" s="146"/>
      <c r="BQ29" s="146"/>
      <c r="BR29" s="146"/>
    </row>
    <row r="30" spans="1:70" s="147" customFormat="1" ht="48.75" customHeight="1" x14ac:dyDescent="0.3">
      <c r="A30" s="666" t="s">
        <v>169</v>
      </c>
      <c r="B30" s="496"/>
      <c r="C30" s="497"/>
      <c r="D30" s="466"/>
      <c r="E30" s="467"/>
      <c r="F30" s="463" t="str">
        <f t="shared" si="1"/>
        <v>No</v>
      </c>
      <c r="G30" s="463" t="str">
        <f t="shared" si="1"/>
        <v>No</v>
      </c>
      <c r="H30" s="463" t="str">
        <f t="shared" si="1"/>
        <v>No</v>
      </c>
      <c r="I30" s="463" t="str">
        <f t="shared" si="1"/>
        <v>No</v>
      </c>
      <c r="J30" s="463" t="str">
        <f t="shared" si="1"/>
        <v>No</v>
      </c>
      <c r="K30" s="463" t="str">
        <f t="shared" si="1"/>
        <v>No</v>
      </c>
      <c r="L30" s="463" t="str">
        <f t="shared" si="1"/>
        <v>No</v>
      </c>
      <c r="M30" s="463" t="str">
        <f t="shared" si="1"/>
        <v>No</v>
      </c>
      <c r="N30" s="146"/>
      <c r="O30" s="146"/>
      <c r="P30" s="146"/>
      <c r="Q30" s="146"/>
      <c r="R30" s="146"/>
      <c r="S30" s="146"/>
      <c r="T30" s="146"/>
      <c r="U30" s="146"/>
      <c r="V30" s="146"/>
      <c r="W30" s="146"/>
      <c r="X30" s="146"/>
      <c r="Y30" s="146"/>
      <c r="Z30" s="146"/>
      <c r="AA30" s="146"/>
      <c r="AB30" s="146"/>
      <c r="AC30" s="146"/>
      <c r="AD30" s="146"/>
      <c r="AE30" s="146"/>
      <c r="AF30" s="146"/>
      <c r="AG30" s="146"/>
      <c r="AH30" s="146"/>
      <c r="AI30" s="146"/>
      <c r="AJ30" s="146"/>
      <c r="AK30" s="146"/>
      <c r="AL30" s="146"/>
      <c r="AM30" s="146"/>
      <c r="AN30" s="146"/>
      <c r="AO30" s="146"/>
      <c r="AP30" s="146"/>
      <c r="AQ30" s="146"/>
      <c r="AR30" s="146"/>
      <c r="AS30" s="146"/>
      <c r="AT30" s="146"/>
      <c r="AU30" s="146"/>
      <c r="AV30" s="146"/>
      <c r="AW30" s="146"/>
      <c r="AX30" s="146"/>
      <c r="AY30" s="146"/>
      <c r="AZ30" s="146"/>
      <c r="BA30" s="146"/>
      <c r="BB30" s="146"/>
      <c r="BC30" s="146"/>
      <c r="BD30" s="146"/>
      <c r="BE30" s="146"/>
      <c r="BF30" s="146"/>
      <c r="BG30" s="146"/>
      <c r="BH30" s="146"/>
      <c r="BI30" s="146"/>
      <c r="BJ30" s="146"/>
      <c r="BK30" s="146"/>
      <c r="BL30" s="146"/>
      <c r="BM30" s="146"/>
      <c r="BN30" s="146"/>
      <c r="BO30" s="146"/>
      <c r="BP30" s="146"/>
      <c r="BQ30" s="146"/>
      <c r="BR30" s="146"/>
    </row>
    <row r="31" spans="1:70" s="147" customFormat="1" ht="48.75" customHeight="1" x14ac:dyDescent="0.3">
      <c r="A31" s="666"/>
      <c r="B31" s="496"/>
      <c r="C31" s="497"/>
      <c r="D31" s="466"/>
      <c r="E31" s="467"/>
      <c r="F31" s="463"/>
      <c r="G31" s="463"/>
      <c r="H31" s="463"/>
      <c r="I31" s="463"/>
      <c r="J31" s="463"/>
      <c r="K31" s="463"/>
      <c r="L31" s="463"/>
      <c r="M31" s="463"/>
      <c r="N31" s="146"/>
      <c r="O31" s="146"/>
      <c r="P31" s="146"/>
      <c r="Q31" s="146"/>
      <c r="R31" s="146"/>
      <c r="S31" s="146"/>
      <c r="T31" s="146"/>
      <c r="U31" s="146"/>
      <c r="V31" s="146"/>
      <c r="W31" s="146"/>
      <c r="X31" s="146"/>
      <c r="Y31" s="146"/>
      <c r="Z31" s="146"/>
      <c r="AA31" s="146"/>
      <c r="AB31" s="146"/>
      <c r="AC31" s="146"/>
      <c r="AD31" s="146"/>
      <c r="AE31" s="146"/>
      <c r="AF31" s="146"/>
      <c r="AG31" s="146"/>
      <c r="AH31" s="146"/>
      <c r="AI31" s="146"/>
      <c r="AJ31" s="146"/>
      <c r="AK31" s="146"/>
      <c r="AL31" s="146"/>
      <c r="AM31" s="146"/>
      <c r="AN31" s="146"/>
      <c r="AO31" s="146"/>
      <c r="AP31" s="146"/>
      <c r="AQ31" s="146"/>
      <c r="AR31" s="146"/>
      <c r="AS31" s="146"/>
      <c r="AT31" s="146"/>
      <c r="AU31" s="146"/>
      <c r="AV31" s="146"/>
      <c r="AW31" s="146"/>
      <c r="AX31" s="146"/>
      <c r="AY31" s="146"/>
      <c r="AZ31" s="146"/>
      <c r="BA31" s="146"/>
      <c r="BB31" s="146"/>
      <c r="BC31" s="146"/>
      <c r="BD31" s="146"/>
      <c r="BE31" s="146"/>
      <c r="BF31" s="146"/>
      <c r="BG31" s="146"/>
      <c r="BH31" s="146"/>
      <c r="BI31" s="146"/>
      <c r="BJ31" s="146"/>
      <c r="BK31" s="146"/>
      <c r="BL31" s="146"/>
      <c r="BM31" s="146"/>
      <c r="BN31" s="146"/>
      <c r="BO31" s="146"/>
      <c r="BP31" s="146"/>
      <c r="BQ31" s="146"/>
      <c r="BR31" s="146"/>
    </row>
    <row r="32" spans="1:70" s="147" customFormat="1" ht="48.75" customHeight="1" x14ac:dyDescent="0.3">
      <c r="A32" s="666"/>
      <c r="B32" s="496"/>
      <c r="C32" s="497"/>
      <c r="D32" s="466"/>
      <c r="E32" s="467"/>
      <c r="F32" s="463"/>
      <c r="G32" s="463"/>
      <c r="H32" s="463"/>
      <c r="I32" s="463"/>
      <c r="J32" s="463"/>
      <c r="K32" s="463"/>
      <c r="L32" s="463"/>
      <c r="M32" s="463"/>
      <c r="N32" s="146"/>
      <c r="O32" s="146"/>
      <c r="P32" s="146"/>
      <c r="Q32" s="146"/>
      <c r="R32" s="146"/>
      <c r="S32" s="146"/>
      <c r="T32" s="146"/>
      <c r="U32" s="146"/>
      <c r="V32" s="146"/>
      <c r="W32" s="146"/>
      <c r="X32" s="146"/>
      <c r="Y32" s="146"/>
      <c r="Z32" s="146"/>
      <c r="AA32" s="146"/>
      <c r="AB32" s="146"/>
      <c r="AC32" s="146"/>
      <c r="AD32" s="146"/>
      <c r="AE32" s="146"/>
      <c r="AF32" s="146"/>
      <c r="AG32" s="146"/>
      <c r="AH32" s="146"/>
      <c r="AI32" s="146"/>
      <c r="AJ32" s="146"/>
      <c r="AK32" s="146"/>
      <c r="AL32" s="146"/>
      <c r="AM32" s="146"/>
      <c r="AN32" s="146"/>
      <c r="AO32" s="146"/>
      <c r="AP32" s="146"/>
      <c r="AQ32" s="146"/>
      <c r="AR32" s="146"/>
      <c r="AS32" s="146"/>
      <c r="AT32" s="146"/>
      <c r="AU32" s="146"/>
      <c r="AV32" s="146"/>
      <c r="AW32" s="146"/>
      <c r="AX32" s="146"/>
      <c r="AY32" s="146"/>
      <c r="AZ32" s="146"/>
      <c r="BA32" s="146"/>
      <c r="BB32" s="146"/>
      <c r="BC32" s="146"/>
      <c r="BD32" s="146"/>
      <c r="BE32" s="146"/>
      <c r="BF32" s="146"/>
      <c r="BG32" s="146"/>
      <c r="BH32" s="146"/>
      <c r="BI32" s="146"/>
      <c r="BJ32" s="146"/>
      <c r="BK32" s="146"/>
      <c r="BL32" s="146"/>
      <c r="BM32" s="146"/>
      <c r="BN32" s="146"/>
      <c r="BO32" s="146"/>
      <c r="BP32" s="146"/>
      <c r="BQ32" s="146"/>
      <c r="BR32" s="146"/>
    </row>
    <row r="33" spans="1:70" s="147" customFormat="1" ht="48.75" customHeight="1" x14ac:dyDescent="0.3">
      <c r="A33" s="666" t="s">
        <v>170</v>
      </c>
      <c r="B33" s="496"/>
      <c r="C33" s="497"/>
      <c r="D33" s="466"/>
      <c r="E33" s="467"/>
      <c r="F33" s="463" t="str">
        <f t="shared" si="1"/>
        <v>No</v>
      </c>
      <c r="G33" s="463" t="str">
        <f t="shared" si="1"/>
        <v>No</v>
      </c>
      <c r="H33" s="463" t="str">
        <f t="shared" si="1"/>
        <v>No</v>
      </c>
      <c r="I33" s="463" t="str">
        <f t="shared" si="1"/>
        <v>No</v>
      </c>
      <c r="J33" s="463" t="str">
        <f t="shared" si="1"/>
        <v>No</v>
      </c>
      <c r="K33" s="463" t="str">
        <f t="shared" si="1"/>
        <v>No</v>
      </c>
      <c r="L33" s="463" t="str">
        <f t="shared" si="1"/>
        <v>No</v>
      </c>
      <c r="M33" s="463" t="str">
        <f t="shared" si="1"/>
        <v>No</v>
      </c>
      <c r="N33" s="146"/>
      <c r="O33" s="146"/>
      <c r="P33" s="146"/>
      <c r="Q33" s="146"/>
      <c r="R33" s="146"/>
      <c r="S33" s="146"/>
      <c r="T33" s="146"/>
      <c r="U33" s="146"/>
      <c r="V33" s="146"/>
      <c r="W33" s="146"/>
      <c r="X33" s="146"/>
      <c r="Y33" s="146"/>
      <c r="Z33" s="146"/>
      <c r="AA33" s="146"/>
      <c r="AB33" s="146"/>
      <c r="AC33" s="146"/>
      <c r="AD33" s="146"/>
      <c r="AE33" s="146"/>
      <c r="AF33" s="146"/>
      <c r="AG33" s="146"/>
      <c r="AH33" s="146"/>
      <c r="AI33" s="146"/>
      <c r="AJ33" s="146"/>
      <c r="AK33" s="146"/>
      <c r="AL33" s="146"/>
      <c r="AM33" s="146"/>
      <c r="AN33" s="146"/>
      <c r="AO33" s="146"/>
      <c r="AP33" s="146"/>
      <c r="AQ33" s="146"/>
      <c r="AR33" s="146"/>
      <c r="AS33" s="146"/>
      <c r="AT33" s="146"/>
      <c r="AU33" s="146"/>
      <c r="AV33" s="146"/>
      <c r="AW33" s="146"/>
      <c r="AX33" s="146"/>
      <c r="AY33" s="146"/>
      <c r="AZ33" s="146"/>
      <c r="BA33" s="146"/>
      <c r="BB33" s="146"/>
      <c r="BC33" s="146"/>
      <c r="BD33" s="146"/>
      <c r="BE33" s="146"/>
      <c r="BF33" s="146"/>
      <c r="BG33" s="146"/>
      <c r="BH33" s="146"/>
      <c r="BI33" s="146"/>
      <c r="BJ33" s="146"/>
      <c r="BK33" s="146"/>
      <c r="BL33" s="146"/>
      <c r="BM33" s="146"/>
      <c r="BN33" s="146"/>
      <c r="BO33" s="146"/>
      <c r="BP33" s="146"/>
      <c r="BQ33" s="146"/>
      <c r="BR33" s="146"/>
    </row>
    <row r="34" spans="1:70" s="147" customFormat="1" ht="48.75" customHeight="1" x14ac:dyDescent="0.3">
      <c r="A34" s="666"/>
      <c r="B34" s="496"/>
      <c r="C34" s="497"/>
      <c r="D34" s="466"/>
      <c r="E34" s="467"/>
      <c r="F34" s="463"/>
      <c r="G34" s="463"/>
      <c r="H34" s="463"/>
      <c r="I34" s="463"/>
      <c r="J34" s="463"/>
      <c r="K34" s="463"/>
      <c r="L34" s="463"/>
      <c r="M34" s="463"/>
      <c r="N34" s="146"/>
      <c r="O34" s="146"/>
      <c r="P34" s="146"/>
      <c r="Q34" s="146"/>
      <c r="R34" s="146"/>
      <c r="S34" s="146"/>
      <c r="T34" s="146"/>
      <c r="U34" s="146"/>
      <c r="V34" s="146"/>
      <c r="W34" s="146"/>
      <c r="X34" s="146"/>
      <c r="Y34" s="146"/>
      <c r="Z34" s="146"/>
      <c r="AA34" s="146"/>
      <c r="AB34" s="146"/>
      <c r="AC34" s="146"/>
      <c r="AD34" s="146"/>
      <c r="AE34" s="146"/>
      <c r="AF34" s="146"/>
      <c r="AG34" s="146"/>
      <c r="AH34" s="146"/>
      <c r="AI34" s="146"/>
      <c r="AJ34" s="146"/>
      <c r="AK34" s="146"/>
      <c r="AL34" s="146"/>
      <c r="AM34" s="146"/>
      <c r="AN34" s="146"/>
      <c r="AO34" s="146"/>
      <c r="AP34" s="146"/>
      <c r="AQ34" s="146"/>
      <c r="AR34" s="146"/>
      <c r="AS34" s="146"/>
      <c r="AT34" s="146"/>
      <c r="AU34" s="146"/>
      <c r="AV34" s="146"/>
      <c r="AW34" s="146"/>
      <c r="AX34" s="146"/>
      <c r="AY34" s="146"/>
      <c r="AZ34" s="146"/>
      <c r="BA34" s="146"/>
      <c r="BB34" s="146"/>
      <c r="BC34" s="146"/>
      <c r="BD34" s="146"/>
      <c r="BE34" s="146"/>
      <c r="BF34" s="146"/>
      <c r="BG34" s="146"/>
      <c r="BH34" s="146"/>
      <c r="BI34" s="146"/>
      <c r="BJ34" s="146"/>
      <c r="BK34" s="146"/>
      <c r="BL34" s="146"/>
      <c r="BM34" s="146"/>
      <c r="BN34" s="146"/>
      <c r="BO34" s="146"/>
      <c r="BP34" s="146"/>
      <c r="BQ34" s="146"/>
      <c r="BR34" s="146"/>
    </row>
    <row r="35" spans="1:70" s="147" customFormat="1" ht="48.75" customHeight="1" x14ac:dyDescent="0.3">
      <c r="A35" s="666"/>
      <c r="B35" s="496"/>
      <c r="C35" s="497"/>
      <c r="D35" s="466"/>
      <c r="E35" s="467"/>
      <c r="F35" s="463"/>
      <c r="G35" s="463"/>
      <c r="H35" s="463"/>
      <c r="I35" s="463"/>
      <c r="J35" s="463"/>
      <c r="K35" s="463"/>
      <c r="L35" s="463"/>
      <c r="M35" s="463"/>
      <c r="N35" s="146"/>
      <c r="O35" s="146"/>
      <c r="P35" s="146"/>
      <c r="Q35" s="146"/>
      <c r="R35" s="146"/>
      <c r="S35" s="146"/>
      <c r="T35" s="146"/>
      <c r="U35" s="146"/>
      <c r="V35" s="146"/>
      <c r="W35" s="146"/>
      <c r="X35" s="146"/>
      <c r="Y35" s="146"/>
      <c r="Z35" s="146"/>
      <c r="AA35" s="146"/>
      <c r="AB35" s="146"/>
      <c r="AC35" s="146"/>
      <c r="AD35" s="146"/>
      <c r="AE35" s="146"/>
      <c r="AF35" s="146"/>
      <c r="AG35" s="146"/>
      <c r="AH35" s="146"/>
      <c r="AI35" s="146"/>
      <c r="AJ35" s="146"/>
      <c r="AK35" s="146"/>
      <c r="AL35" s="146"/>
      <c r="AM35" s="146"/>
      <c r="AN35" s="146"/>
      <c r="AO35" s="146"/>
      <c r="AP35" s="146"/>
      <c r="AQ35" s="146"/>
      <c r="AR35" s="146"/>
      <c r="AS35" s="146"/>
      <c r="AT35" s="146"/>
      <c r="AU35" s="146"/>
      <c r="AV35" s="146"/>
      <c r="AW35" s="146"/>
      <c r="AX35" s="146"/>
      <c r="AY35" s="146"/>
      <c r="AZ35" s="146"/>
      <c r="BA35" s="146"/>
      <c r="BB35" s="146"/>
      <c r="BC35" s="146"/>
      <c r="BD35" s="146"/>
      <c r="BE35" s="146"/>
      <c r="BF35" s="146"/>
      <c r="BG35" s="146"/>
      <c r="BH35" s="146"/>
      <c r="BI35" s="146"/>
      <c r="BJ35" s="146"/>
      <c r="BK35" s="146"/>
      <c r="BL35" s="146"/>
      <c r="BM35" s="146"/>
      <c r="BN35" s="146"/>
      <c r="BO35" s="146"/>
      <c r="BP35" s="146"/>
      <c r="BQ35" s="146"/>
      <c r="BR35" s="146"/>
    </row>
    <row r="36" spans="1:70" s="147" customFormat="1" ht="48.75" customHeight="1" x14ac:dyDescent="0.3">
      <c r="A36" s="666" t="s">
        <v>171</v>
      </c>
      <c r="B36" s="496"/>
      <c r="C36" s="497"/>
      <c r="D36" s="466"/>
      <c r="E36" s="467"/>
      <c r="F36" s="463" t="str">
        <f t="shared" si="1"/>
        <v>No</v>
      </c>
      <c r="G36" s="463" t="str">
        <f t="shared" si="1"/>
        <v>No</v>
      </c>
      <c r="H36" s="463" t="str">
        <f t="shared" si="1"/>
        <v>No</v>
      </c>
      <c r="I36" s="463" t="str">
        <f t="shared" si="1"/>
        <v>No</v>
      </c>
      <c r="J36" s="463" t="str">
        <f t="shared" si="1"/>
        <v>No</v>
      </c>
      <c r="K36" s="463" t="str">
        <f t="shared" si="1"/>
        <v>No</v>
      </c>
      <c r="L36" s="463" t="str">
        <f t="shared" si="1"/>
        <v>No</v>
      </c>
      <c r="M36" s="463" t="str">
        <f t="shared" si="1"/>
        <v>No</v>
      </c>
      <c r="N36" s="146"/>
      <c r="O36" s="146"/>
      <c r="P36" s="146"/>
      <c r="Q36" s="146"/>
      <c r="R36" s="146"/>
      <c r="S36" s="146"/>
      <c r="T36" s="146"/>
      <c r="U36" s="146"/>
      <c r="V36" s="146"/>
      <c r="W36" s="146"/>
      <c r="X36" s="146"/>
      <c r="Y36" s="146"/>
      <c r="Z36" s="146"/>
      <c r="AA36" s="146"/>
      <c r="AB36" s="146"/>
      <c r="AC36" s="146"/>
      <c r="AD36" s="146"/>
      <c r="AE36" s="146"/>
      <c r="AF36" s="146"/>
      <c r="AG36" s="146"/>
      <c r="AH36" s="146"/>
      <c r="AI36" s="146"/>
      <c r="AJ36" s="146"/>
      <c r="AK36" s="146"/>
      <c r="AL36" s="146"/>
      <c r="AM36" s="146"/>
      <c r="AN36" s="146"/>
      <c r="AO36" s="146"/>
      <c r="AP36" s="146"/>
      <c r="AQ36" s="146"/>
      <c r="AR36" s="146"/>
      <c r="AS36" s="146"/>
      <c r="AT36" s="146"/>
      <c r="AU36" s="146"/>
      <c r="AV36" s="146"/>
      <c r="AW36" s="146"/>
      <c r="AX36" s="146"/>
      <c r="AY36" s="146"/>
      <c r="AZ36" s="146"/>
      <c r="BA36" s="146"/>
      <c r="BB36" s="146"/>
      <c r="BC36" s="146"/>
      <c r="BD36" s="146"/>
      <c r="BE36" s="146"/>
      <c r="BF36" s="146"/>
      <c r="BG36" s="146"/>
      <c r="BH36" s="146"/>
      <c r="BI36" s="146"/>
      <c r="BJ36" s="146"/>
      <c r="BK36" s="146"/>
      <c r="BL36" s="146"/>
      <c r="BM36" s="146"/>
      <c r="BN36" s="146"/>
      <c r="BO36" s="146"/>
      <c r="BP36" s="146"/>
      <c r="BQ36" s="146"/>
      <c r="BR36" s="146"/>
    </row>
    <row r="37" spans="1:70" s="147" customFormat="1" ht="48.75" customHeight="1" x14ac:dyDescent="0.3">
      <c r="A37" s="666"/>
      <c r="B37" s="496"/>
      <c r="C37" s="497"/>
      <c r="D37" s="466"/>
      <c r="E37" s="467"/>
      <c r="F37" s="463"/>
      <c r="G37" s="463"/>
      <c r="H37" s="463"/>
      <c r="I37" s="463"/>
      <c r="J37" s="463"/>
      <c r="K37" s="463"/>
      <c r="L37" s="463"/>
      <c r="M37" s="463"/>
      <c r="N37" s="146"/>
      <c r="O37" s="146"/>
      <c r="P37" s="146"/>
      <c r="Q37" s="146"/>
      <c r="R37" s="146"/>
      <c r="S37" s="146"/>
      <c r="T37" s="146"/>
      <c r="U37" s="146"/>
      <c r="V37" s="146"/>
      <c r="W37" s="146"/>
      <c r="X37" s="146"/>
      <c r="Y37" s="146"/>
      <c r="Z37" s="146"/>
      <c r="AA37" s="146"/>
      <c r="AB37" s="146"/>
      <c r="AC37" s="146"/>
      <c r="AD37" s="146"/>
      <c r="AE37" s="146"/>
      <c r="AF37" s="146"/>
      <c r="AG37" s="146"/>
      <c r="AH37" s="146"/>
      <c r="AI37" s="146"/>
      <c r="AJ37" s="146"/>
      <c r="AK37" s="146"/>
      <c r="AL37" s="146"/>
      <c r="AM37" s="146"/>
      <c r="AN37" s="146"/>
      <c r="AO37" s="146"/>
      <c r="AP37" s="146"/>
      <c r="AQ37" s="146"/>
      <c r="AR37" s="146"/>
      <c r="AS37" s="146"/>
      <c r="AT37" s="146"/>
      <c r="AU37" s="146"/>
      <c r="AV37" s="146"/>
      <c r="AW37" s="146"/>
      <c r="AX37" s="146"/>
      <c r="AY37" s="146"/>
      <c r="AZ37" s="146"/>
      <c r="BA37" s="146"/>
      <c r="BB37" s="146"/>
      <c r="BC37" s="146"/>
      <c r="BD37" s="146"/>
      <c r="BE37" s="146"/>
      <c r="BF37" s="146"/>
      <c r="BG37" s="146"/>
      <c r="BH37" s="146"/>
      <c r="BI37" s="146"/>
      <c r="BJ37" s="146"/>
      <c r="BK37" s="146"/>
      <c r="BL37" s="146"/>
      <c r="BM37" s="146"/>
      <c r="BN37" s="146"/>
      <c r="BO37" s="146"/>
      <c r="BP37" s="146"/>
      <c r="BQ37" s="146"/>
      <c r="BR37" s="146"/>
    </row>
    <row r="38" spans="1:70" s="147" customFormat="1" ht="48.75" customHeight="1" x14ac:dyDescent="0.3">
      <c r="A38" s="666"/>
      <c r="B38" s="496"/>
      <c r="C38" s="497"/>
      <c r="D38" s="466"/>
      <c r="E38" s="467"/>
      <c r="F38" s="463"/>
      <c r="G38" s="463"/>
      <c r="H38" s="463"/>
      <c r="I38" s="463"/>
      <c r="J38" s="463"/>
      <c r="K38" s="463"/>
      <c r="L38" s="463"/>
      <c r="M38" s="463"/>
      <c r="N38" s="146"/>
      <c r="O38" s="146"/>
      <c r="P38" s="146"/>
      <c r="Q38" s="146"/>
      <c r="R38" s="146"/>
      <c r="S38" s="146"/>
      <c r="T38" s="146"/>
      <c r="U38" s="146"/>
      <c r="V38" s="146"/>
      <c r="W38" s="146"/>
      <c r="X38" s="146"/>
      <c r="Y38" s="146"/>
      <c r="Z38" s="146"/>
      <c r="AA38" s="146"/>
      <c r="AB38" s="146"/>
      <c r="AC38" s="146"/>
      <c r="AD38" s="146"/>
      <c r="AE38" s="146"/>
      <c r="AF38" s="146"/>
      <c r="AG38" s="146"/>
      <c r="AH38" s="146"/>
      <c r="AI38" s="146"/>
      <c r="AJ38" s="146"/>
      <c r="AK38" s="146"/>
      <c r="AL38" s="146"/>
      <c r="AM38" s="146"/>
      <c r="AN38" s="146"/>
      <c r="AO38" s="146"/>
      <c r="AP38" s="146"/>
      <c r="AQ38" s="146"/>
      <c r="AR38" s="146"/>
      <c r="AS38" s="146"/>
      <c r="AT38" s="146"/>
      <c r="AU38" s="146"/>
      <c r="AV38" s="146"/>
      <c r="AW38" s="146"/>
      <c r="AX38" s="146"/>
      <c r="AY38" s="146"/>
      <c r="AZ38" s="146"/>
      <c r="BA38" s="146"/>
      <c r="BB38" s="146"/>
      <c r="BC38" s="146"/>
      <c r="BD38" s="146"/>
      <c r="BE38" s="146"/>
      <c r="BF38" s="146"/>
      <c r="BG38" s="146"/>
      <c r="BH38" s="146"/>
      <c r="BI38" s="146"/>
      <c r="BJ38" s="146"/>
      <c r="BK38" s="146"/>
      <c r="BL38" s="146"/>
      <c r="BM38" s="146"/>
      <c r="BN38" s="146"/>
      <c r="BO38" s="146"/>
      <c r="BP38" s="146"/>
      <c r="BQ38" s="146"/>
      <c r="BR38" s="146"/>
    </row>
    <row r="39" spans="1:70" s="147" customFormat="1" ht="48.75" customHeight="1" x14ac:dyDescent="0.3">
      <c r="A39" s="666" t="s">
        <v>172</v>
      </c>
      <c r="B39" s="496"/>
      <c r="C39" s="497"/>
      <c r="D39" s="466"/>
      <c r="E39" s="467"/>
      <c r="F39" s="463" t="str">
        <f t="shared" si="1"/>
        <v>No</v>
      </c>
      <c r="G39" s="463" t="str">
        <f t="shared" si="1"/>
        <v>No</v>
      </c>
      <c r="H39" s="463" t="str">
        <f t="shared" si="1"/>
        <v>No</v>
      </c>
      <c r="I39" s="463" t="str">
        <f t="shared" si="1"/>
        <v>No</v>
      </c>
      <c r="J39" s="463" t="str">
        <f t="shared" si="1"/>
        <v>No</v>
      </c>
      <c r="K39" s="463" t="str">
        <f t="shared" si="1"/>
        <v>No</v>
      </c>
      <c r="L39" s="463" t="str">
        <f t="shared" si="1"/>
        <v>No</v>
      </c>
      <c r="M39" s="463" t="str">
        <f t="shared" si="1"/>
        <v>No</v>
      </c>
      <c r="N39" s="146"/>
      <c r="O39" s="146"/>
      <c r="P39" s="146"/>
      <c r="Q39" s="146"/>
      <c r="R39" s="146"/>
      <c r="S39" s="146"/>
      <c r="T39" s="146"/>
      <c r="U39" s="146"/>
      <c r="V39" s="146"/>
      <c r="W39" s="146"/>
      <c r="X39" s="146"/>
      <c r="Y39" s="146"/>
      <c r="Z39" s="146"/>
      <c r="AA39" s="146"/>
      <c r="AB39" s="146"/>
      <c r="AC39" s="146"/>
      <c r="AD39" s="146"/>
      <c r="AE39" s="146"/>
      <c r="AF39" s="146"/>
      <c r="AG39" s="146"/>
      <c r="AH39" s="146"/>
      <c r="AI39" s="146"/>
      <c r="AJ39" s="146"/>
      <c r="AK39" s="146"/>
      <c r="AL39" s="146"/>
      <c r="AM39" s="146"/>
      <c r="AN39" s="146"/>
      <c r="AO39" s="146"/>
      <c r="AP39" s="146"/>
      <c r="AQ39" s="146"/>
      <c r="AR39" s="146"/>
      <c r="AS39" s="146"/>
      <c r="AT39" s="146"/>
      <c r="AU39" s="146"/>
      <c r="AV39" s="146"/>
      <c r="AW39" s="146"/>
      <c r="AX39" s="146"/>
      <c r="AY39" s="146"/>
      <c r="AZ39" s="146"/>
      <c r="BA39" s="146"/>
      <c r="BB39" s="146"/>
      <c r="BC39" s="146"/>
      <c r="BD39" s="146"/>
      <c r="BE39" s="146"/>
      <c r="BF39" s="146"/>
      <c r="BG39" s="146"/>
      <c r="BH39" s="146"/>
      <c r="BI39" s="146"/>
      <c r="BJ39" s="146"/>
      <c r="BK39" s="146"/>
      <c r="BL39" s="146"/>
      <c r="BM39" s="146"/>
      <c r="BN39" s="146"/>
      <c r="BO39" s="146"/>
      <c r="BP39" s="146"/>
      <c r="BQ39" s="146"/>
      <c r="BR39" s="146"/>
    </row>
    <row r="40" spans="1:70" s="147" customFormat="1" ht="48.75" customHeight="1" x14ac:dyDescent="0.3">
      <c r="A40" s="666"/>
      <c r="B40" s="496"/>
      <c r="C40" s="497"/>
      <c r="D40" s="466"/>
      <c r="E40" s="467"/>
      <c r="F40" s="463"/>
      <c r="G40" s="463"/>
      <c r="H40" s="463"/>
      <c r="I40" s="463"/>
      <c r="J40" s="463"/>
      <c r="K40" s="463"/>
      <c r="L40" s="463"/>
      <c r="M40" s="463"/>
      <c r="N40" s="146"/>
      <c r="O40" s="146"/>
      <c r="P40" s="146"/>
      <c r="Q40" s="146"/>
      <c r="R40" s="146"/>
      <c r="S40" s="146"/>
      <c r="T40" s="146"/>
      <c r="U40" s="146"/>
      <c r="V40" s="146"/>
      <c r="W40" s="146"/>
      <c r="X40" s="146"/>
      <c r="Y40" s="146"/>
      <c r="Z40" s="146"/>
      <c r="AA40" s="146"/>
      <c r="AB40" s="146"/>
      <c r="AC40" s="146"/>
      <c r="AD40" s="146"/>
      <c r="AE40" s="146"/>
      <c r="AF40" s="146"/>
      <c r="AG40" s="146"/>
      <c r="AH40" s="146"/>
      <c r="AI40" s="146"/>
      <c r="AJ40" s="146"/>
      <c r="AK40" s="146"/>
      <c r="AL40" s="146"/>
      <c r="AM40" s="146"/>
      <c r="AN40" s="146"/>
      <c r="AO40" s="146"/>
      <c r="AP40" s="146"/>
      <c r="AQ40" s="146"/>
      <c r="AR40" s="146"/>
      <c r="AS40" s="146"/>
      <c r="AT40" s="146"/>
      <c r="AU40" s="146"/>
      <c r="AV40" s="146"/>
      <c r="AW40" s="146"/>
      <c r="AX40" s="146"/>
      <c r="AY40" s="146"/>
      <c r="AZ40" s="146"/>
      <c r="BA40" s="146"/>
      <c r="BB40" s="146"/>
      <c r="BC40" s="146"/>
      <c r="BD40" s="146"/>
      <c r="BE40" s="146"/>
      <c r="BF40" s="146"/>
      <c r="BG40" s="146"/>
      <c r="BH40" s="146"/>
      <c r="BI40" s="146"/>
      <c r="BJ40" s="146"/>
      <c r="BK40" s="146"/>
      <c r="BL40" s="146"/>
      <c r="BM40" s="146"/>
      <c r="BN40" s="146"/>
      <c r="BO40" s="146"/>
      <c r="BP40" s="146"/>
      <c r="BQ40" s="146"/>
      <c r="BR40" s="146"/>
    </row>
    <row r="41" spans="1:70" s="147" customFormat="1" ht="48.75" customHeight="1" x14ac:dyDescent="0.3">
      <c r="A41" s="666"/>
      <c r="B41" s="496"/>
      <c r="C41" s="497"/>
      <c r="D41" s="466"/>
      <c r="E41" s="467"/>
      <c r="F41" s="463"/>
      <c r="G41" s="463"/>
      <c r="H41" s="463"/>
      <c r="I41" s="463"/>
      <c r="J41" s="463"/>
      <c r="K41" s="463"/>
      <c r="L41" s="463"/>
      <c r="M41" s="463"/>
      <c r="N41" s="146"/>
      <c r="O41" s="146"/>
      <c r="P41" s="146"/>
      <c r="Q41" s="146"/>
      <c r="R41" s="146"/>
      <c r="S41" s="146"/>
      <c r="T41" s="146"/>
      <c r="U41" s="146"/>
      <c r="V41" s="146"/>
      <c r="W41" s="146"/>
      <c r="X41" s="146"/>
      <c r="Y41" s="146"/>
      <c r="Z41" s="146"/>
      <c r="AA41" s="146"/>
      <c r="AB41" s="146"/>
      <c r="AC41" s="146"/>
      <c r="AD41" s="146"/>
      <c r="AE41" s="146"/>
      <c r="AF41" s="146"/>
      <c r="AG41" s="146"/>
      <c r="AH41" s="146"/>
      <c r="AI41" s="146"/>
      <c r="AJ41" s="146"/>
      <c r="AK41" s="146"/>
      <c r="AL41" s="146"/>
      <c r="AM41" s="146"/>
      <c r="AN41" s="146"/>
      <c r="AO41" s="146"/>
      <c r="AP41" s="146"/>
      <c r="AQ41" s="146"/>
      <c r="AR41" s="146"/>
      <c r="AS41" s="146"/>
      <c r="AT41" s="146"/>
      <c r="AU41" s="146"/>
      <c r="AV41" s="146"/>
      <c r="AW41" s="146"/>
      <c r="AX41" s="146"/>
      <c r="AY41" s="146"/>
      <c r="AZ41" s="146"/>
      <c r="BA41" s="146"/>
      <c r="BB41" s="146"/>
      <c r="BC41" s="146"/>
      <c r="BD41" s="146"/>
      <c r="BE41" s="146"/>
      <c r="BF41" s="146"/>
      <c r="BG41" s="146"/>
      <c r="BH41" s="146"/>
      <c r="BI41" s="146"/>
      <c r="BJ41" s="146"/>
      <c r="BK41" s="146"/>
      <c r="BL41" s="146"/>
      <c r="BM41" s="146"/>
      <c r="BN41" s="146"/>
      <c r="BO41" s="146"/>
      <c r="BP41" s="146"/>
      <c r="BQ41" s="146"/>
      <c r="BR41" s="146"/>
    </row>
    <row r="42" spans="1:70" ht="48.75" customHeight="1" x14ac:dyDescent="0.3">
      <c r="A42" s="666" t="s">
        <v>173</v>
      </c>
      <c r="B42" s="496"/>
      <c r="C42" s="497"/>
      <c r="D42" s="466"/>
      <c r="E42" s="467"/>
      <c r="F42" s="463" t="str">
        <f t="shared" ref="F42:M45" si="2">IFERROR(IF($E42="","No",IF($E42="No","No"," "))," ")</f>
        <v>No</v>
      </c>
      <c r="G42" s="463" t="str">
        <f t="shared" si="2"/>
        <v>No</v>
      </c>
      <c r="H42" s="463" t="str">
        <f t="shared" si="2"/>
        <v>No</v>
      </c>
      <c r="I42" s="463" t="str">
        <f t="shared" si="2"/>
        <v>No</v>
      </c>
      <c r="J42" s="463" t="str">
        <f t="shared" si="2"/>
        <v>No</v>
      </c>
      <c r="K42" s="463" t="str">
        <f t="shared" si="2"/>
        <v>No</v>
      </c>
      <c r="L42" s="463" t="str">
        <f t="shared" si="2"/>
        <v>No</v>
      </c>
      <c r="M42" s="463" t="str">
        <f t="shared" si="2"/>
        <v>No</v>
      </c>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c r="AO42" s="148"/>
      <c r="AP42" s="148"/>
      <c r="AQ42" s="148"/>
      <c r="AR42" s="148"/>
      <c r="AS42" s="148"/>
      <c r="AT42" s="148"/>
      <c r="AU42" s="148"/>
      <c r="AV42" s="148"/>
      <c r="AW42" s="148"/>
      <c r="AX42" s="148"/>
      <c r="AY42" s="148"/>
      <c r="AZ42" s="148"/>
      <c r="BA42" s="148"/>
      <c r="BB42" s="148"/>
      <c r="BC42" s="148"/>
      <c r="BD42" s="148"/>
      <c r="BE42" s="148"/>
      <c r="BF42" s="148"/>
      <c r="BG42" s="148"/>
      <c r="BH42" s="148"/>
      <c r="BI42" s="148"/>
      <c r="BJ42" s="148"/>
      <c r="BK42" s="148"/>
      <c r="BL42" s="148"/>
      <c r="BM42" s="148"/>
      <c r="BN42" s="148"/>
      <c r="BO42" s="148"/>
      <c r="BP42" s="148"/>
      <c r="BQ42" s="148"/>
      <c r="BR42" s="148"/>
    </row>
    <row r="43" spans="1:70" ht="48.75" customHeight="1" x14ac:dyDescent="0.3">
      <c r="A43" s="666"/>
      <c r="B43" s="496"/>
      <c r="C43" s="497"/>
      <c r="D43" s="466"/>
      <c r="E43" s="467"/>
      <c r="F43" s="463"/>
      <c r="G43" s="463"/>
      <c r="H43" s="463"/>
      <c r="I43" s="463"/>
      <c r="J43" s="463"/>
      <c r="K43" s="463"/>
      <c r="L43" s="463"/>
      <c r="M43" s="463"/>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c r="AO43" s="148"/>
      <c r="AP43" s="148"/>
      <c r="AQ43" s="148"/>
      <c r="AR43" s="148"/>
      <c r="AS43" s="148"/>
      <c r="AT43" s="148"/>
      <c r="AU43" s="148"/>
      <c r="AV43" s="148"/>
      <c r="AW43" s="148"/>
      <c r="AX43" s="148"/>
      <c r="AY43" s="148"/>
      <c r="AZ43" s="148"/>
      <c r="BA43" s="148"/>
      <c r="BB43" s="148"/>
      <c r="BC43" s="148"/>
      <c r="BD43" s="148"/>
      <c r="BE43" s="148"/>
      <c r="BF43" s="148"/>
      <c r="BG43" s="148"/>
      <c r="BH43" s="148"/>
      <c r="BI43" s="148"/>
      <c r="BJ43" s="148"/>
      <c r="BK43" s="148"/>
      <c r="BL43" s="148"/>
      <c r="BM43" s="148"/>
      <c r="BN43" s="148"/>
      <c r="BO43" s="148"/>
      <c r="BP43" s="148"/>
      <c r="BQ43" s="148"/>
      <c r="BR43" s="148"/>
    </row>
    <row r="44" spans="1:70" ht="48.75" customHeight="1" x14ac:dyDescent="0.3">
      <c r="A44" s="666"/>
      <c r="B44" s="496"/>
      <c r="C44" s="497"/>
      <c r="D44" s="466"/>
      <c r="E44" s="467"/>
      <c r="F44" s="463"/>
      <c r="G44" s="463"/>
      <c r="H44" s="463"/>
      <c r="I44" s="463"/>
      <c r="J44" s="463"/>
      <c r="K44" s="463"/>
      <c r="L44" s="463"/>
      <c r="M44" s="463"/>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c r="AO44" s="148"/>
      <c r="AP44" s="148"/>
      <c r="AQ44" s="148"/>
      <c r="AR44" s="148"/>
      <c r="AS44" s="148"/>
      <c r="AT44" s="148"/>
      <c r="AU44" s="148"/>
      <c r="AV44" s="148"/>
      <c r="AW44" s="148"/>
      <c r="AX44" s="148"/>
      <c r="AY44" s="148"/>
      <c r="AZ44" s="148"/>
      <c r="BA44" s="148"/>
      <c r="BB44" s="148"/>
      <c r="BC44" s="148"/>
      <c r="BD44" s="148"/>
      <c r="BE44" s="148"/>
      <c r="BF44" s="148"/>
      <c r="BG44" s="148"/>
      <c r="BH44" s="148"/>
      <c r="BI44" s="148"/>
      <c r="BJ44" s="148"/>
      <c r="BK44" s="148"/>
      <c r="BL44" s="148"/>
      <c r="BM44" s="148"/>
      <c r="BN44" s="148"/>
      <c r="BO44" s="148"/>
      <c r="BP44" s="148"/>
      <c r="BQ44" s="148"/>
      <c r="BR44" s="148"/>
    </row>
    <row r="45" spans="1:70" ht="48.75" customHeight="1" x14ac:dyDescent="0.3">
      <c r="A45" s="666" t="s">
        <v>174</v>
      </c>
      <c r="B45" s="496"/>
      <c r="C45" s="497"/>
      <c r="D45" s="466"/>
      <c r="E45" s="467"/>
      <c r="F45" s="463" t="str">
        <f t="shared" si="2"/>
        <v>No</v>
      </c>
      <c r="G45" s="463" t="str">
        <f t="shared" si="2"/>
        <v>No</v>
      </c>
      <c r="H45" s="463" t="str">
        <f t="shared" si="2"/>
        <v>No</v>
      </c>
      <c r="I45" s="463" t="str">
        <f t="shared" si="2"/>
        <v>No</v>
      </c>
      <c r="J45" s="463" t="str">
        <f t="shared" si="2"/>
        <v>No</v>
      </c>
      <c r="K45" s="463" t="str">
        <f t="shared" si="2"/>
        <v>No</v>
      </c>
      <c r="L45" s="463" t="str">
        <f t="shared" si="2"/>
        <v>No</v>
      </c>
      <c r="M45" s="463" t="str">
        <f t="shared" si="2"/>
        <v>No</v>
      </c>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c r="AO45" s="148"/>
      <c r="AP45" s="148"/>
      <c r="AQ45" s="148"/>
      <c r="AR45" s="148"/>
      <c r="AS45" s="148"/>
      <c r="AT45" s="148"/>
      <c r="AU45" s="148"/>
      <c r="AV45" s="148"/>
      <c r="AW45" s="148"/>
      <c r="AX45" s="148"/>
      <c r="AY45" s="148"/>
      <c r="AZ45" s="148"/>
      <c r="BA45" s="148"/>
      <c r="BB45" s="148"/>
      <c r="BC45" s="148"/>
      <c r="BD45" s="148"/>
      <c r="BE45" s="148"/>
      <c r="BF45" s="148"/>
      <c r="BG45" s="148"/>
      <c r="BH45" s="148"/>
      <c r="BI45" s="148"/>
      <c r="BJ45" s="148"/>
      <c r="BK45" s="148"/>
      <c r="BL45" s="148"/>
      <c r="BM45" s="148"/>
      <c r="BN45" s="148"/>
      <c r="BO45" s="148"/>
      <c r="BP45" s="148"/>
      <c r="BQ45" s="148"/>
      <c r="BR45" s="148"/>
    </row>
    <row r="46" spans="1:70" ht="48.75" customHeight="1" x14ac:dyDescent="0.3">
      <c r="A46" s="666"/>
      <c r="B46" s="496"/>
      <c r="C46" s="497"/>
      <c r="D46" s="466"/>
      <c r="E46" s="467"/>
      <c r="F46" s="463"/>
      <c r="G46" s="463"/>
      <c r="H46" s="463"/>
      <c r="I46" s="463"/>
      <c r="J46" s="463"/>
      <c r="K46" s="463"/>
      <c r="L46" s="463"/>
      <c r="M46" s="463"/>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c r="AO46" s="148"/>
      <c r="AP46" s="148"/>
      <c r="AQ46" s="148"/>
      <c r="AR46" s="148"/>
      <c r="AS46" s="148"/>
      <c r="AT46" s="148"/>
      <c r="AU46" s="148"/>
      <c r="AV46" s="148"/>
      <c r="AW46" s="148"/>
      <c r="AX46" s="148"/>
      <c r="AY46" s="148"/>
      <c r="AZ46" s="148"/>
      <c r="BA46" s="148"/>
      <c r="BB46" s="148"/>
      <c r="BC46" s="148"/>
      <c r="BD46" s="148"/>
      <c r="BE46" s="148"/>
      <c r="BF46" s="148"/>
      <c r="BG46" s="148"/>
      <c r="BH46" s="148"/>
      <c r="BI46" s="148"/>
      <c r="BJ46" s="148"/>
      <c r="BK46" s="148"/>
      <c r="BL46" s="148"/>
      <c r="BM46" s="148"/>
      <c r="BN46" s="148"/>
      <c r="BO46" s="148"/>
      <c r="BP46" s="148"/>
      <c r="BQ46" s="148"/>
      <c r="BR46" s="148"/>
    </row>
    <row r="47" spans="1:70" ht="48.75" customHeight="1" x14ac:dyDescent="0.3">
      <c r="A47" s="666"/>
      <c r="B47" s="496"/>
      <c r="C47" s="497"/>
      <c r="D47" s="466"/>
      <c r="E47" s="467"/>
      <c r="F47" s="463"/>
      <c r="G47" s="463"/>
      <c r="H47" s="463"/>
      <c r="I47" s="463"/>
      <c r="J47" s="463"/>
      <c r="K47" s="463"/>
      <c r="L47" s="463"/>
      <c r="M47" s="463"/>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c r="AO47" s="148"/>
      <c r="AP47" s="148"/>
      <c r="AQ47" s="148"/>
      <c r="AR47" s="148"/>
      <c r="AS47" s="148"/>
      <c r="AT47" s="148"/>
      <c r="AU47" s="148"/>
      <c r="AV47" s="148"/>
      <c r="AW47" s="148"/>
      <c r="AX47" s="148"/>
      <c r="AY47" s="148"/>
      <c r="AZ47" s="148"/>
      <c r="BA47" s="148"/>
      <c r="BB47" s="148"/>
      <c r="BC47" s="148"/>
      <c r="BD47" s="148"/>
      <c r="BE47" s="148"/>
      <c r="BF47" s="148"/>
      <c r="BG47" s="148"/>
      <c r="BH47" s="148"/>
      <c r="BI47" s="148"/>
      <c r="BJ47" s="148"/>
      <c r="BK47" s="148"/>
      <c r="BL47" s="148"/>
      <c r="BM47" s="148"/>
      <c r="BN47" s="148"/>
      <c r="BO47" s="148"/>
      <c r="BP47" s="148"/>
      <c r="BQ47" s="148"/>
      <c r="BR47" s="148"/>
    </row>
  </sheetData>
  <mergeCells count="170">
    <mergeCell ref="A2:C2"/>
    <mergeCell ref="D2:L2"/>
    <mergeCell ref="M2:M3"/>
    <mergeCell ref="A3:C6"/>
    <mergeCell ref="D3:L4"/>
    <mergeCell ref="D5:L5"/>
    <mergeCell ref="D6:L6"/>
    <mergeCell ref="C12:C14"/>
    <mergeCell ref="D12:D14"/>
    <mergeCell ref="E12:E14"/>
    <mergeCell ref="F12:F14"/>
    <mergeCell ref="K15:K17"/>
    <mergeCell ref="L15:L17"/>
    <mergeCell ref="M15:M17"/>
    <mergeCell ref="A7:M7"/>
    <mergeCell ref="A9:M9"/>
    <mergeCell ref="A10:A11"/>
    <mergeCell ref="B10:C10"/>
    <mergeCell ref="D10:D11"/>
    <mergeCell ref="E10:E11"/>
    <mergeCell ref="F10:M10"/>
    <mergeCell ref="D18:D20"/>
    <mergeCell ref="E18:E20"/>
    <mergeCell ref="F18:F20"/>
    <mergeCell ref="G18:G20"/>
    <mergeCell ref="H18:H20"/>
    <mergeCell ref="J18:J20"/>
    <mergeCell ref="K18:K20"/>
    <mergeCell ref="M12:M14"/>
    <mergeCell ref="B15:B17"/>
    <mergeCell ref="C15:C17"/>
    <mergeCell ref="D15:D17"/>
    <mergeCell ref="E15:E17"/>
    <mergeCell ref="F15:F17"/>
    <mergeCell ref="G15:G17"/>
    <mergeCell ref="H15:H17"/>
    <mergeCell ref="I15:I17"/>
    <mergeCell ref="J15:J17"/>
    <mergeCell ref="G12:G14"/>
    <mergeCell ref="H12:H14"/>
    <mergeCell ref="I12:I14"/>
    <mergeCell ref="J12:J14"/>
    <mergeCell ref="K12:K14"/>
    <mergeCell ref="L12:L14"/>
    <mergeCell ref="B12:B14"/>
    <mergeCell ref="L18:L20"/>
    <mergeCell ref="M18:M20"/>
    <mergeCell ref="B21:B23"/>
    <mergeCell ref="C21:C23"/>
    <mergeCell ref="D21:D23"/>
    <mergeCell ref="E21:E23"/>
    <mergeCell ref="F21:F23"/>
    <mergeCell ref="M21:M23"/>
    <mergeCell ref="B24:B26"/>
    <mergeCell ref="C24:C26"/>
    <mergeCell ref="D24:D26"/>
    <mergeCell ref="E24:E26"/>
    <mergeCell ref="F24:F26"/>
    <mergeCell ref="G24:G26"/>
    <mergeCell ref="H24:H26"/>
    <mergeCell ref="I24:I26"/>
    <mergeCell ref="J24:J26"/>
    <mergeCell ref="G21:G23"/>
    <mergeCell ref="H21:H23"/>
    <mergeCell ref="I21:I23"/>
    <mergeCell ref="J21:J23"/>
    <mergeCell ref="K21:K23"/>
    <mergeCell ref="L21:L23"/>
    <mergeCell ref="K24:K26"/>
    <mergeCell ref="L33:L35"/>
    <mergeCell ref="M33:M35"/>
    <mergeCell ref="L24:L26"/>
    <mergeCell ref="M24:M26"/>
    <mergeCell ref="B27:B29"/>
    <mergeCell ref="C27:C29"/>
    <mergeCell ref="D27:D29"/>
    <mergeCell ref="E27:E29"/>
    <mergeCell ref="F27:F29"/>
    <mergeCell ref="G27:G29"/>
    <mergeCell ref="H27:H29"/>
    <mergeCell ref="J27:J29"/>
    <mergeCell ref="K27:K29"/>
    <mergeCell ref="L27:L29"/>
    <mergeCell ref="M27:M29"/>
    <mergeCell ref="J36:J38"/>
    <mergeCell ref="K36:K38"/>
    <mergeCell ref="B30:B32"/>
    <mergeCell ref="C30:C32"/>
    <mergeCell ref="D30:D32"/>
    <mergeCell ref="E30:E32"/>
    <mergeCell ref="F30:F32"/>
    <mergeCell ref="M30:M32"/>
    <mergeCell ref="B33:B35"/>
    <mergeCell ref="C33:C35"/>
    <mergeCell ref="D33:D35"/>
    <mergeCell ref="E33:E35"/>
    <mergeCell ref="F33:F35"/>
    <mergeCell ref="G33:G35"/>
    <mergeCell ref="H33:H35"/>
    <mergeCell ref="I33:I35"/>
    <mergeCell ref="J33:J35"/>
    <mergeCell ref="G30:G32"/>
    <mergeCell ref="H30:H32"/>
    <mergeCell ref="I30:I32"/>
    <mergeCell ref="J30:J32"/>
    <mergeCell ref="K30:K32"/>
    <mergeCell ref="L30:L32"/>
    <mergeCell ref="K33:K35"/>
    <mergeCell ref="L36:L38"/>
    <mergeCell ref="M36:M38"/>
    <mergeCell ref="B39:B41"/>
    <mergeCell ref="C39:C41"/>
    <mergeCell ref="D39:D41"/>
    <mergeCell ref="E39:E41"/>
    <mergeCell ref="F39:F41"/>
    <mergeCell ref="M39:M41"/>
    <mergeCell ref="B42:B44"/>
    <mergeCell ref="C42:C44"/>
    <mergeCell ref="D42:D44"/>
    <mergeCell ref="E42:E44"/>
    <mergeCell ref="F42:F44"/>
    <mergeCell ref="G42:G44"/>
    <mergeCell ref="H42:H44"/>
    <mergeCell ref="I42:I44"/>
    <mergeCell ref="J42:J44"/>
    <mergeCell ref="G39:G41"/>
    <mergeCell ref="H39:H41"/>
    <mergeCell ref="I39:I41"/>
    <mergeCell ref="J39:J41"/>
    <mergeCell ref="K39:K41"/>
    <mergeCell ref="L39:L41"/>
    <mergeCell ref="B36:B38"/>
    <mergeCell ref="J45:J47"/>
    <mergeCell ref="K45:K47"/>
    <mergeCell ref="L45:L47"/>
    <mergeCell ref="M45:M47"/>
    <mergeCell ref="K42:K44"/>
    <mergeCell ref="L42:L44"/>
    <mergeCell ref="M42:M44"/>
    <mergeCell ref="B45:B47"/>
    <mergeCell ref="C45:C47"/>
    <mergeCell ref="D45:D47"/>
    <mergeCell ref="E45:E47"/>
    <mergeCell ref="F45:F47"/>
    <mergeCell ref="G45:G47"/>
    <mergeCell ref="H45:H47"/>
    <mergeCell ref="A45:A47"/>
    <mergeCell ref="A12:A14"/>
    <mergeCell ref="A15:A17"/>
    <mergeCell ref="A18:A20"/>
    <mergeCell ref="A21:A23"/>
    <mergeCell ref="A24:A26"/>
    <mergeCell ref="A27:A29"/>
    <mergeCell ref="A30:A32"/>
    <mergeCell ref="I45:I47"/>
    <mergeCell ref="I36:I38"/>
    <mergeCell ref="I27:I29"/>
    <mergeCell ref="I18:I20"/>
    <mergeCell ref="A33:A35"/>
    <mergeCell ref="A36:A38"/>
    <mergeCell ref="A39:A41"/>
    <mergeCell ref="A42:A44"/>
    <mergeCell ref="C36:C38"/>
    <mergeCell ref="D36:D38"/>
    <mergeCell ref="E36:E38"/>
    <mergeCell ref="F36:F38"/>
    <mergeCell ref="G36:G38"/>
    <mergeCell ref="H36:H38"/>
    <mergeCell ref="B18:B20"/>
    <mergeCell ref="C18:C20"/>
  </mergeCells>
  <conditionalFormatting sqref="F12:M47">
    <cfRule type="containsText" dxfId="4"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Tratamiento'!$D$27:$D$29</xm:f>
          </x14:formula1>
          <xm:sqref>E12:E47</xm:sqref>
        </x14:dataValidation>
        <x14:dataValidation type="list" allowBlank="1" showInputMessage="1" showErrorMessage="1">
          <x14:formula1>
            <xm:f>'Opciones Tratamiento'!$D$32:$D$33</xm:f>
          </x14:formula1>
          <xm:sqref>H12:H47</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theme="6" tint="-0.249977111117893"/>
  </sheetPr>
  <dimension ref="A1:U232"/>
  <sheetViews>
    <sheetView zoomScale="60" zoomScaleNormal="60" workbookViewId="0">
      <selection activeCell="D15" sqref="D15"/>
    </sheetView>
  </sheetViews>
  <sheetFormatPr baseColWidth="10" defaultColWidth="11.42578125" defaultRowHeight="15" x14ac:dyDescent="0.25"/>
  <cols>
    <col min="2" max="2" width="40.42578125" customWidth="1"/>
    <col min="3" max="3" width="74.85546875" customWidth="1"/>
    <col min="4" max="4" width="135" bestFit="1" customWidth="1"/>
    <col min="5" max="5" width="144.7109375" bestFit="1" customWidth="1"/>
  </cols>
  <sheetData>
    <row r="1" spans="1:21" ht="33.75" x14ac:dyDescent="0.25">
      <c r="A1" s="69"/>
      <c r="B1" s="671" t="s">
        <v>175</v>
      </c>
      <c r="C1" s="671"/>
      <c r="D1" s="671"/>
      <c r="E1" s="69"/>
      <c r="F1" s="69"/>
      <c r="G1" s="69"/>
      <c r="H1" s="69"/>
      <c r="I1" s="69"/>
      <c r="J1" s="69"/>
      <c r="K1" s="69"/>
      <c r="L1" s="69"/>
      <c r="M1" s="69"/>
      <c r="N1" s="69"/>
      <c r="O1" s="69"/>
      <c r="P1" s="69"/>
      <c r="Q1" s="69"/>
      <c r="R1" s="69"/>
      <c r="S1" s="69"/>
      <c r="T1" s="69"/>
      <c r="U1" s="69"/>
    </row>
    <row r="2" spans="1:21" x14ac:dyDescent="0.25">
      <c r="A2" s="69"/>
      <c r="B2" s="69"/>
      <c r="C2" s="69"/>
      <c r="D2" s="69"/>
      <c r="E2" s="69"/>
      <c r="F2" s="69"/>
      <c r="G2" s="69"/>
      <c r="H2" s="69"/>
      <c r="I2" s="69"/>
      <c r="J2" s="69"/>
      <c r="K2" s="69"/>
      <c r="L2" s="69"/>
      <c r="M2" s="69"/>
      <c r="N2" s="69"/>
      <c r="O2" s="69"/>
      <c r="P2" s="69"/>
      <c r="Q2" s="69"/>
      <c r="R2" s="69"/>
      <c r="S2" s="69"/>
      <c r="T2" s="69"/>
      <c r="U2" s="69"/>
    </row>
    <row r="3" spans="1:21" x14ac:dyDescent="0.25">
      <c r="A3" s="69"/>
      <c r="E3" s="69"/>
      <c r="F3" s="69"/>
      <c r="G3" s="69"/>
      <c r="H3" s="69"/>
      <c r="I3" s="69"/>
      <c r="J3" s="69"/>
      <c r="K3" s="69"/>
      <c r="L3" s="69"/>
      <c r="M3" s="69"/>
      <c r="N3" s="69"/>
      <c r="O3" s="69"/>
      <c r="P3" s="69"/>
      <c r="Q3" s="69"/>
      <c r="R3" s="69"/>
      <c r="S3" s="69"/>
      <c r="T3" s="69"/>
      <c r="U3" s="69"/>
    </row>
    <row r="4" spans="1:21" x14ac:dyDescent="0.25">
      <c r="A4" s="89" t="s">
        <v>176</v>
      </c>
      <c r="E4" s="69"/>
      <c r="F4" s="69"/>
      <c r="G4" s="69"/>
      <c r="H4" s="69"/>
      <c r="I4" s="69"/>
      <c r="J4" s="69"/>
      <c r="K4" s="69"/>
      <c r="L4" s="69"/>
      <c r="M4" s="69"/>
      <c r="N4" s="69"/>
      <c r="O4" s="69"/>
      <c r="P4" s="69"/>
      <c r="Q4" s="69"/>
      <c r="R4" s="69"/>
      <c r="S4" s="69"/>
      <c r="T4" s="69"/>
      <c r="U4" s="69"/>
    </row>
    <row r="5" spans="1:21" x14ac:dyDescent="0.25">
      <c r="A5" s="89" t="s">
        <v>177</v>
      </c>
      <c r="E5" s="69"/>
      <c r="F5" s="69"/>
      <c r="G5" s="69"/>
      <c r="H5" s="69"/>
      <c r="I5" s="69"/>
      <c r="J5" s="69"/>
      <c r="K5" s="69"/>
      <c r="L5" s="69"/>
      <c r="M5" s="69"/>
      <c r="N5" s="69"/>
      <c r="O5" s="69"/>
      <c r="P5" s="69"/>
      <c r="Q5" s="69"/>
      <c r="R5" s="69"/>
      <c r="S5" s="69"/>
      <c r="T5" s="69"/>
      <c r="U5" s="69"/>
    </row>
    <row r="6" spans="1:21" x14ac:dyDescent="0.25">
      <c r="A6" s="89" t="s">
        <v>134</v>
      </c>
      <c r="E6" s="69"/>
      <c r="F6" s="69"/>
      <c r="G6" s="69"/>
      <c r="H6" s="69"/>
      <c r="I6" s="69"/>
      <c r="J6" s="69"/>
      <c r="K6" s="69"/>
      <c r="L6" s="69"/>
      <c r="M6" s="69"/>
      <c r="N6" s="69"/>
      <c r="O6" s="69"/>
      <c r="P6" s="69"/>
      <c r="Q6" s="69"/>
      <c r="R6" s="69"/>
      <c r="S6" s="69"/>
      <c r="T6" s="69"/>
      <c r="U6" s="69"/>
    </row>
    <row r="7" spans="1:21" x14ac:dyDescent="0.25">
      <c r="A7" s="89" t="s">
        <v>178</v>
      </c>
      <c r="E7" s="69"/>
      <c r="F7" s="69"/>
      <c r="G7" s="69"/>
      <c r="H7" s="69"/>
      <c r="I7" s="69"/>
      <c r="J7" s="69"/>
      <c r="K7" s="69"/>
      <c r="L7" s="69"/>
      <c r="M7" s="69"/>
      <c r="N7" s="69"/>
      <c r="O7" s="69"/>
      <c r="P7" s="69"/>
      <c r="Q7" s="69"/>
      <c r="R7" s="69"/>
      <c r="S7" s="69"/>
      <c r="T7" s="69"/>
      <c r="U7" s="69"/>
    </row>
    <row r="8" spans="1:21" x14ac:dyDescent="0.25">
      <c r="A8" s="89" t="s">
        <v>179</v>
      </c>
      <c r="E8" s="69"/>
      <c r="F8" s="69"/>
      <c r="G8" s="69"/>
      <c r="H8" s="69"/>
      <c r="I8" s="69"/>
      <c r="J8" s="69"/>
      <c r="K8" s="69"/>
      <c r="L8" s="69"/>
      <c r="M8" s="69"/>
      <c r="N8" s="69"/>
      <c r="O8" s="69"/>
      <c r="P8" s="69"/>
      <c r="Q8" s="69"/>
      <c r="R8" s="69"/>
      <c r="S8" s="69"/>
      <c r="T8" s="69"/>
      <c r="U8" s="69"/>
    </row>
    <row r="9" spans="1:21" ht="20.25" x14ac:dyDescent="0.25">
      <c r="A9" s="89"/>
      <c r="B9" s="89"/>
      <c r="C9" s="91"/>
      <c r="D9" s="91"/>
      <c r="E9" s="69"/>
      <c r="F9" s="69"/>
      <c r="G9" s="69"/>
      <c r="H9" s="69"/>
      <c r="I9" s="69"/>
      <c r="J9" s="69"/>
      <c r="K9" s="69"/>
      <c r="L9" s="69"/>
      <c r="M9" s="69"/>
      <c r="N9" s="69"/>
      <c r="O9" s="69"/>
      <c r="P9" s="69"/>
      <c r="Q9" s="69"/>
      <c r="R9" s="69"/>
      <c r="S9" s="69"/>
      <c r="T9" s="69"/>
      <c r="U9" s="69"/>
    </row>
    <row r="10" spans="1:21" ht="30" x14ac:dyDescent="0.25">
      <c r="A10" s="89"/>
      <c r="B10" s="90"/>
      <c r="C10" s="22" t="s">
        <v>180</v>
      </c>
      <c r="D10" s="22" t="s">
        <v>181</v>
      </c>
      <c r="E10" s="69"/>
      <c r="F10" s="69"/>
      <c r="G10" s="69"/>
      <c r="H10" s="69"/>
      <c r="I10" s="69"/>
      <c r="J10" s="69"/>
      <c r="K10" s="69"/>
      <c r="L10" s="69"/>
      <c r="M10" s="69"/>
      <c r="N10" s="69"/>
      <c r="O10" s="69"/>
      <c r="P10" s="69"/>
      <c r="Q10" s="69"/>
      <c r="R10" s="69"/>
      <c r="S10" s="69"/>
      <c r="T10" s="69"/>
      <c r="U10" s="69"/>
    </row>
    <row r="11" spans="1:21" ht="33.75" x14ac:dyDescent="0.25">
      <c r="A11" s="89"/>
      <c r="B11" s="25" t="s">
        <v>182</v>
      </c>
      <c r="C11" s="30" t="s">
        <v>183</v>
      </c>
      <c r="D11" s="23" t="s">
        <v>184</v>
      </c>
      <c r="E11" s="69"/>
      <c r="F11" s="69"/>
      <c r="G11" s="69"/>
      <c r="H11" s="69"/>
      <c r="I11" s="69"/>
      <c r="J11" s="69"/>
      <c r="K11" s="69"/>
      <c r="L11" s="69"/>
      <c r="M11" s="69"/>
      <c r="N11" s="69"/>
      <c r="O11" s="69"/>
      <c r="P11" s="69"/>
      <c r="Q11" s="69"/>
      <c r="R11" s="69"/>
      <c r="S11" s="69"/>
      <c r="T11" s="69"/>
      <c r="U11" s="69"/>
    </row>
    <row r="12" spans="1:21" ht="114" customHeight="1" x14ac:dyDescent="0.25">
      <c r="A12" s="89"/>
      <c r="B12" s="26" t="s">
        <v>185</v>
      </c>
      <c r="C12" s="31" t="s">
        <v>186</v>
      </c>
      <c r="D12" s="24" t="s">
        <v>187</v>
      </c>
      <c r="E12" s="69"/>
      <c r="F12" s="69"/>
      <c r="G12" s="69"/>
      <c r="H12" s="69"/>
      <c r="I12" s="69"/>
      <c r="J12" s="69"/>
      <c r="K12" s="69"/>
      <c r="L12" s="69"/>
      <c r="M12" s="69"/>
      <c r="N12" s="69"/>
      <c r="O12" s="69"/>
      <c r="P12" s="69"/>
      <c r="Q12" s="69"/>
      <c r="R12" s="69"/>
      <c r="S12" s="69"/>
      <c r="T12" s="69"/>
      <c r="U12" s="69"/>
    </row>
    <row r="13" spans="1:21" ht="67.5" x14ac:dyDescent="0.25">
      <c r="A13" s="89"/>
      <c r="B13" s="27" t="s">
        <v>188</v>
      </c>
      <c r="C13" s="31" t="s">
        <v>189</v>
      </c>
      <c r="D13" s="24" t="s">
        <v>190</v>
      </c>
      <c r="E13" s="69"/>
      <c r="F13" s="69"/>
      <c r="G13" s="69"/>
      <c r="H13" s="69"/>
      <c r="I13" s="69"/>
      <c r="J13" s="69"/>
      <c r="K13" s="69"/>
      <c r="L13" s="69"/>
      <c r="M13" s="69"/>
      <c r="N13" s="69"/>
      <c r="O13" s="69"/>
      <c r="P13" s="69"/>
      <c r="Q13" s="69"/>
      <c r="R13" s="69"/>
      <c r="S13" s="69"/>
      <c r="T13" s="69"/>
      <c r="U13" s="69"/>
    </row>
    <row r="14" spans="1:21" ht="101.25" x14ac:dyDescent="0.25">
      <c r="A14" s="89"/>
      <c r="B14" s="28" t="s">
        <v>191</v>
      </c>
      <c r="C14" s="31" t="s">
        <v>192</v>
      </c>
      <c r="D14" s="24" t="s">
        <v>193</v>
      </c>
      <c r="E14" s="69"/>
      <c r="F14" s="69"/>
      <c r="G14" s="69"/>
      <c r="H14" s="69"/>
      <c r="I14" s="69"/>
      <c r="J14" s="69"/>
      <c r="K14" s="69"/>
      <c r="L14" s="69"/>
      <c r="M14" s="69"/>
      <c r="N14" s="69"/>
      <c r="O14" s="69"/>
      <c r="P14" s="69"/>
      <c r="Q14" s="69"/>
      <c r="R14" s="69"/>
      <c r="S14" s="69"/>
      <c r="T14" s="69"/>
      <c r="U14" s="69"/>
    </row>
    <row r="15" spans="1:21" ht="67.5" x14ac:dyDescent="0.25">
      <c r="A15" s="89"/>
      <c r="B15" s="29" t="s">
        <v>194</v>
      </c>
      <c r="C15" s="31" t="s">
        <v>195</v>
      </c>
      <c r="D15" s="24" t="s">
        <v>196</v>
      </c>
      <c r="E15" s="69"/>
      <c r="F15" s="69"/>
      <c r="G15" s="69"/>
      <c r="H15" s="69"/>
      <c r="I15" s="69"/>
      <c r="J15" s="69"/>
      <c r="K15" s="69"/>
      <c r="L15" s="69"/>
      <c r="M15" s="69"/>
      <c r="N15" s="69"/>
      <c r="O15" s="69"/>
      <c r="P15" s="69"/>
      <c r="Q15" s="69"/>
      <c r="R15" s="69"/>
      <c r="S15" s="69"/>
      <c r="T15" s="69"/>
      <c r="U15" s="69"/>
    </row>
    <row r="16" spans="1:21" x14ac:dyDescent="0.25">
      <c r="A16" s="89"/>
      <c r="B16" s="89"/>
      <c r="C16" s="89"/>
      <c r="D16" s="89"/>
      <c r="E16" s="69"/>
      <c r="F16" s="69"/>
      <c r="G16" s="69"/>
      <c r="H16" s="69"/>
      <c r="I16" s="69"/>
      <c r="J16" s="69"/>
      <c r="K16" s="69"/>
      <c r="L16" s="69"/>
      <c r="M16" s="69"/>
      <c r="N16" s="69"/>
      <c r="O16" s="69"/>
    </row>
    <row r="17" spans="1:15" x14ac:dyDescent="0.25">
      <c r="A17" s="89"/>
      <c r="B17" s="89"/>
      <c r="C17" s="89"/>
      <c r="D17" s="89"/>
      <c r="E17" s="69"/>
      <c r="F17" s="69"/>
      <c r="G17" s="69"/>
      <c r="H17" s="69"/>
      <c r="I17" s="69"/>
      <c r="J17" s="69"/>
      <c r="K17" s="69"/>
      <c r="L17" s="69"/>
      <c r="M17" s="69"/>
      <c r="N17" s="69"/>
      <c r="O17" s="69"/>
    </row>
    <row r="18" spans="1:15" x14ac:dyDescent="0.25">
      <c r="A18" s="89"/>
      <c r="B18" s="92"/>
      <c r="C18" s="92"/>
      <c r="D18" s="92"/>
      <c r="E18" s="69"/>
      <c r="F18" s="69"/>
      <c r="G18" s="69"/>
      <c r="H18" s="69"/>
      <c r="I18" s="69"/>
      <c r="J18" s="69"/>
      <c r="K18" s="69"/>
      <c r="L18" s="69"/>
      <c r="M18" s="69"/>
      <c r="N18" s="69"/>
      <c r="O18" s="69"/>
    </row>
    <row r="19" spans="1:15" x14ac:dyDescent="0.25">
      <c r="A19" s="89"/>
      <c r="B19" s="92"/>
      <c r="C19" s="92"/>
      <c r="D19" s="92"/>
      <c r="E19" s="69"/>
      <c r="F19" s="69"/>
      <c r="G19" s="69"/>
      <c r="H19" s="69"/>
      <c r="I19" s="69"/>
      <c r="J19" s="69"/>
      <c r="K19" s="69"/>
      <c r="L19" s="69"/>
      <c r="M19" s="69"/>
      <c r="N19" s="69"/>
      <c r="O19" s="69"/>
    </row>
    <row r="20" spans="1:15" x14ac:dyDescent="0.25">
      <c r="A20" s="89"/>
      <c r="B20" s="92"/>
      <c r="C20" s="92"/>
      <c r="D20" s="92"/>
      <c r="E20" s="69"/>
      <c r="F20" s="69"/>
      <c r="G20" s="69"/>
      <c r="H20" s="69"/>
      <c r="I20" s="69"/>
      <c r="J20" s="69"/>
      <c r="K20" s="69"/>
      <c r="L20" s="69"/>
      <c r="M20" s="69"/>
      <c r="N20" s="69"/>
      <c r="O20" s="69"/>
    </row>
    <row r="21" spans="1:15" x14ac:dyDescent="0.25">
      <c r="A21" s="89"/>
      <c r="B21" s="92"/>
      <c r="C21" s="92"/>
      <c r="D21" s="92"/>
      <c r="E21" s="69"/>
      <c r="F21" s="69"/>
      <c r="G21" s="69"/>
      <c r="H21" s="69"/>
      <c r="I21" s="69"/>
      <c r="J21" s="69"/>
      <c r="K21" s="69"/>
      <c r="L21" s="69"/>
      <c r="M21" s="69"/>
      <c r="N21" s="69"/>
      <c r="O21" s="69"/>
    </row>
    <row r="22" spans="1:15" ht="20.25" x14ac:dyDescent="0.25">
      <c r="A22" s="89"/>
      <c r="B22" s="89"/>
      <c r="C22" s="91"/>
      <c r="D22" s="91"/>
      <c r="E22" s="69"/>
      <c r="F22" s="69"/>
      <c r="G22" s="69"/>
      <c r="H22" s="69"/>
      <c r="I22" s="69"/>
      <c r="J22" s="69"/>
      <c r="K22" s="69"/>
      <c r="L22" s="69"/>
      <c r="M22" s="69"/>
      <c r="N22" s="69"/>
      <c r="O22" s="69"/>
    </row>
    <row r="23" spans="1:15" ht="20.25" x14ac:dyDescent="0.25">
      <c r="A23" s="89"/>
      <c r="B23" s="89"/>
      <c r="C23" s="91"/>
      <c r="D23" s="91"/>
      <c r="E23" s="69"/>
      <c r="F23" s="69"/>
      <c r="G23" s="69"/>
      <c r="H23" s="69"/>
      <c r="I23" s="69"/>
      <c r="J23" s="69"/>
      <c r="K23" s="69"/>
      <c r="L23" s="69"/>
      <c r="M23" s="69"/>
      <c r="N23" s="69"/>
      <c r="O23" s="69"/>
    </row>
    <row r="24" spans="1:15" ht="20.25" x14ac:dyDescent="0.25">
      <c r="A24" s="89"/>
      <c r="B24" s="89"/>
      <c r="C24" s="91"/>
      <c r="D24" s="91"/>
      <c r="E24" s="69"/>
      <c r="F24" s="69"/>
      <c r="G24" s="69"/>
      <c r="H24" s="69"/>
      <c r="I24" s="69"/>
      <c r="J24" s="69"/>
      <c r="K24" s="69"/>
      <c r="L24" s="69"/>
      <c r="M24" s="69"/>
      <c r="N24" s="69"/>
      <c r="O24" s="69"/>
    </row>
    <row r="25" spans="1:15" ht="20.25" x14ac:dyDescent="0.25">
      <c r="A25" s="89"/>
      <c r="B25" s="89"/>
      <c r="C25" s="91"/>
      <c r="D25" s="91"/>
      <c r="E25" s="69"/>
      <c r="F25" s="69"/>
      <c r="G25" s="69"/>
      <c r="H25" s="69"/>
      <c r="I25" s="69"/>
      <c r="J25" s="69"/>
      <c r="K25" s="69"/>
      <c r="L25" s="69"/>
      <c r="M25" s="69"/>
      <c r="N25" s="69"/>
      <c r="O25" s="69"/>
    </row>
    <row r="26" spans="1:15" ht="20.25" x14ac:dyDescent="0.25">
      <c r="A26" s="89"/>
      <c r="B26" s="89"/>
      <c r="C26" s="91"/>
      <c r="D26" s="91"/>
      <c r="E26" s="69"/>
      <c r="F26" s="69"/>
      <c r="G26" s="69"/>
      <c r="H26" s="69"/>
      <c r="I26" s="69"/>
      <c r="J26" s="69"/>
      <c r="K26" s="69"/>
      <c r="L26" s="69"/>
      <c r="M26" s="69"/>
      <c r="N26" s="69"/>
      <c r="O26" s="69"/>
    </row>
    <row r="27" spans="1:15" ht="20.25" x14ac:dyDescent="0.25">
      <c r="A27" s="89"/>
      <c r="B27" s="89"/>
      <c r="C27" s="91"/>
      <c r="D27" s="91"/>
      <c r="E27" s="69"/>
      <c r="F27" s="69"/>
      <c r="G27" s="69"/>
      <c r="H27" s="69"/>
      <c r="I27" s="69"/>
      <c r="J27" s="69"/>
      <c r="K27" s="69"/>
      <c r="L27" s="69"/>
      <c r="M27" s="69"/>
      <c r="N27" s="69"/>
      <c r="O27" s="69"/>
    </row>
    <row r="28" spans="1:15" ht="20.25" x14ac:dyDescent="0.25">
      <c r="A28" s="89"/>
      <c r="B28" s="89"/>
      <c r="C28" s="91"/>
      <c r="D28" s="91"/>
      <c r="E28" s="69"/>
      <c r="F28" s="69"/>
      <c r="G28" s="69"/>
      <c r="H28" s="69"/>
      <c r="I28" s="69"/>
      <c r="J28" s="69"/>
      <c r="K28" s="69"/>
      <c r="L28" s="69"/>
      <c r="M28" s="69"/>
      <c r="N28" s="69"/>
      <c r="O28" s="69"/>
    </row>
    <row r="29" spans="1:15" ht="20.25" x14ac:dyDescent="0.25">
      <c r="A29" s="89"/>
      <c r="B29" s="89"/>
      <c r="C29" s="91"/>
      <c r="D29" s="91"/>
      <c r="E29" s="69"/>
      <c r="F29" s="69"/>
      <c r="G29" s="69"/>
      <c r="H29" s="69"/>
      <c r="I29" s="69"/>
      <c r="J29" s="69"/>
      <c r="K29" s="69"/>
      <c r="L29" s="69"/>
      <c r="M29" s="69"/>
      <c r="N29" s="69"/>
      <c r="O29" s="69"/>
    </row>
    <row r="30" spans="1:15" ht="20.25" x14ac:dyDescent="0.25">
      <c r="A30" s="89"/>
      <c r="B30" s="89"/>
      <c r="C30" s="91"/>
      <c r="D30" s="91"/>
      <c r="E30" s="69"/>
      <c r="F30" s="69"/>
      <c r="G30" s="69"/>
      <c r="H30" s="69"/>
      <c r="I30" s="69"/>
      <c r="J30" s="69"/>
      <c r="K30" s="69"/>
      <c r="L30" s="69"/>
      <c r="M30" s="69"/>
      <c r="N30" s="69"/>
      <c r="O30" s="69"/>
    </row>
    <row r="31" spans="1:15" ht="20.25" x14ac:dyDescent="0.25">
      <c r="A31" s="89"/>
      <c r="B31" s="89"/>
      <c r="C31" s="91"/>
      <c r="D31" s="91"/>
      <c r="E31" s="69"/>
      <c r="F31" s="69"/>
      <c r="G31" s="69"/>
      <c r="H31" s="69"/>
      <c r="I31" s="69"/>
      <c r="J31" s="69"/>
      <c r="K31" s="69"/>
      <c r="L31" s="69"/>
      <c r="M31" s="69"/>
      <c r="N31" s="69"/>
      <c r="O31" s="69"/>
    </row>
    <row r="32" spans="1:15" ht="20.25" x14ac:dyDescent="0.25">
      <c r="A32" s="89"/>
      <c r="B32" s="89"/>
      <c r="C32" s="91"/>
      <c r="D32" s="91"/>
      <c r="E32" s="69"/>
      <c r="F32" s="69"/>
      <c r="G32" s="69"/>
      <c r="H32" s="69"/>
      <c r="I32" s="69"/>
      <c r="J32" s="69"/>
      <c r="K32" s="69"/>
      <c r="L32" s="69"/>
      <c r="M32" s="69"/>
      <c r="N32" s="69"/>
      <c r="O32" s="69"/>
    </row>
    <row r="33" spans="1:15" ht="20.25" x14ac:dyDescent="0.25">
      <c r="A33" s="89"/>
      <c r="B33" s="89"/>
      <c r="C33" s="91"/>
      <c r="D33" s="91"/>
      <c r="E33" s="69"/>
      <c r="F33" s="69"/>
      <c r="G33" s="69"/>
      <c r="H33" s="69"/>
      <c r="I33" s="69"/>
      <c r="J33" s="69"/>
      <c r="K33" s="69"/>
      <c r="L33" s="69"/>
      <c r="M33" s="69"/>
      <c r="N33" s="69"/>
      <c r="O33" s="69"/>
    </row>
    <row r="34" spans="1:15" ht="20.25" x14ac:dyDescent="0.25">
      <c r="A34" s="89"/>
      <c r="B34" s="89"/>
      <c r="C34" s="91"/>
      <c r="D34" s="91"/>
      <c r="E34" s="69"/>
      <c r="F34" s="69"/>
      <c r="G34" s="69"/>
      <c r="H34" s="69"/>
      <c r="I34" s="69"/>
      <c r="J34" s="69"/>
      <c r="K34" s="69"/>
      <c r="L34" s="69"/>
      <c r="M34" s="69"/>
      <c r="N34" s="69"/>
      <c r="O34" s="69"/>
    </row>
    <row r="35" spans="1:15" ht="20.25" x14ac:dyDescent="0.25">
      <c r="A35" s="89"/>
      <c r="B35" s="89"/>
      <c r="C35" s="91"/>
      <c r="D35" s="91"/>
      <c r="E35" s="69"/>
      <c r="F35" s="69"/>
      <c r="G35" s="69"/>
      <c r="H35" s="69"/>
      <c r="I35" s="69"/>
      <c r="J35" s="69"/>
      <c r="K35" s="69"/>
      <c r="L35" s="69"/>
      <c r="M35" s="69"/>
      <c r="N35" s="69"/>
      <c r="O35" s="69"/>
    </row>
    <row r="36" spans="1:15" ht="20.25" x14ac:dyDescent="0.25">
      <c r="A36" s="89"/>
      <c r="B36" s="89"/>
      <c r="C36" s="91"/>
      <c r="D36" s="91"/>
      <c r="E36" s="69"/>
      <c r="F36" s="69"/>
      <c r="G36" s="69"/>
      <c r="H36" s="69"/>
      <c r="I36" s="69"/>
      <c r="J36" s="69"/>
      <c r="K36" s="69"/>
      <c r="L36" s="69"/>
      <c r="M36" s="69"/>
      <c r="N36" s="69"/>
      <c r="O36" s="69"/>
    </row>
    <row r="37" spans="1:15" ht="20.25" x14ac:dyDescent="0.25">
      <c r="A37" s="89"/>
      <c r="B37" s="89"/>
      <c r="C37" s="91"/>
      <c r="D37" s="91"/>
      <c r="E37" s="69"/>
      <c r="F37" s="69"/>
      <c r="G37" s="69"/>
      <c r="H37" s="69"/>
      <c r="I37" s="69"/>
      <c r="J37" s="69"/>
      <c r="K37" s="69"/>
      <c r="L37" s="69"/>
      <c r="M37" s="69"/>
      <c r="N37" s="69"/>
      <c r="O37" s="69"/>
    </row>
    <row r="38" spans="1:15" ht="20.25" x14ac:dyDescent="0.25">
      <c r="A38" s="89"/>
      <c r="B38" s="89"/>
      <c r="C38" s="91"/>
      <c r="D38" s="91"/>
      <c r="E38" s="69"/>
      <c r="F38" s="69"/>
      <c r="G38" s="69"/>
      <c r="H38" s="69"/>
      <c r="I38" s="69"/>
      <c r="J38" s="69"/>
      <c r="K38" s="69"/>
      <c r="L38" s="69"/>
      <c r="M38" s="69"/>
      <c r="N38" s="69"/>
      <c r="O38" s="69"/>
    </row>
    <row r="39" spans="1:15" ht="20.25" x14ac:dyDescent="0.25">
      <c r="A39" s="89"/>
      <c r="B39" s="89"/>
      <c r="C39" s="91"/>
      <c r="D39" s="91"/>
      <c r="E39" s="69"/>
      <c r="F39" s="69"/>
      <c r="G39" s="69"/>
      <c r="H39" s="69"/>
      <c r="I39" s="69"/>
      <c r="J39" s="69"/>
      <c r="K39" s="69"/>
      <c r="L39" s="69"/>
      <c r="M39" s="69"/>
      <c r="N39" s="69"/>
      <c r="O39" s="69"/>
    </row>
    <row r="40" spans="1:15" ht="20.25" x14ac:dyDescent="0.25">
      <c r="A40" s="89"/>
      <c r="B40" s="89"/>
      <c r="C40" s="91"/>
      <c r="D40" s="91"/>
      <c r="E40" s="69"/>
      <c r="F40" s="69"/>
      <c r="G40" s="69"/>
      <c r="H40" s="69"/>
      <c r="I40" s="69"/>
      <c r="J40" s="69"/>
      <c r="K40" s="69"/>
      <c r="L40" s="69"/>
      <c r="M40" s="69"/>
      <c r="N40" s="69"/>
      <c r="O40" s="69"/>
    </row>
    <row r="41" spans="1:15" ht="20.25" x14ac:dyDescent="0.25">
      <c r="A41" s="89"/>
      <c r="B41" s="89"/>
      <c r="C41" s="91"/>
      <c r="D41" s="91"/>
      <c r="E41" s="69"/>
      <c r="F41" s="69"/>
      <c r="G41" s="69"/>
      <c r="H41" s="69"/>
      <c r="I41" s="69"/>
      <c r="J41" s="69"/>
      <c r="K41" s="69"/>
      <c r="L41" s="69"/>
      <c r="M41" s="69"/>
      <c r="N41" s="69"/>
      <c r="O41" s="69"/>
    </row>
    <row r="42" spans="1:15" ht="20.25" x14ac:dyDescent="0.25">
      <c r="A42" s="89"/>
      <c r="B42" s="89"/>
      <c r="C42" s="91"/>
      <c r="D42" s="91"/>
      <c r="E42" s="69"/>
      <c r="F42" s="69"/>
      <c r="G42" s="69"/>
      <c r="H42" s="69"/>
      <c r="I42" s="69"/>
      <c r="J42" s="69"/>
      <c r="K42" s="69"/>
      <c r="L42" s="69"/>
      <c r="M42" s="69"/>
      <c r="N42" s="69"/>
      <c r="O42" s="69"/>
    </row>
    <row r="43" spans="1:15" ht="20.25" x14ac:dyDescent="0.25">
      <c r="A43" s="89"/>
      <c r="B43" s="89"/>
      <c r="C43" s="91"/>
      <c r="D43" s="91"/>
      <c r="E43" s="69"/>
      <c r="F43" s="69"/>
      <c r="G43" s="69"/>
      <c r="H43" s="69"/>
      <c r="I43" s="69"/>
      <c r="J43" s="69"/>
      <c r="K43" s="69"/>
      <c r="L43" s="69"/>
      <c r="M43" s="69"/>
      <c r="N43" s="69"/>
      <c r="O43" s="69"/>
    </row>
    <row r="44" spans="1:15" ht="20.25" x14ac:dyDescent="0.25">
      <c r="A44" s="89"/>
      <c r="B44" s="89"/>
      <c r="C44" s="91"/>
      <c r="D44" s="91"/>
      <c r="E44" s="69"/>
      <c r="F44" s="69"/>
      <c r="G44" s="69"/>
      <c r="H44" s="69"/>
      <c r="I44" s="69"/>
      <c r="J44" s="69"/>
      <c r="K44" s="69"/>
      <c r="L44" s="69"/>
      <c r="M44" s="69"/>
      <c r="N44" s="69"/>
      <c r="O44" s="69"/>
    </row>
    <row r="45" spans="1:15" ht="20.25" x14ac:dyDescent="0.25">
      <c r="A45" s="89"/>
      <c r="B45" s="89"/>
      <c r="C45" s="91"/>
      <c r="D45" s="91"/>
      <c r="E45" s="69"/>
      <c r="F45" s="69"/>
      <c r="G45" s="69"/>
      <c r="H45" s="69"/>
      <c r="I45" s="69"/>
      <c r="J45" s="69"/>
      <c r="K45" s="69"/>
      <c r="L45" s="69"/>
      <c r="M45" s="69"/>
      <c r="N45" s="69"/>
      <c r="O45" s="69"/>
    </row>
    <row r="46" spans="1:15" ht="20.25" x14ac:dyDescent="0.25">
      <c r="A46" s="89"/>
      <c r="B46" s="89"/>
      <c r="C46" s="91"/>
      <c r="D46" s="91"/>
      <c r="E46" s="69"/>
      <c r="F46" s="69"/>
      <c r="G46" s="69"/>
      <c r="H46" s="69"/>
      <c r="I46" s="69"/>
      <c r="J46" s="69"/>
      <c r="K46" s="69"/>
      <c r="L46" s="69"/>
      <c r="M46" s="69"/>
      <c r="N46" s="69"/>
      <c r="O46" s="69"/>
    </row>
    <row r="47" spans="1:15" ht="20.25" x14ac:dyDescent="0.25">
      <c r="A47" s="89"/>
      <c r="B47" s="89"/>
      <c r="C47" s="91"/>
      <c r="D47" s="91"/>
      <c r="E47" s="69"/>
      <c r="F47" s="69"/>
      <c r="G47" s="69"/>
      <c r="H47" s="69"/>
      <c r="I47" s="69"/>
      <c r="J47" s="69"/>
      <c r="K47" s="69"/>
      <c r="L47" s="69"/>
      <c r="M47" s="69"/>
      <c r="N47" s="69"/>
      <c r="O47" s="69"/>
    </row>
    <row r="48" spans="1:15" ht="20.25" x14ac:dyDescent="0.25">
      <c r="A48" s="89"/>
      <c r="B48" s="89"/>
      <c r="C48" s="91"/>
      <c r="D48" s="91"/>
      <c r="E48" s="69"/>
      <c r="F48" s="69"/>
      <c r="G48" s="69"/>
      <c r="H48" s="69"/>
      <c r="I48" s="69"/>
      <c r="J48" s="69"/>
      <c r="K48" s="69"/>
      <c r="L48" s="69"/>
      <c r="M48" s="69"/>
      <c r="N48" s="69"/>
      <c r="O48" s="69"/>
    </row>
    <row r="49" spans="1:15" ht="20.25" x14ac:dyDescent="0.25">
      <c r="A49" s="89"/>
      <c r="B49" s="89"/>
      <c r="C49" s="91"/>
      <c r="D49" s="91"/>
      <c r="E49" s="69"/>
      <c r="F49" s="69"/>
      <c r="G49" s="69"/>
      <c r="H49" s="69"/>
      <c r="I49" s="69"/>
      <c r="J49" s="69"/>
      <c r="K49" s="69"/>
      <c r="L49" s="69"/>
      <c r="M49" s="69"/>
      <c r="N49" s="69"/>
      <c r="O49" s="69"/>
    </row>
    <row r="50" spans="1:15" ht="20.25" x14ac:dyDescent="0.25">
      <c r="A50" s="89"/>
      <c r="B50" s="89"/>
      <c r="C50" s="91"/>
      <c r="D50" s="91"/>
      <c r="E50" s="69"/>
      <c r="F50" s="69"/>
      <c r="G50" s="69"/>
      <c r="H50" s="69"/>
      <c r="I50" s="69"/>
      <c r="J50" s="69"/>
      <c r="K50" s="69"/>
      <c r="L50" s="69"/>
      <c r="M50" s="69"/>
      <c r="N50" s="69"/>
      <c r="O50" s="69"/>
    </row>
    <row r="51" spans="1:15" ht="20.25" x14ac:dyDescent="0.25">
      <c r="A51" s="89"/>
      <c r="B51" s="89"/>
      <c r="C51" s="91"/>
      <c r="D51" s="91"/>
      <c r="E51" s="69"/>
      <c r="F51" s="69"/>
      <c r="G51" s="69"/>
      <c r="H51" s="69"/>
      <c r="I51" s="69"/>
      <c r="J51" s="69"/>
      <c r="K51" s="69"/>
      <c r="L51" s="69"/>
      <c r="M51" s="69"/>
      <c r="N51" s="69"/>
      <c r="O51" s="69"/>
    </row>
    <row r="52" spans="1:15" ht="20.25" x14ac:dyDescent="0.25">
      <c r="A52" s="89"/>
      <c r="B52" s="15"/>
      <c r="C52" s="20"/>
      <c r="D52" s="20"/>
    </row>
    <row r="53" spans="1:15" ht="20.25" x14ac:dyDescent="0.25">
      <c r="A53" s="89"/>
      <c r="B53" s="15"/>
      <c r="C53" s="20"/>
      <c r="D53" s="20"/>
    </row>
    <row r="54" spans="1:15" ht="20.25" x14ac:dyDescent="0.25">
      <c r="A54" s="89"/>
      <c r="B54" s="15"/>
      <c r="C54" s="20"/>
      <c r="D54" s="20"/>
    </row>
    <row r="55" spans="1:15" ht="20.25" x14ac:dyDescent="0.25">
      <c r="A55" s="89"/>
      <c r="B55" s="15"/>
      <c r="C55" s="20"/>
      <c r="D55" s="20"/>
    </row>
    <row r="56" spans="1:15" ht="20.25" x14ac:dyDescent="0.25">
      <c r="A56" s="89"/>
      <c r="B56" s="15"/>
      <c r="C56" s="20"/>
      <c r="D56" s="20"/>
    </row>
    <row r="57" spans="1:15" ht="20.25" x14ac:dyDescent="0.25">
      <c r="A57" s="89"/>
      <c r="B57" s="15"/>
      <c r="C57" s="20"/>
      <c r="D57" s="20"/>
    </row>
    <row r="58" spans="1:15" ht="20.25" x14ac:dyDescent="0.25">
      <c r="A58" s="89"/>
      <c r="B58" s="15"/>
      <c r="C58" s="20"/>
      <c r="D58" s="20"/>
    </row>
    <row r="59" spans="1:15" ht="20.25" x14ac:dyDescent="0.25">
      <c r="A59" s="89"/>
      <c r="B59" s="15"/>
      <c r="C59" s="20"/>
      <c r="D59" s="20"/>
    </row>
    <row r="60" spans="1:15" ht="20.25" x14ac:dyDescent="0.25">
      <c r="A60" s="89"/>
      <c r="B60" s="15"/>
      <c r="C60" s="20"/>
      <c r="D60" s="20"/>
    </row>
    <row r="61" spans="1:15" ht="20.25" x14ac:dyDescent="0.25">
      <c r="A61" s="89"/>
      <c r="B61" s="15"/>
      <c r="C61" s="20"/>
      <c r="D61" s="20"/>
    </row>
    <row r="62" spans="1:15" ht="20.25" x14ac:dyDescent="0.25">
      <c r="A62" s="89"/>
      <c r="B62" s="15"/>
      <c r="C62" s="20"/>
      <c r="D62" s="20"/>
    </row>
    <row r="63" spans="1:15" ht="20.25" x14ac:dyDescent="0.25">
      <c r="A63" s="89"/>
      <c r="B63" s="15"/>
      <c r="C63" s="20"/>
      <c r="D63" s="20"/>
    </row>
    <row r="64" spans="1:15" ht="20.25" x14ac:dyDescent="0.25">
      <c r="A64" s="89"/>
      <c r="B64" s="15"/>
      <c r="C64" s="20"/>
      <c r="D64" s="20"/>
    </row>
    <row r="65" spans="1:4" ht="20.25" x14ac:dyDescent="0.25">
      <c r="A65" s="89"/>
      <c r="B65" s="15"/>
      <c r="C65" s="20"/>
      <c r="D65" s="20"/>
    </row>
    <row r="66" spans="1:4" ht="20.25" x14ac:dyDescent="0.25">
      <c r="A66" s="89"/>
      <c r="B66" s="15"/>
      <c r="C66" s="20"/>
      <c r="D66" s="20"/>
    </row>
    <row r="67" spans="1:4" ht="20.25" x14ac:dyDescent="0.25">
      <c r="A67" s="89"/>
      <c r="B67" s="15"/>
      <c r="C67" s="20"/>
      <c r="D67" s="20"/>
    </row>
    <row r="68" spans="1:4" ht="20.25" x14ac:dyDescent="0.25">
      <c r="A68" s="89"/>
      <c r="B68" s="15"/>
      <c r="C68" s="20"/>
      <c r="D68" s="20"/>
    </row>
    <row r="69" spans="1:4" ht="20.25" x14ac:dyDescent="0.25">
      <c r="A69" s="89"/>
      <c r="B69" s="15"/>
      <c r="C69" s="20"/>
      <c r="D69" s="20"/>
    </row>
    <row r="70" spans="1:4" ht="20.25" x14ac:dyDescent="0.25">
      <c r="A70" s="89"/>
      <c r="B70" s="15"/>
      <c r="C70" s="20"/>
      <c r="D70" s="20"/>
    </row>
    <row r="71" spans="1:4" ht="20.25" x14ac:dyDescent="0.25">
      <c r="A71" s="89"/>
      <c r="B71" s="15"/>
      <c r="C71" s="20"/>
      <c r="D71" s="20"/>
    </row>
    <row r="72" spans="1:4" ht="20.25" x14ac:dyDescent="0.25">
      <c r="A72" s="89"/>
      <c r="B72" s="15"/>
      <c r="C72" s="20"/>
      <c r="D72" s="20"/>
    </row>
    <row r="73" spans="1:4" ht="20.25" x14ac:dyDescent="0.25">
      <c r="A73" s="89"/>
      <c r="B73" s="15"/>
      <c r="C73" s="20"/>
      <c r="D73" s="20"/>
    </row>
    <row r="74" spans="1:4" ht="20.25" x14ac:dyDescent="0.25">
      <c r="A74" s="89"/>
      <c r="B74" s="15"/>
      <c r="C74" s="20"/>
      <c r="D74" s="20"/>
    </row>
    <row r="75" spans="1:4" ht="20.25" x14ac:dyDescent="0.25">
      <c r="A75" s="89"/>
      <c r="B75" s="15"/>
      <c r="C75" s="20"/>
      <c r="D75" s="20"/>
    </row>
    <row r="76" spans="1:4" ht="20.25" x14ac:dyDescent="0.25">
      <c r="A76" s="89"/>
      <c r="B76" s="15"/>
      <c r="C76" s="20"/>
      <c r="D76" s="20"/>
    </row>
    <row r="77" spans="1:4" ht="20.25" x14ac:dyDescent="0.25">
      <c r="A77" s="89"/>
      <c r="B77" s="15"/>
      <c r="C77" s="20"/>
      <c r="D77" s="20"/>
    </row>
    <row r="78" spans="1:4" ht="20.25" x14ac:dyDescent="0.25">
      <c r="A78" s="89"/>
      <c r="B78" s="15"/>
      <c r="C78" s="20"/>
      <c r="D78" s="20"/>
    </row>
    <row r="79" spans="1:4" ht="20.25" x14ac:dyDescent="0.25">
      <c r="A79" s="89"/>
      <c r="B79" s="15"/>
      <c r="C79" s="20"/>
      <c r="D79" s="20"/>
    </row>
    <row r="80" spans="1:4" ht="20.25" x14ac:dyDescent="0.25">
      <c r="A80" s="89"/>
      <c r="B80" s="15"/>
      <c r="C80" s="20"/>
      <c r="D80" s="20"/>
    </row>
    <row r="81" spans="1:4" ht="20.25" x14ac:dyDescent="0.25">
      <c r="A81" s="89"/>
      <c r="B81" s="15"/>
      <c r="C81" s="20"/>
      <c r="D81" s="20"/>
    </row>
    <row r="82" spans="1:4" ht="20.25" x14ac:dyDescent="0.25">
      <c r="A82" s="89"/>
      <c r="B82" s="15"/>
      <c r="C82" s="20"/>
      <c r="D82" s="20"/>
    </row>
    <row r="83" spans="1:4" ht="20.25" x14ac:dyDescent="0.25">
      <c r="A83" s="89"/>
      <c r="B83" s="15"/>
      <c r="C83" s="20"/>
      <c r="D83" s="20"/>
    </row>
    <row r="84" spans="1:4" ht="20.25" x14ac:dyDescent="0.25">
      <c r="A84" s="89"/>
      <c r="B84" s="15"/>
      <c r="C84" s="20"/>
      <c r="D84" s="20"/>
    </row>
    <row r="85" spans="1:4" ht="20.25" x14ac:dyDescent="0.25">
      <c r="A85" s="89"/>
      <c r="B85" s="15"/>
      <c r="C85" s="20"/>
      <c r="D85" s="20"/>
    </row>
    <row r="86" spans="1:4" ht="20.25" x14ac:dyDescent="0.25">
      <c r="A86" s="89"/>
      <c r="B86" s="15"/>
      <c r="C86" s="20"/>
      <c r="D86" s="20"/>
    </row>
    <row r="87" spans="1:4" ht="20.25" x14ac:dyDescent="0.25">
      <c r="A87" s="89"/>
      <c r="B87" s="15"/>
      <c r="C87" s="20"/>
      <c r="D87" s="20"/>
    </row>
    <row r="88" spans="1:4" ht="20.25" x14ac:dyDescent="0.25">
      <c r="A88" s="89"/>
      <c r="B88" s="15"/>
      <c r="C88" s="20"/>
      <c r="D88" s="20"/>
    </row>
    <row r="89" spans="1:4" ht="20.25" x14ac:dyDescent="0.25">
      <c r="A89" s="89"/>
      <c r="B89" s="15"/>
      <c r="C89" s="20"/>
      <c r="D89" s="20"/>
    </row>
    <row r="90" spans="1:4" ht="20.25" x14ac:dyDescent="0.25">
      <c r="A90" s="89"/>
      <c r="B90" s="15"/>
      <c r="C90" s="20"/>
      <c r="D90" s="20"/>
    </row>
    <row r="91" spans="1:4" ht="20.25" x14ac:dyDescent="0.25">
      <c r="A91" s="89"/>
      <c r="B91" s="15"/>
      <c r="C91" s="20"/>
      <c r="D91" s="20"/>
    </row>
    <row r="92" spans="1:4" ht="20.25" x14ac:dyDescent="0.25">
      <c r="A92" s="89"/>
      <c r="B92" s="15"/>
      <c r="C92" s="20"/>
      <c r="D92" s="20"/>
    </row>
    <row r="93" spans="1:4" ht="20.25" x14ac:dyDescent="0.25">
      <c r="A93" s="89"/>
      <c r="B93" s="15"/>
      <c r="C93" s="20"/>
      <c r="D93" s="20"/>
    </row>
    <row r="94" spans="1:4" ht="20.25" x14ac:dyDescent="0.25">
      <c r="A94" s="89"/>
      <c r="B94" s="15"/>
      <c r="C94" s="20"/>
      <c r="D94" s="20"/>
    </row>
    <row r="95" spans="1:4" ht="20.25" x14ac:dyDescent="0.25">
      <c r="A95" s="89"/>
      <c r="B95" s="15"/>
      <c r="C95" s="20"/>
      <c r="D95" s="20"/>
    </row>
    <row r="96" spans="1:4" ht="20.25" x14ac:dyDescent="0.25">
      <c r="A96" s="89"/>
      <c r="B96" s="15"/>
      <c r="C96" s="20"/>
      <c r="D96" s="20"/>
    </row>
    <row r="97" spans="1:4" ht="20.25" x14ac:dyDescent="0.25">
      <c r="A97" s="89"/>
      <c r="B97" s="15"/>
      <c r="C97" s="20"/>
      <c r="D97" s="20"/>
    </row>
    <row r="98" spans="1:4" ht="20.25" x14ac:dyDescent="0.25">
      <c r="A98" s="89"/>
      <c r="B98" s="15"/>
      <c r="C98" s="20"/>
      <c r="D98" s="20"/>
    </row>
    <row r="99" spans="1:4" ht="20.25" x14ac:dyDescent="0.25">
      <c r="A99" s="89"/>
      <c r="B99" s="15"/>
      <c r="C99" s="20"/>
      <c r="D99" s="20"/>
    </row>
    <row r="100" spans="1:4" ht="20.25" x14ac:dyDescent="0.25">
      <c r="A100" s="89"/>
      <c r="B100" s="15"/>
      <c r="C100" s="20"/>
      <c r="D100" s="20"/>
    </row>
    <row r="101" spans="1:4" ht="20.25" x14ac:dyDescent="0.25">
      <c r="A101" s="89"/>
      <c r="B101" s="15"/>
      <c r="C101" s="20"/>
      <c r="D101" s="20"/>
    </row>
    <row r="102" spans="1:4" ht="20.25" x14ac:dyDescent="0.25">
      <c r="A102" s="89"/>
      <c r="B102" s="15"/>
      <c r="C102" s="20"/>
      <c r="D102" s="20"/>
    </row>
    <row r="103" spans="1:4" ht="20.25" x14ac:dyDescent="0.25">
      <c r="A103" s="89"/>
      <c r="B103" s="15"/>
      <c r="C103" s="20"/>
      <c r="D103" s="20"/>
    </row>
    <row r="104" spans="1:4" ht="20.25" x14ac:dyDescent="0.25">
      <c r="A104" s="89"/>
      <c r="B104" s="15"/>
      <c r="C104" s="20"/>
      <c r="D104" s="20"/>
    </row>
    <row r="105" spans="1:4" ht="20.25" x14ac:dyDescent="0.25">
      <c r="A105" s="89"/>
      <c r="B105" s="15"/>
      <c r="C105" s="20"/>
      <c r="D105" s="20"/>
    </row>
    <row r="106" spans="1:4" ht="20.25" x14ac:dyDescent="0.25">
      <c r="A106" s="89"/>
      <c r="B106" s="15"/>
      <c r="C106" s="20"/>
      <c r="D106" s="20"/>
    </row>
    <row r="107" spans="1:4" ht="20.25" x14ac:dyDescent="0.25">
      <c r="A107" s="89"/>
      <c r="B107" s="15"/>
      <c r="C107" s="20"/>
      <c r="D107" s="20"/>
    </row>
    <row r="108" spans="1:4" ht="20.25" x14ac:dyDescent="0.25">
      <c r="A108" s="89"/>
      <c r="B108" s="15"/>
      <c r="C108" s="20"/>
      <c r="D108" s="20"/>
    </row>
    <row r="109" spans="1:4" ht="20.25" x14ac:dyDescent="0.25">
      <c r="A109" s="89"/>
      <c r="B109" s="15"/>
      <c r="C109" s="20"/>
      <c r="D109" s="20"/>
    </row>
    <row r="110" spans="1:4" ht="20.25" x14ac:dyDescent="0.25">
      <c r="A110" s="89"/>
      <c r="B110" s="15"/>
      <c r="C110" s="20"/>
      <c r="D110" s="20"/>
    </row>
    <row r="111" spans="1:4" ht="20.25" x14ac:dyDescent="0.25">
      <c r="A111" s="89"/>
      <c r="B111" s="15"/>
      <c r="C111" s="20"/>
      <c r="D111" s="20"/>
    </row>
    <row r="112" spans="1:4" ht="20.25" x14ac:dyDescent="0.25">
      <c r="A112" s="89"/>
      <c r="B112" s="15"/>
      <c r="C112" s="20"/>
      <c r="D112" s="20"/>
    </row>
    <row r="113" spans="1:4" ht="20.25" x14ac:dyDescent="0.25">
      <c r="A113" s="89"/>
      <c r="B113" s="15"/>
      <c r="C113" s="20"/>
      <c r="D113" s="20"/>
    </row>
    <row r="114" spans="1:4" ht="20.25" x14ac:dyDescent="0.25">
      <c r="A114" s="89"/>
      <c r="B114" s="15"/>
      <c r="C114" s="20"/>
      <c r="D114" s="20"/>
    </row>
    <row r="115" spans="1:4" ht="20.25" x14ac:dyDescent="0.25">
      <c r="A115" s="89"/>
      <c r="B115" s="15"/>
      <c r="C115" s="20"/>
      <c r="D115" s="20"/>
    </row>
    <row r="116" spans="1:4" ht="20.25" x14ac:dyDescent="0.25">
      <c r="A116" s="89"/>
      <c r="B116" s="15"/>
      <c r="C116" s="20"/>
      <c r="D116" s="20"/>
    </row>
    <row r="117" spans="1:4" ht="20.25" x14ac:dyDescent="0.25">
      <c r="A117" s="89"/>
      <c r="B117" s="15"/>
      <c r="C117" s="20"/>
      <c r="D117" s="20"/>
    </row>
    <row r="118" spans="1:4" ht="20.25" x14ac:dyDescent="0.25">
      <c r="A118" s="89"/>
      <c r="B118" s="15"/>
      <c r="C118" s="20"/>
      <c r="D118" s="20"/>
    </row>
    <row r="119" spans="1:4" ht="20.25" x14ac:dyDescent="0.25">
      <c r="A119" s="89"/>
      <c r="B119" s="15"/>
      <c r="C119" s="20"/>
      <c r="D119" s="20"/>
    </row>
    <row r="120" spans="1:4" ht="20.25" x14ac:dyDescent="0.25">
      <c r="A120" s="89"/>
      <c r="B120" s="15"/>
      <c r="C120" s="20"/>
      <c r="D120" s="20"/>
    </row>
    <row r="121" spans="1:4" ht="20.25" x14ac:dyDescent="0.25">
      <c r="A121" s="89"/>
      <c r="B121" s="15"/>
      <c r="C121" s="20"/>
      <c r="D121" s="20"/>
    </row>
    <row r="122" spans="1:4" ht="20.25" x14ac:dyDescent="0.25">
      <c r="A122" s="89"/>
      <c r="B122" s="15"/>
      <c r="C122" s="20"/>
      <c r="D122" s="20"/>
    </row>
    <row r="123" spans="1:4" ht="20.25" x14ac:dyDescent="0.25">
      <c r="A123" s="89"/>
      <c r="B123" s="15"/>
      <c r="C123" s="20"/>
      <c r="D123" s="20"/>
    </row>
    <row r="124" spans="1:4" ht="20.25" x14ac:dyDescent="0.25">
      <c r="A124" s="89"/>
      <c r="B124" s="15"/>
      <c r="C124" s="20"/>
      <c r="D124" s="20"/>
    </row>
    <row r="125" spans="1:4" ht="20.25" x14ac:dyDescent="0.25">
      <c r="A125" s="89"/>
      <c r="B125" s="15"/>
      <c r="C125" s="20"/>
      <c r="D125" s="20"/>
    </row>
    <row r="126" spans="1:4" ht="20.25" x14ac:dyDescent="0.25">
      <c r="A126" s="89"/>
      <c r="B126" s="15"/>
      <c r="C126" s="20"/>
      <c r="D126" s="20"/>
    </row>
    <row r="127" spans="1:4" ht="20.25" x14ac:dyDescent="0.25">
      <c r="A127" s="89"/>
      <c r="B127" s="15"/>
      <c r="C127" s="20"/>
      <c r="D127" s="20"/>
    </row>
    <row r="128" spans="1:4" ht="20.25" x14ac:dyDescent="0.25">
      <c r="A128" s="89"/>
      <c r="B128" s="15"/>
      <c r="C128" s="20"/>
      <c r="D128" s="20"/>
    </row>
    <row r="129" spans="1:4" ht="20.25" x14ac:dyDescent="0.25">
      <c r="A129" s="89"/>
      <c r="B129" s="15"/>
      <c r="C129" s="20"/>
      <c r="D129" s="20"/>
    </row>
    <row r="130" spans="1:4" ht="20.25" x14ac:dyDescent="0.25">
      <c r="A130" s="89"/>
      <c r="B130" s="15"/>
      <c r="C130" s="20"/>
      <c r="D130" s="20"/>
    </row>
    <row r="131" spans="1:4" ht="20.25" x14ac:dyDescent="0.25">
      <c r="A131" s="89"/>
      <c r="B131" s="15"/>
      <c r="C131" s="20"/>
      <c r="D131" s="20"/>
    </row>
    <row r="132" spans="1:4" ht="20.25" x14ac:dyDescent="0.25">
      <c r="A132" s="89"/>
      <c r="B132" s="15"/>
      <c r="C132" s="20"/>
      <c r="D132" s="20"/>
    </row>
    <row r="133" spans="1:4" ht="20.25" x14ac:dyDescent="0.25">
      <c r="A133" s="89"/>
      <c r="B133" s="15"/>
      <c r="C133" s="20"/>
      <c r="D133" s="20"/>
    </row>
    <row r="134" spans="1:4" ht="20.25" x14ac:dyDescent="0.25">
      <c r="A134" s="89"/>
      <c r="B134" s="15"/>
      <c r="C134" s="20"/>
      <c r="D134" s="20"/>
    </row>
    <row r="135" spans="1:4" ht="20.25" x14ac:dyDescent="0.25">
      <c r="A135" s="89"/>
      <c r="B135" s="15"/>
      <c r="C135" s="20"/>
      <c r="D135" s="20"/>
    </row>
    <row r="136" spans="1:4" ht="20.25" x14ac:dyDescent="0.25">
      <c r="A136" s="89"/>
      <c r="B136" s="15"/>
      <c r="C136" s="20"/>
      <c r="D136" s="20"/>
    </row>
    <row r="137" spans="1:4" ht="20.25" x14ac:dyDescent="0.25">
      <c r="A137" s="89"/>
      <c r="B137" s="15"/>
      <c r="C137" s="20"/>
      <c r="D137" s="20"/>
    </row>
    <row r="138" spans="1:4" ht="20.25" x14ac:dyDescent="0.25">
      <c r="A138" s="89"/>
      <c r="B138" s="15"/>
      <c r="C138" s="20"/>
      <c r="D138" s="20"/>
    </row>
    <row r="139" spans="1:4" ht="20.25" x14ac:dyDescent="0.25">
      <c r="A139" s="89"/>
      <c r="B139" s="15"/>
      <c r="C139" s="20"/>
      <c r="D139" s="20"/>
    </row>
    <row r="140" spans="1:4" ht="20.25" x14ac:dyDescent="0.25">
      <c r="A140" s="89"/>
      <c r="B140" s="15"/>
      <c r="C140" s="20"/>
      <c r="D140" s="20"/>
    </row>
    <row r="141" spans="1:4" ht="20.25" x14ac:dyDescent="0.25">
      <c r="A141" s="89"/>
      <c r="B141" s="15"/>
      <c r="C141" s="20"/>
      <c r="D141" s="20"/>
    </row>
    <row r="142" spans="1:4" ht="20.25" x14ac:dyDescent="0.25">
      <c r="A142" s="89"/>
      <c r="B142" s="15"/>
      <c r="C142" s="20"/>
      <c r="D142" s="20"/>
    </row>
    <row r="143" spans="1:4" ht="20.25" x14ac:dyDescent="0.25">
      <c r="A143" s="89"/>
      <c r="B143" s="15"/>
      <c r="C143" s="20"/>
      <c r="D143" s="20"/>
    </row>
    <row r="144" spans="1:4" ht="20.25" x14ac:dyDescent="0.25">
      <c r="A144" s="89"/>
      <c r="B144" s="15"/>
      <c r="C144" s="20"/>
      <c r="D144" s="20"/>
    </row>
    <row r="145" spans="1:4" ht="20.25" x14ac:dyDescent="0.25">
      <c r="A145" s="89"/>
      <c r="B145" s="15"/>
      <c r="C145" s="20"/>
      <c r="D145" s="20"/>
    </row>
    <row r="146" spans="1:4" ht="20.25" x14ac:dyDescent="0.25">
      <c r="A146" s="89"/>
      <c r="B146" s="15"/>
      <c r="C146" s="20"/>
      <c r="D146" s="20"/>
    </row>
    <row r="147" spans="1:4" ht="20.25" x14ac:dyDescent="0.25">
      <c r="A147" s="89"/>
      <c r="B147" s="15"/>
      <c r="C147" s="20"/>
      <c r="D147" s="20"/>
    </row>
    <row r="148" spans="1:4" ht="20.25" x14ac:dyDescent="0.25">
      <c r="A148" s="89"/>
      <c r="B148" s="15"/>
      <c r="C148" s="20"/>
      <c r="D148" s="20"/>
    </row>
    <row r="149" spans="1:4" ht="20.25" x14ac:dyDescent="0.25">
      <c r="A149" s="89"/>
      <c r="B149" s="15"/>
      <c r="C149" s="20"/>
      <c r="D149" s="20"/>
    </row>
    <row r="150" spans="1:4" ht="20.25" x14ac:dyDescent="0.25">
      <c r="A150" s="89"/>
      <c r="B150" s="15"/>
      <c r="C150" s="20"/>
      <c r="D150" s="20"/>
    </row>
    <row r="151" spans="1:4" ht="20.25" x14ac:dyDescent="0.25">
      <c r="A151" s="89"/>
      <c r="B151" s="15"/>
      <c r="C151" s="20"/>
      <c r="D151" s="20"/>
    </row>
    <row r="152" spans="1:4" ht="20.25" x14ac:dyDescent="0.25">
      <c r="A152" s="89"/>
      <c r="B152" s="15"/>
      <c r="C152" s="20"/>
      <c r="D152" s="20"/>
    </row>
    <row r="153" spans="1:4" ht="20.25" x14ac:dyDescent="0.25">
      <c r="A153" s="89"/>
      <c r="B153" s="15"/>
      <c r="C153" s="20"/>
      <c r="D153" s="20"/>
    </row>
    <row r="154" spans="1:4" ht="20.25" x14ac:dyDescent="0.25">
      <c r="A154" s="89"/>
      <c r="B154" s="15"/>
      <c r="C154" s="20"/>
      <c r="D154" s="20"/>
    </row>
    <row r="155" spans="1:4" ht="20.25" x14ac:dyDescent="0.25">
      <c r="A155" s="89"/>
      <c r="B155" s="15"/>
      <c r="C155" s="20"/>
      <c r="D155" s="20"/>
    </row>
    <row r="156" spans="1:4" ht="20.25" x14ac:dyDescent="0.25">
      <c r="A156" s="89"/>
      <c r="B156" s="15"/>
      <c r="C156" s="20"/>
      <c r="D156" s="20"/>
    </row>
    <row r="157" spans="1:4" ht="20.25" x14ac:dyDescent="0.25">
      <c r="A157" s="89"/>
      <c r="B157" s="15"/>
      <c r="C157" s="20"/>
      <c r="D157" s="20"/>
    </row>
    <row r="158" spans="1:4" ht="20.25" x14ac:dyDescent="0.25">
      <c r="A158" s="89"/>
      <c r="B158" s="15"/>
      <c r="C158" s="20"/>
      <c r="D158" s="20"/>
    </row>
    <row r="159" spans="1:4" ht="20.25" x14ac:dyDescent="0.25">
      <c r="A159" s="89"/>
      <c r="B159" s="15"/>
      <c r="C159" s="20"/>
      <c r="D159" s="20"/>
    </row>
    <row r="160" spans="1:4" ht="20.25" x14ac:dyDescent="0.25">
      <c r="A160" s="89"/>
      <c r="B160" s="15"/>
      <c r="C160" s="20"/>
      <c r="D160" s="20"/>
    </row>
    <row r="161" spans="1:4" ht="20.25" x14ac:dyDescent="0.25">
      <c r="A161" s="89"/>
      <c r="B161" s="15"/>
      <c r="C161" s="20"/>
      <c r="D161" s="20"/>
    </row>
    <row r="162" spans="1:4" ht="20.25" x14ac:dyDescent="0.25">
      <c r="A162" s="89"/>
      <c r="B162" s="15"/>
      <c r="C162" s="20"/>
      <c r="D162" s="20"/>
    </row>
    <row r="163" spans="1:4" ht="20.25" x14ac:dyDescent="0.25">
      <c r="A163" s="89"/>
      <c r="B163" s="15"/>
      <c r="C163" s="20"/>
      <c r="D163" s="20"/>
    </row>
    <row r="164" spans="1:4" ht="20.25" x14ac:dyDescent="0.25">
      <c r="A164" s="89"/>
      <c r="B164" s="15"/>
      <c r="C164" s="20"/>
      <c r="D164" s="20"/>
    </row>
    <row r="165" spans="1:4" ht="20.25" x14ac:dyDescent="0.25">
      <c r="A165" s="89"/>
      <c r="B165" s="15"/>
      <c r="C165" s="20"/>
      <c r="D165" s="20"/>
    </row>
    <row r="166" spans="1:4" ht="20.25" x14ac:dyDescent="0.25">
      <c r="A166" s="89"/>
      <c r="B166" s="15"/>
      <c r="C166" s="20"/>
      <c r="D166" s="20"/>
    </row>
    <row r="167" spans="1:4" ht="20.25" x14ac:dyDescent="0.25">
      <c r="A167" s="89"/>
      <c r="B167" s="15"/>
      <c r="C167" s="20"/>
      <c r="D167" s="20"/>
    </row>
    <row r="168" spans="1:4" ht="20.25" x14ac:dyDescent="0.25">
      <c r="A168" s="89"/>
      <c r="B168" s="15"/>
      <c r="C168" s="20"/>
      <c r="D168" s="20"/>
    </row>
    <row r="169" spans="1:4" ht="20.25" x14ac:dyDescent="0.25">
      <c r="A169" s="89"/>
      <c r="B169" s="15"/>
      <c r="C169" s="20"/>
      <c r="D169" s="20"/>
    </row>
    <row r="170" spans="1:4" ht="20.25" x14ac:dyDescent="0.25">
      <c r="A170" s="89"/>
      <c r="B170" s="15"/>
      <c r="C170" s="20"/>
      <c r="D170" s="20"/>
    </row>
    <row r="171" spans="1:4" ht="20.25" x14ac:dyDescent="0.25">
      <c r="A171" s="89"/>
      <c r="B171" s="15"/>
      <c r="C171" s="20"/>
      <c r="D171" s="20"/>
    </row>
    <row r="172" spans="1:4" ht="20.25" x14ac:dyDescent="0.25">
      <c r="A172" s="89"/>
      <c r="B172" s="15"/>
      <c r="C172" s="20"/>
      <c r="D172" s="20"/>
    </row>
    <row r="173" spans="1:4" ht="20.25" x14ac:dyDescent="0.25">
      <c r="A173" s="89"/>
      <c r="B173" s="15"/>
      <c r="C173" s="20"/>
      <c r="D173" s="20"/>
    </row>
    <row r="174" spans="1:4" ht="20.25" x14ac:dyDescent="0.25">
      <c r="A174" s="89"/>
      <c r="B174" s="15"/>
      <c r="C174" s="20"/>
      <c r="D174" s="20"/>
    </row>
    <row r="175" spans="1:4" ht="20.25" x14ac:dyDescent="0.25">
      <c r="A175" s="89"/>
      <c r="B175" s="15"/>
      <c r="C175" s="20"/>
      <c r="D175" s="20"/>
    </row>
    <row r="176" spans="1:4" ht="20.25" x14ac:dyDescent="0.25">
      <c r="A176" s="89"/>
      <c r="B176" s="15"/>
      <c r="C176" s="20"/>
      <c r="D176" s="20"/>
    </row>
    <row r="177" spans="1:4" ht="20.25" x14ac:dyDescent="0.25">
      <c r="A177" s="89"/>
      <c r="B177" s="15"/>
      <c r="C177" s="20"/>
      <c r="D177" s="20"/>
    </row>
    <row r="178" spans="1:4" ht="20.25" x14ac:dyDescent="0.25">
      <c r="A178" s="89"/>
      <c r="B178" s="15"/>
      <c r="C178" s="20"/>
      <c r="D178" s="20"/>
    </row>
    <row r="179" spans="1:4" ht="20.25" x14ac:dyDescent="0.25">
      <c r="A179" s="89"/>
      <c r="B179" s="15"/>
      <c r="C179" s="20"/>
      <c r="D179" s="20"/>
    </row>
    <row r="180" spans="1:4" ht="20.25" x14ac:dyDescent="0.25">
      <c r="A180" s="89"/>
      <c r="B180" s="15"/>
      <c r="C180" s="20"/>
      <c r="D180" s="20"/>
    </row>
    <row r="181" spans="1:4" ht="20.25" x14ac:dyDescent="0.25">
      <c r="A181" s="89"/>
      <c r="B181" s="15"/>
      <c r="C181" s="20"/>
      <c r="D181" s="20"/>
    </row>
    <row r="182" spans="1:4" ht="20.25" x14ac:dyDescent="0.25">
      <c r="A182" s="89"/>
      <c r="B182" s="15"/>
      <c r="C182" s="20"/>
      <c r="D182" s="20"/>
    </row>
    <row r="183" spans="1:4" ht="20.25" x14ac:dyDescent="0.25">
      <c r="A183" s="89"/>
      <c r="B183" s="15"/>
      <c r="C183" s="20"/>
      <c r="D183" s="20"/>
    </row>
    <row r="184" spans="1:4" ht="20.25" x14ac:dyDescent="0.25">
      <c r="A184" s="89"/>
      <c r="B184" s="15"/>
      <c r="C184" s="20"/>
      <c r="D184" s="20"/>
    </row>
    <row r="185" spans="1:4" ht="20.25" x14ac:dyDescent="0.25">
      <c r="A185" s="89"/>
      <c r="B185" s="15"/>
      <c r="C185" s="20"/>
      <c r="D185" s="20"/>
    </row>
    <row r="186" spans="1:4" ht="20.25" x14ac:dyDescent="0.25">
      <c r="A186" s="89"/>
      <c r="B186" s="15"/>
      <c r="C186" s="20"/>
      <c r="D186" s="20"/>
    </row>
    <row r="187" spans="1:4" ht="20.25" x14ac:dyDescent="0.25">
      <c r="A187" s="89"/>
      <c r="B187" s="15"/>
      <c r="C187" s="20"/>
      <c r="D187" s="20"/>
    </row>
    <row r="188" spans="1:4" ht="20.25" x14ac:dyDescent="0.25">
      <c r="A188" s="89"/>
      <c r="B188" s="15"/>
      <c r="C188" s="20"/>
      <c r="D188" s="20"/>
    </row>
    <row r="189" spans="1:4" ht="20.25" x14ac:dyDescent="0.25">
      <c r="A189" s="89"/>
      <c r="B189" s="15"/>
      <c r="C189" s="20"/>
      <c r="D189" s="20"/>
    </row>
    <row r="190" spans="1:4" ht="20.25" x14ac:dyDescent="0.25">
      <c r="A190" s="89"/>
      <c r="B190" s="15"/>
      <c r="C190" s="20"/>
      <c r="D190" s="20"/>
    </row>
    <row r="191" spans="1:4" ht="20.25" x14ac:dyDescent="0.25">
      <c r="A191" s="89"/>
      <c r="B191" s="15"/>
      <c r="C191" s="20"/>
      <c r="D191" s="20"/>
    </row>
    <row r="192" spans="1:4" ht="20.25" x14ac:dyDescent="0.25">
      <c r="A192" s="89"/>
      <c r="B192" s="15"/>
      <c r="C192" s="20"/>
      <c r="D192" s="20"/>
    </row>
    <row r="193" spans="1:4" ht="20.25" x14ac:dyDescent="0.25">
      <c r="A193" s="89"/>
      <c r="B193" s="15"/>
      <c r="C193" s="20"/>
      <c r="D193" s="20"/>
    </row>
    <row r="194" spans="1:4" ht="20.25" x14ac:dyDescent="0.25">
      <c r="A194" s="89"/>
      <c r="B194" s="15"/>
      <c r="C194" s="20"/>
      <c r="D194" s="20"/>
    </row>
    <row r="195" spans="1:4" ht="20.25" x14ac:dyDescent="0.25">
      <c r="A195" s="89"/>
      <c r="B195" s="15"/>
      <c r="C195" s="20"/>
      <c r="D195" s="20"/>
    </row>
    <row r="196" spans="1:4" ht="20.25" x14ac:dyDescent="0.25">
      <c r="A196" s="89"/>
      <c r="B196" s="15"/>
      <c r="C196" s="20"/>
      <c r="D196" s="20"/>
    </row>
    <row r="197" spans="1:4" ht="20.25" x14ac:dyDescent="0.25">
      <c r="A197" s="89"/>
      <c r="B197" s="15"/>
      <c r="C197" s="20"/>
      <c r="D197" s="20"/>
    </row>
    <row r="198" spans="1:4" ht="20.25" x14ac:dyDescent="0.25">
      <c r="A198" s="89"/>
      <c r="B198" s="15"/>
      <c r="C198" s="20"/>
      <c r="D198" s="20"/>
    </row>
    <row r="199" spans="1:4" ht="20.25" x14ac:dyDescent="0.25">
      <c r="A199" s="89"/>
      <c r="B199" s="15"/>
      <c r="C199" s="20"/>
      <c r="D199" s="20"/>
    </row>
    <row r="200" spans="1:4" ht="20.25" x14ac:dyDescent="0.25">
      <c r="A200" s="89"/>
      <c r="B200" s="15"/>
      <c r="C200" s="20"/>
      <c r="D200" s="20"/>
    </row>
    <row r="201" spans="1:4" ht="20.25" x14ac:dyDescent="0.25">
      <c r="A201" s="89"/>
      <c r="B201" s="15"/>
      <c r="C201" s="20"/>
      <c r="D201" s="20"/>
    </row>
    <row r="202" spans="1:4" ht="20.25" x14ac:dyDescent="0.25">
      <c r="A202" s="89"/>
      <c r="B202" s="15"/>
      <c r="C202" s="20"/>
      <c r="D202" s="20"/>
    </row>
    <row r="203" spans="1:4" ht="20.25" x14ac:dyDescent="0.25">
      <c r="A203" s="89"/>
      <c r="B203" s="15"/>
      <c r="C203" s="20"/>
      <c r="D203" s="20"/>
    </row>
    <row r="204" spans="1:4" ht="20.25" x14ac:dyDescent="0.25">
      <c r="A204" s="89"/>
      <c r="B204" s="15"/>
      <c r="C204" s="20"/>
      <c r="D204" s="20"/>
    </row>
    <row r="205" spans="1:4" ht="20.25" x14ac:dyDescent="0.25">
      <c r="A205" s="89"/>
      <c r="B205" s="15"/>
      <c r="C205" s="20"/>
      <c r="D205" s="20"/>
    </row>
    <row r="206" spans="1:4" ht="20.25" x14ac:dyDescent="0.25">
      <c r="A206" s="89"/>
      <c r="B206" s="15"/>
      <c r="C206" s="20"/>
      <c r="D206" s="20"/>
    </row>
    <row r="207" spans="1:4" ht="20.25" x14ac:dyDescent="0.25">
      <c r="A207" s="89"/>
      <c r="B207" s="15"/>
      <c r="C207" s="20"/>
      <c r="D207" s="20"/>
    </row>
    <row r="208" spans="1:4" x14ac:dyDescent="0.25">
      <c r="A208" s="69"/>
      <c r="B208" s="15"/>
      <c r="C208" s="15"/>
      <c r="D208" s="15"/>
    </row>
    <row r="209" spans="1:8" ht="20.25" x14ac:dyDescent="0.25">
      <c r="A209" s="69"/>
      <c r="B209" s="16" t="s">
        <v>197</v>
      </c>
      <c r="C209" s="16" t="s">
        <v>198</v>
      </c>
      <c r="D209" s="19" t="s">
        <v>197</v>
      </c>
      <c r="E209" s="19" t="s">
        <v>198</v>
      </c>
    </row>
    <row r="210" spans="1:8" ht="21" x14ac:dyDescent="0.35">
      <c r="A210" s="69"/>
      <c r="B210" s="17" t="s">
        <v>199</v>
      </c>
      <c r="C210" s="17" t="s">
        <v>200</v>
      </c>
      <c r="D210" t="s">
        <v>199</v>
      </c>
      <c r="F210" t="str">
        <f>IF(NOT(ISBLANK(D210)),D210,IF(NOT(ISBLANK(E210)),"     "&amp;E210,FALSE))</f>
        <v>Afectación Económica o presupuestal</v>
      </c>
      <c r="G210" t="s">
        <v>199</v>
      </c>
      <c r="H210" t="str">
        <f ca="1">IF(NOT(ISERROR(MATCH(G210,_xlfn.ANCHORARRAY(B221),0))),F223&amp;"Por favor no seleccionar los criterios de impacto",G210)</f>
        <v>Afectación Económica o presupuestal</v>
      </c>
    </row>
    <row r="211" spans="1:8" ht="21" x14ac:dyDescent="0.35">
      <c r="A211" s="69"/>
      <c r="B211" s="17" t="s">
        <v>199</v>
      </c>
      <c r="C211" s="17" t="s">
        <v>186</v>
      </c>
      <c r="E211" t="s">
        <v>200</v>
      </c>
      <c r="F211" t="str">
        <f t="shared" ref="F211:F221" si="0">IF(NOT(ISBLANK(D211)),D211,IF(NOT(ISBLANK(E211)),"     "&amp;E211,FALSE))</f>
        <v xml:space="preserve">     Afectación menor a 10 SMLMV .</v>
      </c>
    </row>
    <row r="212" spans="1:8" ht="21" x14ac:dyDescent="0.35">
      <c r="A212" s="69"/>
      <c r="B212" s="17" t="s">
        <v>199</v>
      </c>
      <c r="C212" s="17" t="s">
        <v>189</v>
      </c>
      <c r="E212" t="s">
        <v>186</v>
      </c>
      <c r="F212" t="str">
        <f t="shared" si="0"/>
        <v xml:space="preserve">     Entre 10 y 50 SMLMV </v>
      </c>
    </row>
    <row r="213" spans="1:8" ht="21" x14ac:dyDescent="0.35">
      <c r="A213" s="69"/>
      <c r="B213" s="17" t="s">
        <v>199</v>
      </c>
      <c r="C213" s="17" t="s">
        <v>192</v>
      </c>
      <c r="E213" t="s">
        <v>189</v>
      </c>
      <c r="F213" t="str">
        <f t="shared" si="0"/>
        <v xml:space="preserve">     Entre 50 y 100 SMLMV </v>
      </c>
    </row>
    <row r="214" spans="1:8" ht="21" x14ac:dyDescent="0.35">
      <c r="A214" s="69"/>
      <c r="B214" s="17" t="s">
        <v>199</v>
      </c>
      <c r="C214" s="17" t="s">
        <v>195</v>
      </c>
      <c r="E214" t="s">
        <v>192</v>
      </c>
      <c r="F214" t="str">
        <f t="shared" si="0"/>
        <v xml:space="preserve">     Entre 100 y 500 SMLMV </v>
      </c>
    </row>
    <row r="215" spans="1:8" ht="21" x14ac:dyDescent="0.35">
      <c r="A215" s="69"/>
      <c r="B215" s="17" t="s">
        <v>181</v>
      </c>
      <c r="C215" s="17" t="s">
        <v>184</v>
      </c>
      <c r="E215" t="s">
        <v>195</v>
      </c>
      <c r="F215" t="str">
        <f t="shared" si="0"/>
        <v xml:space="preserve">     Mayor a 500 SMLMV </v>
      </c>
    </row>
    <row r="216" spans="1:8" ht="21" x14ac:dyDescent="0.35">
      <c r="A216" s="69"/>
      <c r="B216" s="17" t="s">
        <v>181</v>
      </c>
      <c r="C216" s="17" t="s">
        <v>187</v>
      </c>
      <c r="D216" t="s">
        <v>181</v>
      </c>
      <c r="F216" t="str">
        <f t="shared" si="0"/>
        <v>Pérdida Reputacional</v>
      </c>
    </row>
    <row r="217" spans="1:8" ht="21" x14ac:dyDescent="0.35">
      <c r="A217" s="69"/>
      <c r="B217" s="17" t="s">
        <v>181</v>
      </c>
      <c r="C217" s="17" t="s">
        <v>190</v>
      </c>
      <c r="E217" t="s">
        <v>184</v>
      </c>
      <c r="F217" t="str">
        <f t="shared" si="0"/>
        <v xml:space="preserve">     El riesgo afecta la imagen de alguna área de la organización</v>
      </c>
    </row>
    <row r="218" spans="1:8" ht="21" x14ac:dyDescent="0.35">
      <c r="A218" s="69"/>
      <c r="B218" s="17" t="s">
        <v>181</v>
      </c>
      <c r="C218" s="17" t="s">
        <v>193</v>
      </c>
      <c r="E218" t="s">
        <v>187</v>
      </c>
      <c r="F218" t="str">
        <f t="shared" si="0"/>
        <v xml:space="preserve">     El riesgo afecta la imagen de la entidad internamente, de conocimiento general, nivel interno, de junta dircetiva y accionistas y/o de provedores</v>
      </c>
    </row>
    <row r="219" spans="1:8" ht="21" x14ac:dyDescent="0.35">
      <c r="A219" s="69"/>
      <c r="B219" s="17" t="s">
        <v>181</v>
      </c>
      <c r="C219" s="17" t="s">
        <v>196</v>
      </c>
      <c r="E219" t="s">
        <v>190</v>
      </c>
      <c r="F219" t="str">
        <f t="shared" si="0"/>
        <v xml:space="preserve">     El riesgo afecta la imagen de la entidad con algunos usuarios de relevancia frente al logro de los objetivos</v>
      </c>
    </row>
    <row r="220" spans="1:8" x14ac:dyDescent="0.25">
      <c r="A220" s="69"/>
      <c r="B220" s="18"/>
      <c r="C220" s="18"/>
      <c r="E220" t="s">
        <v>193</v>
      </c>
      <c r="F220" t="str">
        <f t="shared" si="0"/>
        <v xml:space="preserve">     El riesgo afecta la imagen de de la entidad con efecto publicitario sostenido a nivel de sector administrativo, nivel departamental o municipal</v>
      </c>
    </row>
    <row r="221" spans="1:8" x14ac:dyDescent="0.25">
      <c r="A221" s="69"/>
      <c r="B221" s="18" t="e">
        <f t="array" aca="1" ref="B221:B223" ca="1">_xlfn.UNIQUE('Tabla Impacto'!$B$209:$B$219)</f>
        <v>#NAME?</v>
      </c>
      <c r="C221" s="18"/>
      <c r="E221" t="s">
        <v>196</v>
      </c>
      <c r="F221" t="str">
        <f t="shared" si="0"/>
        <v xml:space="preserve">     El riesgo afecta la imagen de la entidad a nivel nacional, con efecto publicitarios sostenible a nivel país</v>
      </c>
    </row>
    <row r="222" spans="1:8" x14ac:dyDescent="0.25">
      <c r="A222" s="69"/>
      <c r="B222" s="18" t="e">
        <f ca="1"/>
        <v>#NAME?</v>
      </c>
      <c r="C222" s="18"/>
    </row>
    <row r="223" spans="1:8" x14ac:dyDescent="0.25">
      <c r="B223" s="18" t="e">
        <f ca="1"/>
        <v>#NAME?</v>
      </c>
      <c r="C223" s="18"/>
      <c r="F223" s="21" t="s">
        <v>201</v>
      </c>
    </row>
    <row r="224" spans="1:8" x14ac:dyDescent="0.25">
      <c r="B224" s="14"/>
      <c r="C224" s="14"/>
      <c r="F224" s="21" t="s">
        <v>202</v>
      </c>
    </row>
    <row r="225" spans="2:4" x14ac:dyDescent="0.25">
      <c r="B225" s="14"/>
      <c r="C225" s="14"/>
    </row>
    <row r="226" spans="2:4" x14ac:dyDescent="0.25">
      <c r="B226" s="14"/>
      <c r="C226" s="14"/>
    </row>
    <row r="227" spans="2:4" x14ac:dyDescent="0.25">
      <c r="B227" s="14"/>
      <c r="C227" s="14"/>
      <c r="D227" s="14"/>
    </row>
    <row r="228" spans="2:4" x14ac:dyDescent="0.25">
      <c r="B228" s="14"/>
      <c r="C228" s="14"/>
      <c r="D228" s="14"/>
    </row>
    <row r="229" spans="2:4" x14ac:dyDescent="0.25">
      <c r="B229" s="14"/>
      <c r="C229" s="14"/>
      <c r="D229" s="14"/>
    </row>
    <row r="230" spans="2:4" x14ac:dyDescent="0.25">
      <c r="B230" s="14"/>
      <c r="C230" s="14"/>
      <c r="D230" s="14"/>
    </row>
    <row r="231" spans="2:4" x14ac:dyDescent="0.25">
      <c r="B231" s="14"/>
      <c r="C231" s="14"/>
      <c r="D231" s="14"/>
    </row>
    <row r="232" spans="2:4" x14ac:dyDescent="0.25">
      <c r="B232" s="14"/>
      <c r="C232" s="14"/>
      <c r="D232" s="14"/>
    </row>
  </sheetData>
  <mergeCells count="1">
    <mergeCell ref="B1:D1"/>
  </mergeCells>
  <dataValidations disablePrompts="1" count="1">
    <dataValidation type="list" allowBlank="1" showInputMessage="1" showErrorMessage="1" sqref="G210">
      <formula1>$F$210:$F$221</formula1>
    </dataValidation>
  </dataValidations>
  <pageMargins left="0.7" right="0.7" top="0.75" bottom="0.75" header="0.3" footer="0.3"/>
  <pageSetup orientation="portrait" r:id="rId2"/>
  <tableParts count="1">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theme="7" tint="-0.249977111117893"/>
  </sheetPr>
  <dimension ref="B1:F16"/>
  <sheetViews>
    <sheetView workbookViewId="0">
      <selection activeCell="D12" sqref="D12"/>
    </sheetView>
  </sheetViews>
  <sheetFormatPr baseColWidth="10" defaultColWidth="14.28515625" defaultRowHeight="12.75" x14ac:dyDescent="0.2"/>
  <cols>
    <col min="1" max="2" width="14.28515625" style="74"/>
    <col min="3" max="3" width="17" style="74" customWidth="1"/>
    <col min="4" max="4" width="14.28515625" style="74"/>
    <col min="5" max="5" width="46" style="74" customWidth="1"/>
    <col min="6" max="16384" width="14.28515625" style="74"/>
  </cols>
  <sheetData>
    <row r="1" spans="2:6" ht="24" customHeight="1" thickBot="1" x14ac:dyDescent="0.25">
      <c r="B1" s="672" t="s">
        <v>203</v>
      </c>
      <c r="C1" s="673"/>
      <c r="D1" s="673"/>
      <c r="E1" s="673"/>
      <c r="F1" s="674"/>
    </row>
    <row r="2" spans="2:6" ht="16.5" thickBot="1" x14ac:dyDescent="0.3">
      <c r="B2" s="75"/>
      <c r="C2" s="75"/>
      <c r="D2" s="75"/>
      <c r="E2" s="75"/>
      <c r="F2" s="75"/>
    </row>
    <row r="3" spans="2:6" ht="16.5" thickBot="1" x14ac:dyDescent="0.25">
      <c r="B3" s="676" t="s">
        <v>204</v>
      </c>
      <c r="C3" s="677"/>
      <c r="D3" s="677"/>
      <c r="E3" s="87" t="s">
        <v>205</v>
      </c>
      <c r="F3" s="88" t="s">
        <v>206</v>
      </c>
    </row>
    <row r="4" spans="2:6" ht="31.5" x14ac:dyDescent="0.2">
      <c r="B4" s="678" t="s">
        <v>207</v>
      </c>
      <c r="C4" s="680" t="s">
        <v>100</v>
      </c>
      <c r="D4" s="76" t="s">
        <v>208</v>
      </c>
      <c r="E4" s="77" t="s">
        <v>209</v>
      </c>
      <c r="F4" s="78">
        <v>0.25</v>
      </c>
    </row>
    <row r="5" spans="2:6" ht="47.25" x14ac:dyDescent="0.2">
      <c r="B5" s="679"/>
      <c r="C5" s="681"/>
      <c r="D5" s="79" t="s">
        <v>210</v>
      </c>
      <c r="E5" s="80" t="s">
        <v>211</v>
      </c>
      <c r="F5" s="81">
        <v>0.15</v>
      </c>
    </row>
    <row r="6" spans="2:6" ht="47.25" x14ac:dyDescent="0.2">
      <c r="B6" s="679"/>
      <c r="C6" s="681"/>
      <c r="D6" s="79" t="s">
        <v>212</v>
      </c>
      <c r="E6" s="80" t="s">
        <v>213</v>
      </c>
      <c r="F6" s="81">
        <v>0.1</v>
      </c>
    </row>
    <row r="7" spans="2:6" ht="63" x14ac:dyDescent="0.2">
      <c r="B7" s="679"/>
      <c r="C7" s="681" t="s">
        <v>101</v>
      </c>
      <c r="D7" s="79" t="s">
        <v>214</v>
      </c>
      <c r="E7" s="80" t="s">
        <v>215</v>
      </c>
      <c r="F7" s="81">
        <v>0.25</v>
      </c>
    </row>
    <row r="8" spans="2:6" ht="31.5" x14ac:dyDescent="0.2">
      <c r="B8" s="679"/>
      <c r="C8" s="681"/>
      <c r="D8" s="79" t="s">
        <v>216</v>
      </c>
      <c r="E8" s="80" t="s">
        <v>217</v>
      </c>
      <c r="F8" s="81">
        <v>0.15</v>
      </c>
    </row>
    <row r="9" spans="2:6" ht="47.25" x14ac:dyDescent="0.2">
      <c r="B9" s="679" t="s">
        <v>218</v>
      </c>
      <c r="C9" s="681" t="s">
        <v>103</v>
      </c>
      <c r="D9" s="79" t="s">
        <v>219</v>
      </c>
      <c r="E9" s="80" t="s">
        <v>220</v>
      </c>
      <c r="F9" s="82" t="s">
        <v>221</v>
      </c>
    </row>
    <row r="10" spans="2:6" ht="63" x14ac:dyDescent="0.2">
      <c r="B10" s="679"/>
      <c r="C10" s="681"/>
      <c r="D10" s="79" t="s">
        <v>222</v>
      </c>
      <c r="E10" s="80" t="s">
        <v>223</v>
      </c>
      <c r="F10" s="82" t="s">
        <v>221</v>
      </c>
    </row>
    <row r="11" spans="2:6" ht="47.25" x14ac:dyDescent="0.2">
      <c r="B11" s="679"/>
      <c r="C11" s="681" t="s">
        <v>104</v>
      </c>
      <c r="D11" s="79" t="s">
        <v>224</v>
      </c>
      <c r="E11" s="80" t="s">
        <v>225</v>
      </c>
      <c r="F11" s="82" t="s">
        <v>221</v>
      </c>
    </row>
    <row r="12" spans="2:6" ht="47.25" x14ac:dyDescent="0.2">
      <c r="B12" s="679"/>
      <c r="C12" s="681"/>
      <c r="D12" s="79" t="s">
        <v>226</v>
      </c>
      <c r="E12" s="80" t="s">
        <v>227</v>
      </c>
      <c r="F12" s="82" t="s">
        <v>221</v>
      </c>
    </row>
    <row r="13" spans="2:6" ht="31.5" x14ac:dyDescent="0.2">
      <c r="B13" s="679"/>
      <c r="C13" s="681" t="s">
        <v>105</v>
      </c>
      <c r="D13" s="79" t="s">
        <v>228</v>
      </c>
      <c r="E13" s="80" t="s">
        <v>229</v>
      </c>
      <c r="F13" s="82" t="s">
        <v>221</v>
      </c>
    </row>
    <row r="14" spans="2:6" ht="32.25" thickBot="1" x14ac:dyDescent="0.25">
      <c r="B14" s="682"/>
      <c r="C14" s="683"/>
      <c r="D14" s="83" t="s">
        <v>230</v>
      </c>
      <c r="E14" s="84" t="s">
        <v>231</v>
      </c>
      <c r="F14" s="85" t="s">
        <v>221</v>
      </c>
    </row>
    <row r="15" spans="2:6" ht="49.5" customHeight="1" x14ac:dyDescent="0.2">
      <c r="B15" s="675" t="s">
        <v>232</v>
      </c>
      <c r="C15" s="675"/>
      <c r="D15" s="675"/>
      <c r="E15" s="675"/>
      <c r="F15" s="675"/>
    </row>
    <row r="16" spans="2:6" ht="27" customHeight="1" x14ac:dyDescent="0.25">
      <c r="B16" s="86"/>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dimension ref="B2:U49"/>
  <sheetViews>
    <sheetView zoomScale="70" zoomScaleNormal="70" workbookViewId="0">
      <selection activeCell="B49" sqref="B49"/>
    </sheetView>
  </sheetViews>
  <sheetFormatPr baseColWidth="10" defaultColWidth="11.42578125" defaultRowHeight="15" x14ac:dyDescent="0.25"/>
  <cols>
    <col min="2" max="2" width="37.85546875" bestFit="1" customWidth="1"/>
    <col min="3" max="3" width="48" bestFit="1" customWidth="1"/>
    <col min="4" max="4" width="140.28515625" bestFit="1" customWidth="1"/>
  </cols>
  <sheetData>
    <row r="2" spans="2:4" ht="15.75" thickBot="1" x14ac:dyDescent="0.3"/>
    <row r="3" spans="2:4" ht="15.75" thickBot="1" x14ac:dyDescent="0.3">
      <c r="B3" s="173" t="s">
        <v>233</v>
      </c>
      <c r="C3" s="173" t="s">
        <v>234</v>
      </c>
      <c r="D3" s="173" t="s">
        <v>235</v>
      </c>
    </row>
    <row r="4" spans="2:4" x14ac:dyDescent="0.25">
      <c r="B4" s="110"/>
      <c r="C4" s="151"/>
      <c r="D4" s="152"/>
    </row>
    <row r="5" spans="2:4" x14ac:dyDescent="0.25">
      <c r="B5" s="110" t="s">
        <v>236</v>
      </c>
      <c r="C5" s="108" t="s">
        <v>239</v>
      </c>
      <c r="D5" s="152" t="s">
        <v>180</v>
      </c>
    </row>
    <row r="6" spans="2:4" x14ac:dyDescent="0.25">
      <c r="B6" s="110" t="s">
        <v>238</v>
      </c>
      <c r="C6" s="108" t="s">
        <v>243</v>
      </c>
      <c r="D6" s="152" t="s">
        <v>183</v>
      </c>
    </row>
    <row r="7" spans="2:4" ht="15.75" thickBot="1" x14ac:dyDescent="0.3">
      <c r="B7" s="111" t="s">
        <v>240</v>
      </c>
      <c r="C7" s="108" t="s">
        <v>244</v>
      </c>
      <c r="D7" s="152" t="s">
        <v>186</v>
      </c>
    </row>
    <row r="8" spans="2:4" ht="30" x14ac:dyDescent="0.25">
      <c r="C8" s="112" t="s">
        <v>241</v>
      </c>
      <c r="D8" s="152" t="s">
        <v>189</v>
      </c>
    </row>
    <row r="9" spans="2:4" x14ac:dyDescent="0.25">
      <c r="C9" s="108" t="s">
        <v>242</v>
      </c>
      <c r="D9" s="152" t="s">
        <v>192</v>
      </c>
    </row>
    <row r="10" spans="2:4" x14ac:dyDescent="0.25">
      <c r="C10" s="108" t="s">
        <v>245</v>
      </c>
      <c r="D10" s="152" t="s">
        <v>195</v>
      </c>
    </row>
    <row r="11" spans="2:4" x14ac:dyDescent="0.25">
      <c r="C11" s="108" t="s">
        <v>246</v>
      </c>
      <c r="D11" s="152"/>
    </row>
    <row r="12" spans="2:4" x14ac:dyDescent="0.25">
      <c r="C12" s="108" t="s">
        <v>237</v>
      </c>
      <c r="D12" s="152" t="s">
        <v>247</v>
      </c>
    </row>
    <row r="13" spans="2:4" x14ac:dyDescent="0.25">
      <c r="C13" s="172" t="s">
        <v>465</v>
      </c>
      <c r="D13" s="152" t="s">
        <v>184</v>
      </c>
    </row>
    <row r="14" spans="2:4" x14ac:dyDescent="0.25">
      <c r="C14" s="172" t="s">
        <v>466</v>
      </c>
      <c r="D14" s="152" t="s">
        <v>187</v>
      </c>
    </row>
    <row r="15" spans="2:4" x14ac:dyDescent="0.25">
      <c r="C15" s="172" t="s">
        <v>467</v>
      </c>
      <c r="D15" s="152" t="s">
        <v>190</v>
      </c>
    </row>
    <row r="16" spans="2:4" x14ac:dyDescent="0.25">
      <c r="C16" s="172" t="s">
        <v>468</v>
      </c>
      <c r="D16" s="152" t="s">
        <v>193</v>
      </c>
    </row>
    <row r="17" spans="2:21" ht="15.75" thickBot="1" x14ac:dyDescent="0.3">
      <c r="C17" s="172" t="s">
        <v>469</v>
      </c>
      <c r="D17" s="153" t="s">
        <v>196</v>
      </c>
    </row>
    <row r="18" spans="2:21" x14ac:dyDescent="0.25">
      <c r="C18" s="172" t="s">
        <v>470</v>
      </c>
    </row>
    <row r="19" spans="2:21" ht="15.75" thickBot="1" x14ac:dyDescent="0.3">
      <c r="C19" s="108"/>
    </row>
    <row r="20" spans="2:21" ht="15.75" thickBot="1" x14ac:dyDescent="0.3">
      <c r="C20" s="173" t="s">
        <v>248</v>
      </c>
    </row>
    <row r="21" spans="2:21" x14ac:dyDescent="0.25">
      <c r="C21" s="108" t="s">
        <v>249</v>
      </c>
    </row>
    <row r="22" spans="2:21" x14ac:dyDescent="0.25">
      <c r="C22" s="108" t="s">
        <v>250</v>
      </c>
    </row>
    <row r="23" spans="2:21" ht="15.75" thickBot="1" x14ac:dyDescent="0.3">
      <c r="C23" s="109" t="s">
        <v>251</v>
      </c>
    </row>
    <row r="25" spans="2:21" ht="15.75" thickBot="1" x14ac:dyDescent="0.3"/>
    <row r="26" spans="2:21" ht="15.75" thickBot="1" x14ac:dyDescent="0.3">
      <c r="B26" s="173" t="s">
        <v>252</v>
      </c>
      <c r="C26" s="174" t="s">
        <v>253</v>
      </c>
      <c r="D26" s="173" t="s">
        <v>254</v>
      </c>
      <c r="R26" t="s">
        <v>255</v>
      </c>
      <c r="U26" t="s">
        <v>236</v>
      </c>
    </row>
    <row r="27" spans="2:21" x14ac:dyDescent="0.25">
      <c r="B27" s="108"/>
      <c r="C27" s="108"/>
      <c r="D27" s="108"/>
      <c r="R27" t="s">
        <v>258</v>
      </c>
      <c r="U27" t="s">
        <v>238</v>
      </c>
    </row>
    <row r="28" spans="2:21" x14ac:dyDescent="0.25">
      <c r="B28" s="108" t="s">
        <v>255</v>
      </c>
      <c r="C28" s="112" t="s">
        <v>256</v>
      </c>
      <c r="D28" s="108" t="s">
        <v>257</v>
      </c>
      <c r="R28" t="s">
        <v>261</v>
      </c>
      <c r="U28" t="s">
        <v>240</v>
      </c>
    </row>
    <row r="29" spans="2:21" ht="15.75" thickBot="1" x14ac:dyDescent="0.3">
      <c r="B29" s="108" t="s">
        <v>258</v>
      </c>
      <c r="C29" s="113" t="s">
        <v>259</v>
      </c>
      <c r="D29" s="109" t="s">
        <v>260</v>
      </c>
      <c r="R29" t="s">
        <v>262</v>
      </c>
    </row>
    <row r="30" spans="2:21" ht="15.75" thickBot="1" x14ac:dyDescent="0.3">
      <c r="B30" s="108" t="s">
        <v>261</v>
      </c>
    </row>
    <row r="31" spans="2:21" ht="15.75" thickBot="1" x14ac:dyDescent="0.3">
      <c r="B31" s="109" t="s">
        <v>262</v>
      </c>
      <c r="D31" s="173" t="s">
        <v>263</v>
      </c>
    </row>
    <row r="32" spans="2:21" ht="15.75" thickBot="1" x14ac:dyDescent="0.3">
      <c r="D32" s="108" t="s">
        <v>257</v>
      </c>
      <c r="R32" t="s">
        <v>270</v>
      </c>
    </row>
    <row r="33" spans="2:18" ht="16.5" thickBot="1" x14ac:dyDescent="0.3">
      <c r="B33" s="140" t="s">
        <v>264</v>
      </c>
      <c r="D33" s="109" t="s">
        <v>260</v>
      </c>
      <c r="R33" t="s">
        <v>256</v>
      </c>
    </row>
    <row r="34" spans="2:18" ht="15.75" x14ac:dyDescent="0.25">
      <c r="B34" s="114"/>
      <c r="R34" t="s">
        <v>259</v>
      </c>
    </row>
    <row r="35" spans="2:18" ht="15.75" x14ac:dyDescent="0.25">
      <c r="B35" s="114" t="s">
        <v>265</v>
      </c>
    </row>
    <row r="36" spans="2:18" ht="15.75" x14ac:dyDescent="0.25">
      <c r="B36" s="114" t="s">
        <v>266</v>
      </c>
    </row>
    <row r="37" spans="2:18" ht="15.75" x14ac:dyDescent="0.25">
      <c r="B37" s="114" t="s">
        <v>267</v>
      </c>
      <c r="R37" t="s">
        <v>237</v>
      </c>
    </row>
    <row r="38" spans="2:18" ht="15.75" x14ac:dyDescent="0.25">
      <c r="B38" s="114" t="s">
        <v>268</v>
      </c>
      <c r="R38" t="s">
        <v>239</v>
      </c>
    </row>
    <row r="39" spans="2:18" ht="15.75" x14ac:dyDescent="0.25">
      <c r="B39" s="114" t="s">
        <v>269</v>
      </c>
      <c r="R39" t="s">
        <v>242</v>
      </c>
    </row>
    <row r="40" spans="2:18" ht="15.75" x14ac:dyDescent="0.25">
      <c r="B40" s="114" t="s">
        <v>271</v>
      </c>
      <c r="R40" t="s">
        <v>243</v>
      </c>
    </row>
    <row r="41" spans="2:18" ht="15.75" x14ac:dyDescent="0.25">
      <c r="B41" s="114" t="s">
        <v>272</v>
      </c>
      <c r="R41" t="s">
        <v>244</v>
      </c>
    </row>
    <row r="42" spans="2:18" ht="15.75" x14ac:dyDescent="0.25">
      <c r="B42" s="114" t="s">
        <v>273</v>
      </c>
      <c r="R42" t="s">
        <v>245</v>
      </c>
    </row>
    <row r="43" spans="2:18" ht="15.75" x14ac:dyDescent="0.25">
      <c r="B43" s="114" t="s">
        <v>274</v>
      </c>
      <c r="R43" t="s">
        <v>246</v>
      </c>
    </row>
    <row r="44" spans="2:18" ht="15.75" x14ac:dyDescent="0.25">
      <c r="B44" s="114" t="s">
        <v>275</v>
      </c>
    </row>
    <row r="45" spans="2:18" ht="15.75" x14ac:dyDescent="0.25">
      <c r="B45" s="114" t="s">
        <v>276</v>
      </c>
    </row>
    <row r="46" spans="2:18" ht="15.75" x14ac:dyDescent="0.25">
      <c r="B46" s="114" t="s">
        <v>277</v>
      </c>
    </row>
    <row r="47" spans="2:18" ht="15.75" x14ac:dyDescent="0.25">
      <c r="B47" s="114" t="s">
        <v>278</v>
      </c>
    </row>
    <row r="48" spans="2:18" ht="15.75" x14ac:dyDescent="0.25">
      <c r="B48" s="114" t="s">
        <v>279</v>
      </c>
    </row>
    <row r="49" spans="2:2" ht="16.5" thickBot="1" x14ac:dyDescent="0.3">
      <c r="B49" s="115" t="s">
        <v>280</v>
      </c>
    </row>
  </sheetData>
  <pageMargins left="0.7" right="0.7" top="0.75" bottom="0.75" header="0.3" footer="0.3"/>
  <pageSetup paperSize="142" orientation="portrait" r:id="rId1"/>
  <extLst>
    <ext xmlns:x14="http://schemas.microsoft.com/office/spreadsheetml/2009/9/main" uri="{78C0D931-6437-407d-A8EE-F0AAD7539E65}">
      <x14:conditionalFormattings>
        <x14:conditionalFormatting xmlns:xm="http://schemas.microsoft.com/office/excel/2006/main">
          <x14:cfRule type="expression" priority="1299" id="{526052F2-078D-433C-B8C6-4A6B7F2F8B9E}">
            <xm:f>'Mapa final'!$M$13=$C$6</xm:f>
            <x14:dxf/>
          </x14:cfRule>
          <xm:sqref>J13:J18</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A3:A21"/>
  <sheetViews>
    <sheetView workbookViewId="0">
      <selection activeCell="A19" sqref="A19"/>
    </sheetView>
  </sheetViews>
  <sheetFormatPr baseColWidth="10" defaultColWidth="11.42578125" defaultRowHeight="12.75" x14ac:dyDescent="0.2"/>
  <cols>
    <col min="1" max="1" width="32.85546875" style="1" customWidth="1"/>
    <col min="2" max="16384" width="11.42578125" style="1"/>
  </cols>
  <sheetData>
    <row r="3" spans="1:1" x14ac:dyDescent="0.2">
      <c r="A3" s="2" t="s">
        <v>208</v>
      </c>
    </row>
    <row r="4" spans="1:1" x14ac:dyDescent="0.2">
      <c r="A4" s="2" t="s">
        <v>210</v>
      </c>
    </row>
    <row r="5" spans="1:1" x14ac:dyDescent="0.2">
      <c r="A5" s="2" t="s">
        <v>212</v>
      </c>
    </row>
    <row r="6" spans="1:1" x14ac:dyDescent="0.2">
      <c r="A6" s="2" t="s">
        <v>214</v>
      </c>
    </row>
    <row r="7" spans="1:1" x14ac:dyDescent="0.2">
      <c r="A7" s="2" t="s">
        <v>216</v>
      </c>
    </row>
    <row r="8" spans="1:1" x14ac:dyDescent="0.2">
      <c r="A8" s="2" t="s">
        <v>219</v>
      </c>
    </row>
    <row r="9" spans="1:1" x14ac:dyDescent="0.2">
      <c r="A9" s="2" t="s">
        <v>222</v>
      </c>
    </row>
    <row r="10" spans="1:1" x14ac:dyDescent="0.2">
      <c r="A10" s="2" t="s">
        <v>224</v>
      </c>
    </row>
    <row r="11" spans="1:1" x14ac:dyDescent="0.2">
      <c r="A11" s="2" t="s">
        <v>226</v>
      </c>
    </row>
    <row r="12" spans="1:1" x14ac:dyDescent="0.2">
      <c r="A12" s="2" t="s">
        <v>281</v>
      </c>
    </row>
    <row r="13" spans="1:1" x14ac:dyDescent="0.2">
      <c r="A13" s="2" t="s">
        <v>282</v>
      </c>
    </row>
    <row r="14" spans="1:1" x14ac:dyDescent="0.2">
      <c r="A14" s="2" t="s">
        <v>283</v>
      </c>
    </row>
    <row r="16" spans="1:1" x14ac:dyDescent="0.2">
      <c r="A16" s="2" t="s">
        <v>284</v>
      </c>
    </row>
    <row r="17" spans="1:1" x14ac:dyDescent="0.2">
      <c r="A17" s="2" t="s">
        <v>255</v>
      </c>
    </row>
    <row r="18" spans="1:1" x14ac:dyDescent="0.2">
      <c r="A18" s="2" t="s">
        <v>258</v>
      </c>
    </row>
    <row r="20" spans="1:1" x14ac:dyDescent="0.2">
      <c r="A20" s="2" t="s">
        <v>256</v>
      </c>
    </row>
    <row r="21" spans="1:1" x14ac:dyDescent="0.2">
      <c r="A21" s="2" t="s">
        <v>259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dimension ref="B1:F202"/>
  <sheetViews>
    <sheetView showGridLines="0" workbookViewId="0"/>
  </sheetViews>
  <sheetFormatPr baseColWidth="10" defaultColWidth="11.42578125" defaultRowHeight="15" x14ac:dyDescent="0.25"/>
  <cols>
    <col min="1" max="1" width="1.140625" customWidth="1"/>
    <col min="2" max="2" width="64.42578125" customWidth="1"/>
    <col min="3" max="3" width="1.5703125" customWidth="1"/>
    <col min="4" max="4" width="5.5703125" customWidth="1"/>
    <col min="5" max="6" width="16" customWidth="1"/>
  </cols>
  <sheetData>
    <row r="1" spans="2:6" x14ac:dyDescent="0.25">
      <c r="B1" s="116" t="s">
        <v>285</v>
      </c>
      <c r="C1" s="116"/>
      <c r="D1" s="125"/>
      <c r="E1" s="125"/>
      <c r="F1" s="125"/>
    </row>
    <row r="2" spans="2:6" x14ac:dyDescent="0.25">
      <c r="B2" s="116" t="s">
        <v>286</v>
      </c>
      <c r="C2" s="116"/>
      <c r="D2" s="125"/>
      <c r="E2" s="125"/>
      <c r="F2" s="125"/>
    </row>
    <row r="3" spans="2:6" x14ac:dyDescent="0.25">
      <c r="B3" s="117"/>
      <c r="C3" s="117"/>
      <c r="D3" s="126"/>
      <c r="E3" s="126"/>
      <c r="F3" s="126"/>
    </row>
    <row r="4" spans="2:6" ht="45" x14ac:dyDescent="0.25">
      <c r="B4" s="117" t="s">
        <v>287</v>
      </c>
      <c r="C4" s="117"/>
      <c r="D4" s="126"/>
      <c r="E4" s="126"/>
      <c r="F4" s="126"/>
    </row>
    <row r="5" spans="2:6" x14ac:dyDescent="0.25">
      <c r="B5" s="117"/>
      <c r="C5" s="117"/>
      <c r="D5" s="126"/>
      <c r="E5" s="126"/>
      <c r="F5" s="126"/>
    </row>
    <row r="6" spans="2:6" ht="30" x14ac:dyDescent="0.25">
      <c r="B6" s="116" t="s">
        <v>288</v>
      </c>
      <c r="C6" s="116"/>
      <c r="D6" s="125"/>
      <c r="E6" s="125" t="s">
        <v>289</v>
      </c>
      <c r="F6" s="125" t="s">
        <v>290</v>
      </c>
    </row>
    <row r="7" spans="2:6" ht="15.75" thickBot="1" x14ac:dyDescent="0.3">
      <c r="B7" s="117"/>
      <c r="C7" s="117"/>
      <c r="D7" s="126"/>
      <c r="E7" s="126"/>
      <c r="F7" s="126"/>
    </row>
    <row r="8" spans="2:6" ht="60" x14ac:dyDescent="0.25">
      <c r="B8" s="118" t="s">
        <v>291</v>
      </c>
      <c r="C8" s="119"/>
      <c r="D8" s="127"/>
      <c r="E8" s="127">
        <v>300</v>
      </c>
      <c r="F8" s="128"/>
    </row>
    <row r="9" spans="2:6" ht="30" x14ac:dyDescent="0.25">
      <c r="B9" s="120"/>
      <c r="C9" s="117"/>
      <c r="D9" s="126"/>
      <c r="E9" s="129" t="s">
        <v>292</v>
      </c>
      <c r="F9" s="130" t="s">
        <v>293</v>
      </c>
    </row>
    <row r="10" spans="2:6" ht="30" x14ac:dyDescent="0.25">
      <c r="B10" s="120"/>
      <c r="C10" s="117"/>
      <c r="D10" s="126"/>
      <c r="E10" s="129" t="s">
        <v>294</v>
      </c>
      <c r="F10" s="130"/>
    </row>
    <row r="11" spans="2:6" ht="30" x14ac:dyDescent="0.25">
      <c r="B11" s="120"/>
      <c r="C11" s="117"/>
      <c r="D11" s="126"/>
      <c r="E11" s="129" t="s">
        <v>295</v>
      </c>
      <c r="F11" s="130"/>
    </row>
    <row r="12" spans="2:6" ht="30" x14ac:dyDescent="0.25">
      <c r="B12" s="120"/>
      <c r="C12" s="117"/>
      <c r="D12" s="126"/>
      <c r="E12" s="129" t="s">
        <v>296</v>
      </c>
      <c r="F12" s="130"/>
    </row>
    <row r="13" spans="2:6" ht="30" x14ac:dyDescent="0.25">
      <c r="B13" s="120"/>
      <c r="C13" s="117"/>
      <c r="D13" s="126"/>
      <c r="E13" s="129" t="s">
        <v>297</v>
      </c>
      <c r="F13" s="130"/>
    </row>
    <row r="14" spans="2:6" ht="30" x14ac:dyDescent="0.25">
      <c r="B14" s="120"/>
      <c r="C14" s="117"/>
      <c r="D14" s="126"/>
      <c r="E14" s="129" t="s">
        <v>298</v>
      </c>
      <c r="F14" s="130"/>
    </row>
    <row r="15" spans="2:6" ht="30" x14ac:dyDescent="0.25">
      <c r="B15" s="120"/>
      <c r="C15" s="117"/>
      <c r="D15" s="126"/>
      <c r="E15" s="129" t="s">
        <v>299</v>
      </c>
      <c r="F15" s="130"/>
    </row>
    <row r="16" spans="2:6" ht="30" x14ac:dyDescent="0.25">
      <c r="B16" s="120"/>
      <c r="C16" s="117"/>
      <c r="D16" s="126"/>
      <c r="E16" s="129" t="s">
        <v>300</v>
      </c>
      <c r="F16" s="130"/>
    </row>
    <row r="17" spans="2:6" ht="30" x14ac:dyDescent="0.25">
      <c r="B17" s="120"/>
      <c r="C17" s="117"/>
      <c r="D17" s="126"/>
      <c r="E17" s="129" t="s">
        <v>301</v>
      </c>
      <c r="F17" s="130"/>
    </row>
    <row r="18" spans="2:6" ht="30" x14ac:dyDescent="0.25">
      <c r="B18" s="120"/>
      <c r="C18" s="117"/>
      <c r="D18" s="126"/>
      <c r="E18" s="129" t="s">
        <v>302</v>
      </c>
      <c r="F18" s="130"/>
    </row>
    <row r="19" spans="2:6" ht="30" x14ac:dyDescent="0.25">
      <c r="B19" s="120"/>
      <c r="C19" s="117"/>
      <c r="D19" s="126"/>
      <c r="E19" s="129" t="s">
        <v>303</v>
      </c>
      <c r="F19" s="130"/>
    </row>
    <row r="20" spans="2:6" ht="30" x14ac:dyDescent="0.25">
      <c r="B20" s="120"/>
      <c r="C20" s="117"/>
      <c r="D20" s="126"/>
      <c r="E20" s="129" t="s">
        <v>304</v>
      </c>
      <c r="F20" s="130"/>
    </row>
    <row r="21" spans="2:6" ht="30" x14ac:dyDescent="0.25">
      <c r="B21" s="120"/>
      <c r="C21" s="117"/>
      <c r="D21" s="126"/>
      <c r="E21" s="129" t="s">
        <v>305</v>
      </c>
      <c r="F21" s="130"/>
    </row>
    <row r="22" spans="2:6" ht="30" x14ac:dyDescent="0.25">
      <c r="B22" s="120"/>
      <c r="C22" s="117"/>
      <c r="D22" s="126"/>
      <c r="E22" s="129" t="s">
        <v>306</v>
      </c>
      <c r="F22" s="130"/>
    </row>
    <row r="23" spans="2:6" ht="30" x14ac:dyDescent="0.25">
      <c r="B23" s="120"/>
      <c r="C23" s="117"/>
      <c r="D23" s="126"/>
      <c r="E23" s="129" t="s">
        <v>307</v>
      </c>
      <c r="F23" s="130"/>
    </row>
    <row r="24" spans="2:6" ht="30" x14ac:dyDescent="0.25">
      <c r="B24" s="120"/>
      <c r="C24" s="117"/>
      <c r="D24" s="126"/>
      <c r="E24" s="129" t="s">
        <v>308</v>
      </c>
      <c r="F24" s="130"/>
    </row>
    <row r="25" spans="2:6" ht="30" x14ac:dyDescent="0.25">
      <c r="B25" s="120"/>
      <c r="C25" s="117"/>
      <c r="D25" s="126"/>
      <c r="E25" s="129" t="s">
        <v>309</v>
      </c>
      <c r="F25" s="130"/>
    </row>
    <row r="26" spans="2:6" ht="30" x14ac:dyDescent="0.25">
      <c r="B26" s="120"/>
      <c r="C26" s="117"/>
      <c r="D26" s="126"/>
      <c r="E26" s="129" t="s">
        <v>310</v>
      </c>
      <c r="F26" s="130"/>
    </row>
    <row r="27" spans="2:6" ht="30" x14ac:dyDescent="0.25">
      <c r="B27" s="120"/>
      <c r="C27" s="117"/>
      <c r="D27" s="126"/>
      <c r="E27" s="129" t="s">
        <v>311</v>
      </c>
      <c r="F27" s="130"/>
    </row>
    <row r="28" spans="2:6" ht="30" x14ac:dyDescent="0.25">
      <c r="B28" s="120"/>
      <c r="C28" s="117"/>
      <c r="D28" s="126"/>
      <c r="E28" s="129" t="s">
        <v>312</v>
      </c>
      <c r="F28" s="130"/>
    </row>
    <row r="29" spans="2:6" ht="30" x14ac:dyDescent="0.25">
      <c r="B29" s="120"/>
      <c r="C29" s="117"/>
      <c r="D29" s="126"/>
      <c r="E29" s="129" t="s">
        <v>313</v>
      </c>
      <c r="F29" s="130"/>
    </row>
    <row r="30" spans="2:6" ht="30" x14ac:dyDescent="0.25">
      <c r="B30" s="120"/>
      <c r="C30" s="117"/>
      <c r="D30" s="126"/>
      <c r="E30" s="129" t="s">
        <v>314</v>
      </c>
      <c r="F30" s="130"/>
    </row>
    <row r="31" spans="2:6" ht="30" x14ac:dyDescent="0.25">
      <c r="B31" s="120"/>
      <c r="C31" s="117"/>
      <c r="D31" s="126"/>
      <c r="E31" s="129" t="s">
        <v>315</v>
      </c>
      <c r="F31" s="130"/>
    </row>
    <row r="32" spans="2:6" ht="30" x14ac:dyDescent="0.25">
      <c r="B32" s="120"/>
      <c r="C32" s="117"/>
      <c r="D32" s="126"/>
      <c r="E32" s="129" t="s">
        <v>316</v>
      </c>
      <c r="F32" s="130"/>
    </row>
    <row r="33" spans="2:6" ht="30" x14ac:dyDescent="0.25">
      <c r="B33" s="120"/>
      <c r="C33" s="117"/>
      <c r="D33" s="126"/>
      <c r="E33" s="129" t="s">
        <v>317</v>
      </c>
      <c r="F33" s="130"/>
    </row>
    <row r="34" spans="2:6" ht="30" x14ac:dyDescent="0.25">
      <c r="B34" s="120"/>
      <c r="C34" s="117"/>
      <c r="D34" s="126"/>
      <c r="E34" s="129" t="s">
        <v>318</v>
      </c>
      <c r="F34" s="130"/>
    </row>
    <row r="35" spans="2:6" ht="30" x14ac:dyDescent="0.25">
      <c r="B35" s="120"/>
      <c r="C35" s="117"/>
      <c r="D35" s="126"/>
      <c r="E35" s="129" t="s">
        <v>319</v>
      </c>
      <c r="F35" s="130"/>
    </row>
    <row r="36" spans="2:6" ht="30" x14ac:dyDescent="0.25">
      <c r="B36" s="120"/>
      <c r="C36" s="117"/>
      <c r="D36" s="126"/>
      <c r="E36" s="129" t="s">
        <v>320</v>
      </c>
      <c r="F36" s="130"/>
    </row>
    <row r="37" spans="2:6" ht="30" x14ac:dyDescent="0.25">
      <c r="B37" s="120"/>
      <c r="C37" s="117"/>
      <c r="D37" s="126"/>
      <c r="E37" s="129" t="s">
        <v>321</v>
      </c>
      <c r="F37" s="130"/>
    </row>
    <row r="38" spans="2:6" ht="30" x14ac:dyDescent="0.25">
      <c r="B38" s="120"/>
      <c r="C38" s="117"/>
      <c r="D38" s="126"/>
      <c r="E38" s="129" t="s">
        <v>322</v>
      </c>
      <c r="F38" s="130"/>
    </row>
    <row r="39" spans="2:6" ht="30" x14ac:dyDescent="0.25">
      <c r="B39" s="120"/>
      <c r="C39" s="117"/>
      <c r="D39" s="126"/>
      <c r="E39" s="129" t="s">
        <v>323</v>
      </c>
      <c r="F39" s="130"/>
    </row>
    <row r="40" spans="2:6" ht="30" x14ac:dyDescent="0.25">
      <c r="B40" s="120"/>
      <c r="C40" s="117"/>
      <c r="D40" s="126"/>
      <c r="E40" s="129" t="s">
        <v>324</v>
      </c>
      <c r="F40" s="130"/>
    </row>
    <row r="41" spans="2:6" ht="30" x14ac:dyDescent="0.25">
      <c r="B41" s="120"/>
      <c r="C41" s="117"/>
      <c r="D41" s="126"/>
      <c r="E41" s="129" t="s">
        <v>325</v>
      </c>
      <c r="F41" s="130"/>
    </row>
    <row r="42" spans="2:6" ht="30" x14ac:dyDescent="0.25">
      <c r="B42" s="120"/>
      <c r="C42" s="117"/>
      <c r="D42" s="126"/>
      <c r="E42" s="129" t="s">
        <v>326</v>
      </c>
      <c r="F42" s="130"/>
    </row>
    <row r="43" spans="2:6" ht="30" x14ac:dyDescent="0.25">
      <c r="B43" s="120"/>
      <c r="C43" s="117"/>
      <c r="D43" s="126"/>
      <c r="E43" s="129" t="s">
        <v>327</v>
      </c>
      <c r="F43" s="130"/>
    </row>
    <row r="44" spans="2:6" ht="30" x14ac:dyDescent="0.25">
      <c r="B44" s="120"/>
      <c r="C44" s="117"/>
      <c r="D44" s="126"/>
      <c r="E44" s="129" t="s">
        <v>328</v>
      </c>
      <c r="F44" s="130"/>
    </row>
    <row r="45" spans="2:6" ht="30" x14ac:dyDescent="0.25">
      <c r="B45" s="120"/>
      <c r="C45" s="117"/>
      <c r="D45" s="126"/>
      <c r="E45" s="129" t="s">
        <v>329</v>
      </c>
      <c r="F45" s="130"/>
    </row>
    <row r="46" spans="2:6" ht="30" x14ac:dyDescent="0.25">
      <c r="B46" s="120"/>
      <c r="C46" s="117"/>
      <c r="D46" s="126"/>
      <c r="E46" s="129" t="s">
        <v>330</v>
      </c>
      <c r="F46" s="130"/>
    </row>
    <row r="47" spans="2:6" ht="30" x14ac:dyDescent="0.25">
      <c r="B47" s="120"/>
      <c r="C47" s="117"/>
      <c r="D47" s="126"/>
      <c r="E47" s="129" t="s">
        <v>331</v>
      </c>
      <c r="F47" s="130"/>
    </row>
    <row r="48" spans="2:6" ht="30" x14ac:dyDescent="0.25">
      <c r="B48" s="120"/>
      <c r="C48" s="117"/>
      <c r="D48" s="126"/>
      <c r="E48" s="129" t="s">
        <v>332</v>
      </c>
      <c r="F48" s="130"/>
    </row>
    <row r="49" spans="2:6" ht="30" x14ac:dyDescent="0.25">
      <c r="B49" s="120"/>
      <c r="C49" s="117"/>
      <c r="D49" s="126"/>
      <c r="E49" s="129" t="s">
        <v>333</v>
      </c>
      <c r="F49" s="130"/>
    </row>
    <row r="50" spans="2:6" ht="30" x14ac:dyDescent="0.25">
      <c r="B50" s="120"/>
      <c r="C50" s="117"/>
      <c r="D50" s="126"/>
      <c r="E50" s="129" t="s">
        <v>334</v>
      </c>
      <c r="F50" s="130"/>
    </row>
    <row r="51" spans="2:6" ht="30" x14ac:dyDescent="0.25">
      <c r="B51" s="120"/>
      <c r="C51" s="117"/>
      <c r="D51" s="126"/>
      <c r="E51" s="129" t="s">
        <v>335</v>
      </c>
      <c r="F51" s="130"/>
    </row>
    <row r="52" spans="2:6" ht="30" x14ac:dyDescent="0.25">
      <c r="B52" s="120"/>
      <c r="C52" s="117"/>
      <c r="D52" s="126"/>
      <c r="E52" s="129" t="s">
        <v>336</v>
      </c>
      <c r="F52" s="130"/>
    </row>
    <row r="53" spans="2:6" ht="30" x14ac:dyDescent="0.25">
      <c r="B53" s="120"/>
      <c r="C53" s="117"/>
      <c r="D53" s="126"/>
      <c r="E53" s="129" t="s">
        <v>337</v>
      </c>
      <c r="F53" s="130"/>
    </row>
    <row r="54" spans="2:6" ht="30" x14ac:dyDescent="0.25">
      <c r="B54" s="120"/>
      <c r="C54" s="117"/>
      <c r="D54" s="126"/>
      <c r="E54" s="129" t="s">
        <v>338</v>
      </c>
      <c r="F54" s="130"/>
    </row>
    <row r="55" spans="2:6" ht="30" x14ac:dyDescent="0.25">
      <c r="B55" s="120"/>
      <c r="C55" s="117"/>
      <c r="D55" s="126"/>
      <c r="E55" s="129" t="s">
        <v>339</v>
      </c>
      <c r="F55" s="130"/>
    </row>
    <row r="56" spans="2:6" ht="30" x14ac:dyDescent="0.25">
      <c r="B56" s="120"/>
      <c r="C56" s="117"/>
      <c r="D56" s="126"/>
      <c r="E56" s="129" t="s">
        <v>340</v>
      </c>
      <c r="F56" s="130"/>
    </row>
    <row r="57" spans="2:6" ht="30" x14ac:dyDescent="0.25">
      <c r="B57" s="120"/>
      <c r="C57" s="117"/>
      <c r="D57" s="126"/>
      <c r="E57" s="129" t="s">
        <v>341</v>
      </c>
      <c r="F57" s="130"/>
    </row>
    <row r="58" spans="2:6" ht="30" x14ac:dyDescent="0.25">
      <c r="B58" s="120"/>
      <c r="C58" s="117"/>
      <c r="D58" s="126"/>
      <c r="E58" s="129" t="s">
        <v>342</v>
      </c>
      <c r="F58" s="130"/>
    </row>
    <row r="59" spans="2:6" ht="30" x14ac:dyDescent="0.25">
      <c r="B59" s="120"/>
      <c r="C59" s="117"/>
      <c r="D59" s="126"/>
      <c r="E59" s="129" t="s">
        <v>343</v>
      </c>
      <c r="F59" s="130"/>
    </row>
    <row r="60" spans="2:6" ht="30" x14ac:dyDescent="0.25">
      <c r="B60" s="120"/>
      <c r="C60" s="117"/>
      <c r="D60" s="126"/>
      <c r="E60" s="129" t="s">
        <v>344</v>
      </c>
      <c r="F60" s="130"/>
    </row>
    <row r="61" spans="2:6" ht="30" x14ac:dyDescent="0.25">
      <c r="B61" s="120"/>
      <c r="C61" s="117"/>
      <c r="D61" s="126"/>
      <c r="E61" s="129" t="s">
        <v>345</v>
      </c>
      <c r="F61" s="130"/>
    </row>
    <row r="62" spans="2:6" ht="30" x14ac:dyDescent="0.25">
      <c r="B62" s="120"/>
      <c r="C62" s="117"/>
      <c r="D62" s="126"/>
      <c r="E62" s="129" t="s">
        <v>346</v>
      </c>
      <c r="F62" s="130"/>
    </row>
    <row r="63" spans="2:6" ht="30" x14ac:dyDescent="0.25">
      <c r="B63" s="120"/>
      <c r="C63" s="117"/>
      <c r="D63" s="126"/>
      <c r="E63" s="129" t="s">
        <v>347</v>
      </c>
      <c r="F63" s="130"/>
    </row>
    <row r="64" spans="2:6" ht="30" x14ac:dyDescent="0.25">
      <c r="B64" s="120"/>
      <c r="C64" s="117"/>
      <c r="D64" s="126"/>
      <c r="E64" s="129" t="s">
        <v>348</v>
      </c>
      <c r="F64" s="130"/>
    </row>
    <row r="65" spans="2:6" ht="30" x14ac:dyDescent="0.25">
      <c r="B65" s="120"/>
      <c r="C65" s="117"/>
      <c r="D65" s="126"/>
      <c r="E65" s="129" t="s">
        <v>349</v>
      </c>
      <c r="F65" s="130"/>
    </row>
    <row r="66" spans="2:6" ht="30" x14ac:dyDescent="0.25">
      <c r="B66" s="120"/>
      <c r="C66" s="117"/>
      <c r="D66" s="126"/>
      <c r="E66" s="129" t="s">
        <v>350</v>
      </c>
      <c r="F66" s="130"/>
    </row>
    <row r="67" spans="2:6" ht="30" x14ac:dyDescent="0.25">
      <c r="B67" s="120"/>
      <c r="C67" s="117"/>
      <c r="D67" s="126"/>
      <c r="E67" s="129" t="s">
        <v>351</v>
      </c>
      <c r="F67" s="130"/>
    </row>
    <row r="68" spans="2:6" ht="30" x14ac:dyDescent="0.25">
      <c r="B68" s="120"/>
      <c r="C68" s="117"/>
      <c r="D68" s="126"/>
      <c r="E68" s="129" t="s">
        <v>352</v>
      </c>
      <c r="F68" s="130"/>
    </row>
    <row r="69" spans="2:6" ht="30" x14ac:dyDescent="0.25">
      <c r="B69" s="120"/>
      <c r="C69" s="117"/>
      <c r="D69" s="126"/>
      <c r="E69" s="129" t="s">
        <v>353</v>
      </c>
      <c r="F69" s="130"/>
    </row>
    <row r="70" spans="2:6" ht="30" x14ac:dyDescent="0.25">
      <c r="B70" s="120"/>
      <c r="C70" s="117"/>
      <c r="D70" s="126"/>
      <c r="E70" s="129" t="s">
        <v>354</v>
      </c>
      <c r="F70" s="130"/>
    </row>
    <row r="71" spans="2:6" ht="30" x14ac:dyDescent="0.25">
      <c r="B71" s="120"/>
      <c r="C71" s="117"/>
      <c r="D71" s="126"/>
      <c r="E71" s="129" t="s">
        <v>355</v>
      </c>
      <c r="F71" s="130"/>
    </row>
    <row r="72" spans="2:6" ht="30" x14ac:dyDescent="0.25">
      <c r="B72" s="120"/>
      <c r="C72" s="117"/>
      <c r="D72" s="126"/>
      <c r="E72" s="129" t="s">
        <v>356</v>
      </c>
      <c r="F72" s="130"/>
    </row>
    <row r="73" spans="2:6" ht="30" x14ac:dyDescent="0.25">
      <c r="B73" s="120"/>
      <c r="C73" s="117"/>
      <c r="D73" s="126"/>
      <c r="E73" s="129" t="s">
        <v>357</v>
      </c>
      <c r="F73" s="130"/>
    </row>
    <row r="74" spans="2:6" ht="30" x14ac:dyDescent="0.25">
      <c r="B74" s="120"/>
      <c r="C74" s="117"/>
      <c r="D74" s="126"/>
      <c r="E74" s="129" t="s">
        <v>358</v>
      </c>
      <c r="F74" s="130"/>
    </row>
    <row r="75" spans="2:6" ht="30" x14ac:dyDescent="0.25">
      <c r="B75" s="120"/>
      <c r="C75" s="117"/>
      <c r="D75" s="126"/>
      <c r="E75" s="129" t="s">
        <v>359</v>
      </c>
      <c r="F75" s="130"/>
    </row>
    <row r="76" spans="2:6" ht="30" x14ac:dyDescent="0.25">
      <c r="B76" s="120"/>
      <c r="C76" s="117"/>
      <c r="D76" s="126"/>
      <c r="E76" s="129" t="s">
        <v>360</v>
      </c>
      <c r="F76" s="130"/>
    </row>
    <row r="77" spans="2:6" ht="30" x14ac:dyDescent="0.25">
      <c r="B77" s="120"/>
      <c r="C77" s="117"/>
      <c r="D77" s="126"/>
      <c r="E77" s="129" t="s">
        <v>361</v>
      </c>
      <c r="F77" s="130"/>
    </row>
    <row r="78" spans="2:6" ht="30" x14ac:dyDescent="0.25">
      <c r="B78" s="120"/>
      <c r="C78" s="117"/>
      <c r="D78" s="126"/>
      <c r="E78" s="129" t="s">
        <v>362</v>
      </c>
      <c r="F78" s="130"/>
    </row>
    <row r="79" spans="2:6" ht="30" x14ac:dyDescent="0.25">
      <c r="B79" s="120"/>
      <c r="C79" s="117"/>
      <c r="D79" s="126"/>
      <c r="E79" s="129" t="s">
        <v>363</v>
      </c>
      <c r="F79" s="130"/>
    </row>
    <row r="80" spans="2:6" ht="30" x14ac:dyDescent="0.25">
      <c r="B80" s="120"/>
      <c r="C80" s="117"/>
      <c r="D80" s="126"/>
      <c r="E80" s="129" t="s">
        <v>364</v>
      </c>
      <c r="F80" s="130"/>
    </row>
    <row r="81" spans="2:6" ht="30" x14ac:dyDescent="0.25">
      <c r="B81" s="120"/>
      <c r="C81" s="117"/>
      <c r="D81" s="126"/>
      <c r="E81" s="129" t="s">
        <v>365</v>
      </c>
      <c r="F81" s="130"/>
    </row>
    <row r="82" spans="2:6" ht="30" x14ac:dyDescent="0.25">
      <c r="B82" s="120"/>
      <c r="C82" s="117"/>
      <c r="D82" s="126"/>
      <c r="E82" s="129" t="s">
        <v>366</v>
      </c>
      <c r="F82" s="130"/>
    </row>
    <row r="83" spans="2:6" ht="30" x14ac:dyDescent="0.25">
      <c r="B83" s="120"/>
      <c r="C83" s="117"/>
      <c r="D83" s="126"/>
      <c r="E83" s="129" t="s">
        <v>367</v>
      </c>
      <c r="F83" s="130"/>
    </row>
    <row r="84" spans="2:6" ht="30" x14ac:dyDescent="0.25">
      <c r="B84" s="120"/>
      <c r="C84" s="117"/>
      <c r="D84" s="126"/>
      <c r="E84" s="129" t="s">
        <v>368</v>
      </c>
      <c r="F84" s="130"/>
    </row>
    <row r="85" spans="2:6" ht="30" x14ac:dyDescent="0.25">
      <c r="B85" s="120"/>
      <c r="C85" s="117"/>
      <c r="D85" s="126"/>
      <c r="E85" s="129" t="s">
        <v>369</v>
      </c>
      <c r="F85" s="130"/>
    </row>
    <row r="86" spans="2:6" ht="30" x14ac:dyDescent="0.25">
      <c r="B86" s="120"/>
      <c r="C86" s="117"/>
      <c r="D86" s="126"/>
      <c r="E86" s="129" t="s">
        <v>370</v>
      </c>
      <c r="F86" s="130"/>
    </row>
    <row r="87" spans="2:6" ht="30" x14ac:dyDescent="0.25">
      <c r="B87" s="120"/>
      <c r="C87" s="117"/>
      <c r="D87" s="126"/>
      <c r="E87" s="129" t="s">
        <v>371</v>
      </c>
      <c r="F87" s="130"/>
    </row>
    <row r="88" spans="2:6" ht="30" x14ac:dyDescent="0.25">
      <c r="B88" s="120"/>
      <c r="C88" s="117"/>
      <c r="D88" s="126"/>
      <c r="E88" s="129" t="s">
        <v>372</v>
      </c>
      <c r="F88" s="130"/>
    </row>
    <row r="89" spans="2:6" ht="30" x14ac:dyDescent="0.25">
      <c r="B89" s="120"/>
      <c r="C89" s="117"/>
      <c r="D89" s="126"/>
      <c r="E89" s="129" t="s">
        <v>373</v>
      </c>
      <c r="F89" s="130"/>
    </row>
    <row r="90" spans="2:6" ht="30" x14ac:dyDescent="0.25">
      <c r="B90" s="120"/>
      <c r="C90" s="117"/>
      <c r="D90" s="126"/>
      <c r="E90" s="129" t="s">
        <v>374</v>
      </c>
      <c r="F90" s="130"/>
    </row>
    <row r="91" spans="2:6" ht="30" x14ac:dyDescent="0.25">
      <c r="B91" s="120"/>
      <c r="C91" s="117"/>
      <c r="D91" s="126"/>
      <c r="E91" s="129" t="s">
        <v>375</v>
      </c>
      <c r="F91" s="130"/>
    </row>
    <row r="92" spans="2:6" ht="30" x14ac:dyDescent="0.25">
      <c r="B92" s="120"/>
      <c r="C92" s="117"/>
      <c r="D92" s="126"/>
      <c r="E92" s="129" t="s">
        <v>376</v>
      </c>
      <c r="F92" s="130"/>
    </row>
    <row r="93" spans="2:6" ht="30" x14ac:dyDescent="0.25">
      <c r="B93" s="120"/>
      <c r="C93" s="117"/>
      <c r="D93" s="126"/>
      <c r="E93" s="129" t="s">
        <v>377</v>
      </c>
      <c r="F93" s="130"/>
    </row>
    <row r="94" spans="2:6" ht="30" x14ac:dyDescent="0.25">
      <c r="B94" s="120"/>
      <c r="C94" s="117"/>
      <c r="D94" s="126"/>
      <c r="E94" s="129" t="s">
        <v>378</v>
      </c>
      <c r="F94" s="130"/>
    </row>
    <row r="95" spans="2:6" ht="30" x14ac:dyDescent="0.25">
      <c r="B95" s="120"/>
      <c r="C95" s="117"/>
      <c r="D95" s="126"/>
      <c r="E95" s="129" t="s">
        <v>379</v>
      </c>
      <c r="F95" s="130"/>
    </row>
    <row r="96" spans="2:6" ht="30" x14ac:dyDescent="0.25">
      <c r="B96" s="120"/>
      <c r="C96" s="117"/>
      <c r="D96" s="126"/>
      <c r="E96" s="129" t="s">
        <v>380</v>
      </c>
      <c r="F96" s="130"/>
    </row>
    <row r="97" spans="2:6" ht="30" x14ac:dyDescent="0.25">
      <c r="B97" s="120"/>
      <c r="C97" s="117"/>
      <c r="D97" s="126"/>
      <c r="E97" s="129" t="s">
        <v>381</v>
      </c>
      <c r="F97" s="130"/>
    </row>
    <row r="98" spans="2:6" ht="30" x14ac:dyDescent="0.25">
      <c r="B98" s="120"/>
      <c r="C98" s="117"/>
      <c r="D98" s="126"/>
      <c r="E98" s="129" t="s">
        <v>382</v>
      </c>
      <c r="F98" s="130"/>
    </row>
    <row r="99" spans="2:6" ht="30" x14ac:dyDescent="0.25">
      <c r="B99" s="120"/>
      <c r="C99" s="117"/>
      <c r="D99" s="126"/>
      <c r="E99" s="129" t="s">
        <v>383</v>
      </c>
      <c r="F99" s="130"/>
    </row>
    <row r="100" spans="2:6" ht="30" x14ac:dyDescent="0.25">
      <c r="B100" s="120"/>
      <c r="C100" s="117"/>
      <c r="D100" s="126"/>
      <c r="E100" s="129" t="s">
        <v>384</v>
      </c>
      <c r="F100" s="130"/>
    </row>
    <row r="101" spans="2:6" ht="30" x14ac:dyDescent="0.25">
      <c r="B101" s="120"/>
      <c r="C101" s="117"/>
      <c r="D101" s="126"/>
      <c r="E101" s="129" t="s">
        <v>385</v>
      </c>
      <c r="F101" s="130"/>
    </row>
    <row r="102" spans="2:6" ht="30" x14ac:dyDescent="0.25">
      <c r="B102" s="120"/>
      <c r="C102" s="117"/>
      <c r="D102" s="126"/>
      <c r="E102" s="129" t="s">
        <v>386</v>
      </c>
      <c r="F102" s="130"/>
    </row>
    <row r="103" spans="2:6" ht="30" x14ac:dyDescent="0.25">
      <c r="B103" s="120"/>
      <c r="C103" s="117"/>
      <c r="D103" s="126"/>
      <c r="E103" s="129" t="s">
        <v>387</v>
      </c>
      <c r="F103" s="130"/>
    </row>
    <row r="104" spans="2:6" ht="30" x14ac:dyDescent="0.25">
      <c r="B104" s="120"/>
      <c r="C104" s="117"/>
      <c r="D104" s="126"/>
      <c r="E104" s="129" t="s">
        <v>388</v>
      </c>
      <c r="F104" s="130"/>
    </row>
    <row r="105" spans="2:6" ht="30" x14ac:dyDescent="0.25">
      <c r="B105" s="120"/>
      <c r="C105" s="117"/>
      <c r="D105" s="126"/>
      <c r="E105" s="129" t="s">
        <v>389</v>
      </c>
      <c r="F105" s="130"/>
    </row>
    <row r="106" spans="2:6" ht="30" x14ac:dyDescent="0.25">
      <c r="B106" s="120"/>
      <c r="C106" s="117"/>
      <c r="D106" s="126"/>
      <c r="E106" s="129" t="s">
        <v>390</v>
      </c>
      <c r="F106" s="130"/>
    </row>
    <row r="107" spans="2:6" ht="30" x14ac:dyDescent="0.25">
      <c r="B107" s="120"/>
      <c r="C107" s="117"/>
      <c r="D107" s="126"/>
      <c r="E107" s="129" t="s">
        <v>391</v>
      </c>
      <c r="F107" s="130"/>
    </row>
    <row r="108" spans="2:6" ht="30" x14ac:dyDescent="0.25">
      <c r="B108" s="120"/>
      <c r="C108" s="117"/>
      <c r="D108" s="126"/>
      <c r="E108" s="129" t="s">
        <v>392</v>
      </c>
      <c r="F108" s="130"/>
    </row>
    <row r="109" spans="2:6" ht="30" x14ac:dyDescent="0.25">
      <c r="B109" s="120"/>
      <c r="C109" s="117"/>
      <c r="D109" s="126"/>
      <c r="E109" s="129" t="s">
        <v>393</v>
      </c>
      <c r="F109" s="130"/>
    </row>
    <row r="110" spans="2:6" ht="30" x14ac:dyDescent="0.25">
      <c r="B110" s="120"/>
      <c r="C110" s="117"/>
      <c r="D110" s="126"/>
      <c r="E110" s="129" t="s">
        <v>394</v>
      </c>
      <c r="F110" s="130"/>
    </row>
    <row r="111" spans="2:6" ht="30" x14ac:dyDescent="0.25">
      <c r="B111" s="120"/>
      <c r="C111" s="117"/>
      <c r="D111" s="126"/>
      <c r="E111" s="129" t="s">
        <v>395</v>
      </c>
      <c r="F111" s="130"/>
    </row>
    <row r="112" spans="2:6" ht="30" x14ac:dyDescent="0.25">
      <c r="B112" s="120"/>
      <c r="C112" s="117"/>
      <c r="D112" s="126"/>
      <c r="E112" s="129" t="s">
        <v>396</v>
      </c>
      <c r="F112" s="130"/>
    </row>
    <row r="113" spans="2:6" ht="30" x14ac:dyDescent="0.25">
      <c r="B113" s="120"/>
      <c r="C113" s="117"/>
      <c r="D113" s="126"/>
      <c r="E113" s="129" t="s">
        <v>397</v>
      </c>
      <c r="F113" s="130"/>
    </row>
    <row r="114" spans="2:6" ht="30" x14ac:dyDescent="0.25">
      <c r="B114" s="120"/>
      <c r="C114" s="117"/>
      <c r="D114" s="126"/>
      <c r="E114" s="129" t="s">
        <v>398</v>
      </c>
      <c r="F114" s="130"/>
    </row>
    <row r="115" spans="2:6" ht="30" x14ac:dyDescent="0.25">
      <c r="B115" s="120"/>
      <c r="C115" s="117"/>
      <c r="D115" s="126"/>
      <c r="E115" s="129" t="s">
        <v>399</v>
      </c>
      <c r="F115" s="130"/>
    </row>
    <row r="116" spans="2:6" ht="30" x14ac:dyDescent="0.25">
      <c r="B116" s="120"/>
      <c r="C116" s="117"/>
      <c r="D116" s="126"/>
      <c r="E116" s="129" t="s">
        <v>400</v>
      </c>
      <c r="F116" s="130"/>
    </row>
    <row r="117" spans="2:6" ht="30" x14ac:dyDescent="0.25">
      <c r="B117" s="120"/>
      <c r="C117" s="117"/>
      <c r="D117" s="126"/>
      <c r="E117" s="129" t="s">
        <v>401</v>
      </c>
      <c r="F117" s="130"/>
    </row>
    <row r="118" spans="2:6" ht="30" x14ac:dyDescent="0.25">
      <c r="B118" s="120"/>
      <c r="C118" s="117"/>
      <c r="D118" s="126"/>
      <c r="E118" s="129" t="s">
        <v>402</v>
      </c>
      <c r="F118" s="130"/>
    </row>
    <row r="119" spans="2:6" ht="30" x14ac:dyDescent="0.25">
      <c r="B119" s="120"/>
      <c r="C119" s="117"/>
      <c r="D119" s="126"/>
      <c r="E119" s="129" t="s">
        <v>403</v>
      </c>
      <c r="F119" s="130"/>
    </row>
    <row r="120" spans="2:6" ht="30" x14ac:dyDescent="0.25">
      <c r="B120" s="120"/>
      <c r="C120" s="117"/>
      <c r="D120" s="126"/>
      <c r="E120" s="129" t="s">
        <v>404</v>
      </c>
      <c r="F120" s="130"/>
    </row>
    <row r="121" spans="2:6" ht="30" x14ac:dyDescent="0.25">
      <c r="B121" s="120"/>
      <c r="C121" s="117"/>
      <c r="D121" s="126"/>
      <c r="E121" s="129" t="s">
        <v>405</v>
      </c>
      <c r="F121" s="130"/>
    </row>
    <row r="122" spans="2:6" ht="30" x14ac:dyDescent="0.25">
      <c r="B122" s="120"/>
      <c r="C122" s="117"/>
      <c r="D122" s="126"/>
      <c r="E122" s="129" t="s">
        <v>406</v>
      </c>
      <c r="F122" s="130"/>
    </row>
    <row r="123" spans="2:6" ht="30" x14ac:dyDescent="0.25">
      <c r="B123" s="120"/>
      <c r="C123" s="117"/>
      <c r="D123" s="126"/>
      <c r="E123" s="129" t="s">
        <v>407</v>
      </c>
      <c r="F123" s="130"/>
    </row>
    <row r="124" spans="2:6" ht="30" x14ac:dyDescent="0.25">
      <c r="B124" s="120"/>
      <c r="C124" s="117"/>
      <c r="D124" s="126"/>
      <c r="E124" s="129" t="s">
        <v>408</v>
      </c>
      <c r="F124" s="130"/>
    </row>
    <row r="125" spans="2:6" ht="30" x14ac:dyDescent="0.25">
      <c r="B125" s="120"/>
      <c r="C125" s="117"/>
      <c r="D125" s="126"/>
      <c r="E125" s="129" t="s">
        <v>409</v>
      </c>
      <c r="F125" s="130"/>
    </row>
    <row r="126" spans="2:6" ht="30" x14ac:dyDescent="0.25">
      <c r="B126" s="120"/>
      <c r="C126" s="117"/>
      <c r="D126" s="126"/>
      <c r="E126" s="129" t="s">
        <v>410</v>
      </c>
      <c r="F126" s="130"/>
    </row>
    <row r="127" spans="2:6" ht="30" x14ac:dyDescent="0.25">
      <c r="B127" s="120"/>
      <c r="C127" s="117"/>
      <c r="D127" s="126"/>
      <c r="E127" s="129" t="s">
        <v>411</v>
      </c>
      <c r="F127" s="130"/>
    </row>
    <row r="128" spans="2:6" ht="30.75" thickBot="1" x14ac:dyDescent="0.3">
      <c r="B128" s="121"/>
      <c r="C128" s="122"/>
      <c r="D128" s="131"/>
      <c r="E128" s="132" t="s">
        <v>412</v>
      </c>
      <c r="F128" s="133"/>
    </row>
    <row r="129" spans="2:6" ht="15.75" thickBot="1" x14ac:dyDescent="0.3">
      <c r="B129" s="117"/>
      <c r="C129" s="117"/>
      <c r="D129" s="126"/>
      <c r="E129" s="126"/>
      <c r="F129" s="126"/>
    </row>
    <row r="130" spans="2:6" ht="60" x14ac:dyDescent="0.25">
      <c r="B130" s="118" t="s">
        <v>413</v>
      </c>
      <c r="C130" s="119"/>
      <c r="D130" s="127"/>
      <c r="E130" s="127">
        <v>33</v>
      </c>
      <c r="F130" s="128"/>
    </row>
    <row r="131" spans="2:6" x14ac:dyDescent="0.25">
      <c r="B131" s="120"/>
      <c r="C131" s="117"/>
      <c r="D131" s="126"/>
      <c r="E131" s="129" t="s">
        <v>414</v>
      </c>
      <c r="F131" s="130" t="s">
        <v>293</v>
      </c>
    </row>
    <row r="132" spans="2:6" x14ac:dyDescent="0.25">
      <c r="B132" s="120"/>
      <c r="C132" s="117"/>
      <c r="D132" s="126"/>
      <c r="E132" s="129" t="s">
        <v>415</v>
      </c>
      <c r="F132" s="130"/>
    </row>
    <row r="133" spans="2:6" x14ac:dyDescent="0.25">
      <c r="B133" s="120"/>
      <c r="C133" s="117"/>
      <c r="D133" s="126"/>
      <c r="E133" s="129" t="s">
        <v>416</v>
      </c>
      <c r="F133" s="130"/>
    </row>
    <row r="134" spans="2:6" x14ac:dyDescent="0.25">
      <c r="B134" s="120"/>
      <c r="C134" s="117"/>
      <c r="D134" s="126"/>
      <c r="E134" s="129" t="s">
        <v>417</v>
      </c>
      <c r="F134" s="130"/>
    </row>
    <row r="135" spans="2:6" x14ac:dyDescent="0.25">
      <c r="B135" s="120"/>
      <c r="C135" s="117"/>
      <c r="D135" s="126"/>
      <c r="E135" s="129" t="s">
        <v>418</v>
      </c>
      <c r="F135" s="130"/>
    </row>
    <row r="136" spans="2:6" x14ac:dyDescent="0.25">
      <c r="B136" s="120"/>
      <c r="C136" s="117"/>
      <c r="D136" s="126"/>
      <c r="E136" s="129" t="s">
        <v>419</v>
      </c>
      <c r="F136" s="130"/>
    </row>
    <row r="137" spans="2:6" x14ac:dyDescent="0.25">
      <c r="B137" s="120"/>
      <c r="C137" s="117"/>
      <c r="D137" s="126"/>
      <c r="E137" s="129" t="s">
        <v>420</v>
      </c>
      <c r="F137" s="130"/>
    </row>
    <row r="138" spans="2:6" x14ac:dyDescent="0.25">
      <c r="B138" s="120"/>
      <c r="C138" s="117"/>
      <c r="D138" s="126"/>
      <c r="E138" s="129" t="s">
        <v>421</v>
      </c>
      <c r="F138" s="130"/>
    </row>
    <row r="139" spans="2:6" x14ac:dyDescent="0.25">
      <c r="B139" s="120"/>
      <c r="C139" s="117"/>
      <c r="D139" s="126"/>
      <c r="E139" s="129" t="s">
        <v>422</v>
      </c>
      <c r="F139" s="130"/>
    </row>
    <row r="140" spans="2:6" x14ac:dyDescent="0.25">
      <c r="B140" s="120"/>
      <c r="C140" s="117"/>
      <c r="D140" s="126"/>
      <c r="E140" s="129" t="s">
        <v>423</v>
      </c>
      <c r="F140" s="130"/>
    </row>
    <row r="141" spans="2:6" x14ac:dyDescent="0.25">
      <c r="B141" s="120"/>
      <c r="C141" s="117"/>
      <c r="D141" s="126"/>
      <c r="E141" s="129" t="s">
        <v>424</v>
      </c>
      <c r="F141" s="130"/>
    </row>
    <row r="142" spans="2:6" x14ac:dyDescent="0.25">
      <c r="B142" s="120"/>
      <c r="C142" s="117"/>
      <c r="D142" s="126"/>
      <c r="E142" s="129" t="s">
        <v>425</v>
      </c>
      <c r="F142" s="130"/>
    </row>
    <row r="143" spans="2:6" x14ac:dyDescent="0.25">
      <c r="B143" s="120"/>
      <c r="C143" s="117"/>
      <c r="D143" s="126"/>
      <c r="E143" s="129" t="s">
        <v>426</v>
      </c>
      <c r="F143" s="130"/>
    </row>
    <row r="144" spans="2:6" x14ac:dyDescent="0.25">
      <c r="B144" s="120"/>
      <c r="C144" s="117"/>
      <c r="D144" s="126"/>
      <c r="E144" s="129" t="s">
        <v>427</v>
      </c>
      <c r="F144" s="130"/>
    </row>
    <row r="145" spans="2:6" x14ac:dyDescent="0.25">
      <c r="B145" s="120"/>
      <c r="C145" s="117"/>
      <c r="D145" s="126"/>
      <c r="E145" s="129" t="s">
        <v>428</v>
      </c>
      <c r="F145" s="130"/>
    </row>
    <row r="146" spans="2:6" x14ac:dyDescent="0.25">
      <c r="B146" s="120"/>
      <c r="C146" s="117"/>
      <c r="D146" s="126"/>
      <c r="E146" s="129" t="s">
        <v>429</v>
      </c>
      <c r="F146" s="130"/>
    </row>
    <row r="147" spans="2:6" x14ac:dyDescent="0.25">
      <c r="B147" s="120"/>
      <c r="C147" s="117"/>
      <c r="D147" s="126"/>
      <c r="E147" s="129" t="s">
        <v>430</v>
      </c>
      <c r="F147" s="130"/>
    </row>
    <row r="148" spans="2:6" x14ac:dyDescent="0.25">
      <c r="B148" s="120"/>
      <c r="C148" s="117"/>
      <c r="D148" s="126"/>
      <c r="E148" s="129" t="s">
        <v>431</v>
      </c>
      <c r="F148" s="130"/>
    </row>
    <row r="149" spans="2:6" x14ac:dyDescent="0.25">
      <c r="B149" s="120"/>
      <c r="C149" s="117"/>
      <c r="D149" s="126"/>
      <c r="E149" s="129" t="s">
        <v>432</v>
      </c>
      <c r="F149" s="130"/>
    </row>
    <row r="150" spans="2:6" x14ac:dyDescent="0.25">
      <c r="B150" s="120"/>
      <c r="C150" s="117"/>
      <c r="D150" s="126"/>
      <c r="E150" s="129" t="s">
        <v>433</v>
      </c>
      <c r="F150" s="130"/>
    </row>
    <row r="151" spans="2:6" x14ac:dyDescent="0.25">
      <c r="B151" s="120"/>
      <c r="C151" s="117"/>
      <c r="D151" s="126"/>
      <c r="E151" s="129" t="s">
        <v>434</v>
      </c>
      <c r="F151" s="130"/>
    </row>
    <row r="152" spans="2:6" x14ac:dyDescent="0.25">
      <c r="B152" s="120"/>
      <c r="C152" s="117"/>
      <c r="D152" s="126"/>
      <c r="E152" s="129" t="s">
        <v>435</v>
      </c>
      <c r="F152" s="130"/>
    </row>
    <row r="153" spans="2:6" ht="30" x14ac:dyDescent="0.25">
      <c r="B153" s="120"/>
      <c r="C153" s="117"/>
      <c r="D153" s="126"/>
      <c r="E153" s="129" t="s">
        <v>436</v>
      </c>
      <c r="F153" s="130"/>
    </row>
    <row r="154" spans="2:6" ht="30" x14ac:dyDescent="0.25">
      <c r="B154" s="120"/>
      <c r="C154" s="117"/>
      <c r="D154" s="126"/>
      <c r="E154" s="129" t="s">
        <v>437</v>
      </c>
      <c r="F154" s="130"/>
    </row>
    <row r="155" spans="2:6" ht="30" x14ac:dyDescent="0.25">
      <c r="B155" s="120"/>
      <c r="C155" s="117"/>
      <c r="D155" s="126"/>
      <c r="E155" s="129" t="s">
        <v>438</v>
      </c>
      <c r="F155" s="130"/>
    </row>
    <row r="156" spans="2:6" x14ac:dyDescent="0.25">
      <c r="B156" s="120"/>
      <c r="C156" s="117"/>
      <c r="D156" s="126"/>
      <c r="E156" s="129" t="s">
        <v>439</v>
      </c>
      <c r="F156" s="130"/>
    </row>
    <row r="157" spans="2:6" x14ac:dyDescent="0.25">
      <c r="B157" s="120"/>
      <c r="C157" s="117"/>
      <c r="D157" s="126"/>
      <c r="E157" s="129" t="s">
        <v>440</v>
      </c>
      <c r="F157" s="130"/>
    </row>
    <row r="158" spans="2:6" x14ac:dyDescent="0.25">
      <c r="B158" s="120"/>
      <c r="C158" s="117"/>
      <c r="D158" s="126"/>
      <c r="E158" s="129" t="s">
        <v>441</v>
      </c>
      <c r="F158" s="130"/>
    </row>
    <row r="159" spans="2:6" x14ac:dyDescent="0.25">
      <c r="B159" s="120"/>
      <c r="C159" s="117"/>
      <c r="D159" s="126"/>
      <c r="E159" s="129" t="s">
        <v>442</v>
      </c>
      <c r="F159" s="130"/>
    </row>
    <row r="160" spans="2:6" x14ac:dyDescent="0.25">
      <c r="B160" s="120"/>
      <c r="C160" s="117"/>
      <c r="D160" s="126"/>
      <c r="E160" s="129" t="s">
        <v>443</v>
      </c>
      <c r="F160" s="130"/>
    </row>
    <row r="161" spans="2:6" x14ac:dyDescent="0.25">
      <c r="B161" s="120"/>
      <c r="C161" s="117"/>
      <c r="D161" s="126"/>
      <c r="E161" s="129" t="s">
        <v>444</v>
      </c>
      <c r="F161" s="130"/>
    </row>
    <row r="162" spans="2:6" x14ac:dyDescent="0.25">
      <c r="B162" s="120"/>
      <c r="C162" s="117"/>
      <c r="D162" s="126"/>
      <c r="E162" s="129" t="s">
        <v>445</v>
      </c>
      <c r="F162" s="130"/>
    </row>
    <row r="163" spans="2:6" ht="15.75" thickBot="1" x14ac:dyDescent="0.3">
      <c r="B163" s="121"/>
      <c r="C163" s="122"/>
      <c r="D163" s="131"/>
      <c r="E163" s="132" t="s">
        <v>446</v>
      </c>
      <c r="F163" s="133"/>
    </row>
    <row r="164" spans="2:6" ht="15.75" thickBot="1" x14ac:dyDescent="0.3">
      <c r="B164" s="117"/>
      <c r="C164" s="117"/>
      <c r="D164" s="126"/>
      <c r="E164" s="126"/>
      <c r="F164" s="126"/>
    </row>
    <row r="165" spans="2:6" ht="60" x14ac:dyDescent="0.25">
      <c r="B165" s="118" t="s">
        <v>447</v>
      </c>
      <c r="C165" s="119"/>
      <c r="D165" s="127"/>
      <c r="E165" s="127">
        <v>69</v>
      </c>
      <c r="F165" s="128"/>
    </row>
    <row r="166" spans="2:6" ht="30" x14ac:dyDescent="0.25">
      <c r="B166" s="120"/>
      <c r="C166" s="117"/>
      <c r="D166" s="126"/>
      <c r="E166" s="129" t="s">
        <v>448</v>
      </c>
      <c r="F166" s="130" t="s">
        <v>293</v>
      </c>
    </row>
    <row r="167" spans="2:6" ht="30" x14ac:dyDescent="0.25">
      <c r="B167" s="120"/>
      <c r="C167" s="117"/>
      <c r="D167" s="126"/>
      <c r="E167" s="129" t="s">
        <v>449</v>
      </c>
      <c r="F167" s="130"/>
    </row>
    <row r="168" spans="2:6" ht="30" x14ac:dyDescent="0.25">
      <c r="B168" s="120"/>
      <c r="C168" s="117"/>
      <c r="D168" s="126"/>
      <c r="E168" s="129" t="s">
        <v>450</v>
      </c>
      <c r="F168" s="130"/>
    </row>
    <row r="169" spans="2:6" ht="30" x14ac:dyDescent="0.25">
      <c r="B169" s="120"/>
      <c r="C169" s="117"/>
      <c r="D169" s="126"/>
      <c r="E169" s="129" t="s">
        <v>436</v>
      </c>
      <c r="F169" s="130"/>
    </row>
    <row r="170" spans="2:6" ht="30" x14ac:dyDescent="0.25">
      <c r="B170" s="120"/>
      <c r="C170" s="117"/>
      <c r="D170" s="126"/>
      <c r="E170" s="129" t="s">
        <v>437</v>
      </c>
      <c r="F170" s="130"/>
    </row>
    <row r="171" spans="2:6" ht="30" x14ac:dyDescent="0.25">
      <c r="B171" s="120"/>
      <c r="C171" s="117"/>
      <c r="D171" s="126"/>
      <c r="E171" s="129" t="s">
        <v>438</v>
      </c>
      <c r="F171" s="130"/>
    </row>
    <row r="172" spans="2:6" x14ac:dyDescent="0.25">
      <c r="B172" s="120"/>
      <c r="C172" s="117"/>
      <c r="D172" s="126"/>
      <c r="E172" s="129" t="s">
        <v>439</v>
      </c>
      <c r="F172" s="130"/>
    </row>
    <row r="173" spans="2:6" x14ac:dyDescent="0.25">
      <c r="B173" s="120"/>
      <c r="C173" s="117"/>
      <c r="D173" s="126"/>
      <c r="E173" s="129" t="s">
        <v>440</v>
      </c>
      <c r="F173" s="130"/>
    </row>
    <row r="174" spans="2:6" x14ac:dyDescent="0.25">
      <c r="B174" s="120"/>
      <c r="C174" s="117"/>
      <c r="D174" s="126"/>
      <c r="E174" s="129" t="s">
        <v>441</v>
      </c>
      <c r="F174" s="130"/>
    </row>
    <row r="175" spans="2:6" x14ac:dyDescent="0.25">
      <c r="B175" s="120"/>
      <c r="C175" s="117"/>
      <c r="D175" s="126"/>
      <c r="E175" s="129" t="s">
        <v>442</v>
      </c>
      <c r="F175" s="130"/>
    </row>
    <row r="176" spans="2:6" x14ac:dyDescent="0.25">
      <c r="B176" s="120"/>
      <c r="C176" s="117"/>
      <c r="D176" s="126"/>
      <c r="E176" s="129" t="s">
        <v>443</v>
      </c>
      <c r="F176" s="130"/>
    </row>
    <row r="177" spans="2:6" x14ac:dyDescent="0.25">
      <c r="B177" s="120"/>
      <c r="C177" s="117"/>
      <c r="D177" s="126"/>
      <c r="E177" s="129" t="s">
        <v>444</v>
      </c>
      <c r="F177" s="130"/>
    </row>
    <row r="178" spans="2:6" x14ac:dyDescent="0.25">
      <c r="B178" s="120"/>
      <c r="C178" s="117"/>
      <c r="D178" s="126"/>
      <c r="E178" s="129" t="s">
        <v>445</v>
      </c>
      <c r="F178" s="130"/>
    </row>
    <row r="179" spans="2:6" x14ac:dyDescent="0.25">
      <c r="B179" s="120"/>
      <c r="C179" s="117"/>
      <c r="D179" s="126"/>
      <c r="E179" s="129" t="s">
        <v>446</v>
      </c>
      <c r="F179" s="130"/>
    </row>
    <row r="180" spans="2:6" ht="30.75" thickBot="1" x14ac:dyDescent="0.3">
      <c r="B180" s="121"/>
      <c r="C180" s="122"/>
      <c r="D180" s="131"/>
      <c r="E180" s="132" t="s">
        <v>451</v>
      </c>
      <c r="F180" s="133"/>
    </row>
    <row r="181" spans="2:6" ht="15.75" thickBot="1" x14ac:dyDescent="0.3">
      <c r="B181" s="117"/>
      <c r="C181" s="117"/>
      <c r="D181" s="126"/>
      <c r="E181" s="126"/>
      <c r="F181" s="126"/>
    </row>
    <row r="182" spans="2:6" ht="45" x14ac:dyDescent="0.25">
      <c r="B182" s="118" t="s">
        <v>452</v>
      </c>
      <c r="C182" s="119"/>
      <c r="D182" s="127"/>
      <c r="E182" s="127">
        <v>5</v>
      </c>
      <c r="F182" s="128"/>
    </row>
    <row r="183" spans="2:6" ht="30" x14ac:dyDescent="0.25">
      <c r="B183" s="120"/>
      <c r="C183" s="117"/>
      <c r="D183" s="126"/>
      <c r="E183" s="129" t="s">
        <v>453</v>
      </c>
      <c r="F183" s="130" t="s">
        <v>293</v>
      </c>
    </row>
    <row r="184" spans="2:6" ht="30" x14ac:dyDescent="0.25">
      <c r="B184" s="120"/>
      <c r="C184" s="117"/>
      <c r="D184" s="126"/>
      <c r="E184" s="129" t="s">
        <v>454</v>
      </c>
      <c r="F184" s="130"/>
    </row>
    <row r="185" spans="2:6" ht="30" x14ac:dyDescent="0.25">
      <c r="B185" s="120"/>
      <c r="C185" s="117"/>
      <c r="D185" s="126"/>
      <c r="E185" s="129" t="s">
        <v>455</v>
      </c>
      <c r="F185" s="130"/>
    </row>
    <row r="186" spans="2:6" ht="30" x14ac:dyDescent="0.25">
      <c r="B186" s="120"/>
      <c r="C186" s="117"/>
      <c r="D186" s="126"/>
      <c r="E186" s="129" t="s">
        <v>456</v>
      </c>
      <c r="F186" s="130"/>
    </row>
    <row r="187" spans="2:6" ht="30.75" thickBot="1" x14ac:dyDescent="0.3">
      <c r="B187" s="121"/>
      <c r="C187" s="122"/>
      <c r="D187" s="131"/>
      <c r="E187" s="132" t="s">
        <v>457</v>
      </c>
      <c r="F187" s="133" t="s">
        <v>293</v>
      </c>
    </row>
    <row r="188" spans="2:6" x14ac:dyDescent="0.25">
      <c r="B188" s="117"/>
      <c r="C188" s="117"/>
      <c r="D188" s="126"/>
      <c r="E188" s="126"/>
      <c r="F188" s="126"/>
    </row>
    <row r="189" spans="2:6" x14ac:dyDescent="0.25">
      <c r="B189" s="117"/>
      <c r="C189" s="117"/>
      <c r="D189" s="126"/>
      <c r="E189" s="126"/>
      <c r="F189" s="126"/>
    </row>
    <row r="190" spans="2:6" x14ac:dyDescent="0.25">
      <c r="B190" s="116" t="s">
        <v>458</v>
      </c>
      <c r="C190" s="116"/>
      <c r="D190" s="125"/>
      <c r="E190" s="125"/>
      <c r="F190" s="125"/>
    </row>
    <row r="191" spans="2:6" ht="15.75" thickBot="1" x14ac:dyDescent="0.3">
      <c r="B191" s="117"/>
      <c r="C191" s="117"/>
      <c r="D191" s="126"/>
      <c r="E191" s="126"/>
      <c r="F191" s="126"/>
    </row>
    <row r="192" spans="2:6" ht="30" x14ac:dyDescent="0.25">
      <c r="B192" s="118" t="s">
        <v>459</v>
      </c>
      <c r="C192" s="119"/>
      <c r="D192" s="127"/>
      <c r="E192" s="127">
        <v>1</v>
      </c>
      <c r="F192" s="128"/>
    </row>
    <row r="193" spans="2:6" ht="45.75" thickBot="1" x14ac:dyDescent="0.3">
      <c r="B193" s="121"/>
      <c r="C193" s="122"/>
      <c r="D193" s="131"/>
      <c r="E193" s="132" t="s">
        <v>460</v>
      </c>
      <c r="F193" s="133" t="s">
        <v>293</v>
      </c>
    </row>
    <row r="194" spans="2:6" ht="15.75" thickBot="1" x14ac:dyDescent="0.3">
      <c r="B194" s="117"/>
      <c r="C194" s="117"/>
      <c r="D194" s="126"/>
      <c r="E194" s="126"/>
      <c r="F194" s="126"/>
    </row>
    <row r="195" spans="2:6" ht="45" x14ac:dyDescent="0.25">
      <c r="B195" s="118" t="s">
        <v>461</v>
      </c>
      <c r="C195" s="119"/>
      <c r="D195" s="127"/>
      <c r="E195" s="127">
        <v>1</v>
      </c>
      <c r="F195" s="128"/>
    </row>
    <row r="196" spans="2:6" ht="45.75" thickBot="1" x14ac:dyDescent="0.3">
      <c r="B196" s="121"/>
      <c r="C196" s="122"/>
      <c r="D196" s="131"/>
      <c r="E196" s="132" t="s">
        <v>462</v>
      </c>
      <c r="F196" s="133" t="s">
        <v>293</v>
      </c>
    </row>
    <row r="197" spans="2:6" ht="15.75" thickBot="1" x14ac:dyDescent="0.3">
      <c r="B197" s="117"/>
      <c r="C197" s="117"/>
      <c r="D197" s="126"/>
      <c r="E197" s="126"/>
      <c r="F197" s="126"/>
    </row>
    <row r="198" spans="2:6" ht="60" x14ac:dyDescent="0.25">
      <c r="B198" s="118" t="s">
        <v>463</v>
      </c>
      <c r="C198" s="119"/>
      <c r="D198" s="127"/>
      <c r="E198" s="127">
        <v>1</v>
      </c>
      <c r="F198" s="128"/>
    </row>
    <row r="199" spans="2:6" ht="45.75" thickBot="1" x14ac:dyDescent="0.3">
      <c r="B199" s="121"/>
      <c r="C199" s="122"/>
      <c r="D199" s="131"/>
      <c r="E199" s="132" t="s">
        <v>462</v>
      </c>
      <c r="F199" s="133" t="s">
        <v>293</v>
      </c>
    </row>
    <row r="200" spans="2:6" ht="15.75" thickBot="1" x14ac:dyDescent="0.3">
      <c r="B200" s="117"/>
      <c r="C200" s="117"/>
      <c r="D200" s="126"/>
      <c r="E200" s="126"/>
      <c r="F200" s="126"/>
    </row>
    <row r="201" spans="2:6" ht="45.75" thickBot="1" x14ac:dyDescent="0.3">
      <c r="B201" s="123" t="s">
        <v>464</v>
      </c>
      <c r="C201" s="124"/>
      <c r="D201" s="134"/>
      <c r="E201" s="134">
        <v>163</v>
      </c>
      <c r="F201" s="135" t="s">
        <v>293</v>
      </c>
    </row>
    <row r="202" spans="2:6" x14ac:dyDescent="0.25">
      <c r="B202" s="117"/>
      <c r="C202" s="117"/>
      <c r="D202" s="126"/>
      <c r="E202" s="126"/>
      <c r="F202" s="126"/>
    </row>
  </sheetData>
  <hyperlinks>
    <hyperlink ref="E9" location="'Mapa final'!Z10:AA10" display="'Mapa final'!Z10:AA10"/>
    <hyperlink ref="E10" location="'Mapa final'!AC10:AE10" display="'Mapa final'!AC10:AE10"/>
    <hyperlink ref="E11" location="'Mapa final'!Z11:AA11" display="'Mapa final'!Z11:AA11"/>
    <hyperlink ref="E12" location="'Mapa final'!AC11:AE11" display="'Mapa final'!AC11:AE11"/>
    <hyperlink ref="E13" location="'Mapa final'!Z12:AA12" display="'Mapa final'!Z12:AA12"/>
    <hyperlink ref="E14" location="'Mapa final'!AC12:AE12" display="'Mapa final'!AC12:AE12"/>
    <hyperlink ref="E15" location="'Mapa final'!Z13:AA13" display="'Mapa final'!Z13:AA13"/>
    <hyperlink ref="E16" location="'Mapa final'!AC13:AE13" display="'Mapa final'!AC13:AE13"/>
    <hyperlink ref="E17" location="'Mapa final'!Z14:AA14" display="'Mapa final'!Z14:AA14"/>
    <hyperlink ref="E18" location="'Mapa final'!AC14:AE14" display="'Mapa final'!AC14:AE14"/>
    <hyperlink ref="E19" location="'Mapa final'!Z15:AA15" display="'Mapa final'!Z15:AA15"/>
    <hyperlink ref="E20" location="'Mapa final'!AC15:AE15" display="'Mapa final'!AC15:AE15"/>
    <hyperlink ref="E21" location="'Mapa final'!Z16:AA16" display="'Mapa final'!Z16:AA16"/>
    <hyperlink ref="E22" location="'Mapa final'!AC16:AE16" display="'Mapa final'!AC16:AE16"/>
    <hyperlink ref="E23" location="'Mapa final'!Z17:AA17" display="'Mapa final'!Z17:AA17"/>
    <hyperlink ref="E24" location="'Mapa final'!AC17:AE17" display="'Mapa final'!AC17:AE17"/>
    <hyperlink ref="E25" location="'Mapa final'!Z18:AA18" display="'Mapa final'!Z18:AA18"/>
    <hyperlink ref="E26" location="'Mapa final'!AC18:AE18" display="'Mapa final'!AC18:AE18"/>
    <hyperlink ref="E27" location="'Mapa final'!Z19:AA19" display="'Mapa final'!Z19:AA19"/>
    <hyperlink ref="E28" location="'Mapa final'!AC19:AE19" display="'Mapa final'!AC19:AE19"/>
    <hyperlink ref="E29" location="'Mapa final'!Z20:AA20" display="'Mapa final'!Z20:AA20"/>
    <hyperlink ref="E30" location="'Mapa final'!AC20:AE20" display="'Mapa final'!AC20:AE20"/>
    <hyperlink ref="E31" location="'Mapa final'!Z21:AA21" display="'Mapa final'!Z21:AA21"/>
    <hyperlink ref="E32" location="'Mapa final'!AC21:AE21" display="'Mapa final'!AC21:AE21"/>
    <hyperlink ref="E33" location="'Mapa final'!Z22:AA22" display="'Mapa final'!Z22:AA22"/>
    <hyperlink ref="E34" location="'Mapa final'!AC22:AE22" display="'Mapa final'!AC22:AE22"/>
    <hyperlink ref="E35" location="'Mapa final'!Z23:AA23" display="'Mapa final'!Z23:AA23"/>
    <hyperlink ref="E36" location="'Mapa final'!AC23:AE23" display="'Mapa final'!AC23:AE23"/>
    <hyperlink ref="E37" location="'Mapa final'!Z24:AA24" display="'Mapa final'!Z24:AA24"/>
    <hyperlink ref="E38" location="'Mapa final'!AC24:AE24" display="'Mapa final'!AC24:AE24"/>
    <hyperlink ref="E39" location="'Mapa final'!Z25:AA25" display="'Mapa final'!Z25:AA25"/>
    <hyperlink ref="E40" location="'Mapa final'!AC25:AE25" display="'Mapa final'!AC25:AE25"/>
    <hyperlink ref="E41" location="'Mapa final'!Z26:AA26" display="'Mapa final'!Z26:AA26"/>
    <hyperlink ref="E42" location="'Mapa final'!AC26:AE26" display="'Mapa final'!AC26:AE26"/>
    <hyperlink ref="E43" location="'Mapa final'!Z27:AA27" display="'Mapa final'!Z27:AA27"/>
    <hyperlink ref="E44" location="'Mapa final'!AC27:AE27" display="'Mapa final'!AC27:AE27"/>
    <hyperlink ref="E45" location="'Mapa final'!Z28:AA28" display="'Mapa final'!Z28:AA28"/>
    <hyperlink ref="E46" location="'Mapa final'!AC28:AE28" display="'Mapa final'!AC28:AE28"/>
    <hyperlink ref="E47" location="'Mapa final'!Z29:AA29" display="'Mapa final'!Z29:AA29"/>
    <hyperlink ref="E48" location="'Mapa final'!AC29:AE29" display="'Mapa final'!AC29:AE29"/>
    <hyperlink ref="E49" location="'Mapa final'!Z30:AA30" display="'Mapa final'!Z30:AA30"/>
    <hyperlink ref="E50" location="'Mapa final'!AC30:AE30" display="'Mapa final'!AC30:AE30"/>
    <hyperlink ref="E51" location="'Mapa final'!Z31:AA31" display="'Mapa final'!Z31:AA31"/>
    <hyperlink ref="E52" location="'Mapa final'!AC31:AE31" display="'Mapa final'!AC31:AE31"/>
    <hyperlink ref="E53" location="'Mapa final'!Z32:AA32" display="'Mapa final'!Z32:AA32"/>
    <hyperlink ref="E54" location="'Mapa final'!AC32:AE32" display="'Mapa final'!AC32:AE32"/>
    <hyperlink ref="E55" location="'Mapa final'!Z33:AA33" display="'Mapa final'!Z33:AA33"/>
    <hyperlink ref="E56" location="'Mapa final'!AC33:AE33" display="'Mapa final'!AC33:AE33"/>
    <hyperlink ref="E57" location="'Mapa final'!Z34:AA34" display="'Mapa final'!Z34:AA34"/>
    <hyperlink ref="E58" location="'Mapa final'!AC34:AE34" display="'Mapa final'!AC34:AE34"/>
    <hyperlink ref="E59" location="'Mapa final'!Z35:AA35" display="'Mapa final'!Z35:AA35"/>
    <hyperlink ref="E60" location="'Mapa final'!AC35:AE35" display="'Mapa final'!AC35:AE35"/>
    <hyperlink ref="E61" location="'Mapa final'!Z36:AA36" display="'Mapa final'!Z36:AA36"/>
    <hyperlink ref="E62" location="'Mapa final'!AC36:AE36" display="'Mapa final'!AC36:AE36"/>
    <hyperlink ref="E63" location="'Mapa final'!Z37:AA37" display="'Mapa final'!Z37:AA37"/>
    <hyperlink ref="E64" location="'Mapa final'!AC37:AE37" display="'Mapa final'!AC37:AE37"/>
    <hyperlink ref="E65" location="'Mapa final'!Z38:AA38" display="'Mapa final'!Z38:AA38"/>
    <hyperlink ref="E66" location="'Mapa final'!AC38:AE38" display="'Mapa final'!AC38:AE38"/>
    <hyperlink ref="E67" location="'Mapa final'!Z39:AA39" display="'Mapa final'!Z39:AA39"/>
    <hyperlink ref="E68" location="'Mapa final'!AC39:AE39" display="'Mapa final'!AC39:AE39"/>
    <hyperlink ref="E69" location="'Mapa final'!Z40:AA40" display="'Mapa final'!Z40:AA40"/>
    <hyperlink ref="E70" location="'Mapa final'!AC40:AE40" display="'Mapa final'!AC40:AE40"/>
    <hyperlink ref="E71" location="'Mapa final'!Z41:AA41" display="'Mapa final'!Z41:AA41"/>
    <hyperlink ref="E72" location="'Mapa final'!AC41:AE41" display="'Mapa final'!AC41:AE41"/>
    <hyperlink ref="E73" location="'Mapa final'!Z42:AA42" display="'Mapa final'!Z42:AA42"/>
    <hyperlink ref="E74" location="'Mapa final'!AC42:AE42" display="'Mapa final'!AC42:AE42"/>
    <hyperlink ref="E75" location="'Mapa final'!Z43:AA43" display="'Mapa final'!Z43:AA43"/>
    <hyperlink ref="E76" location="'Mapa final'!AC43:AE43" display="'Mapa final'!AC43:AE43"/>
    <hyperlink ref="E77" location="'Mapa final'!Z44:AA44" display="'Mapa final'!Z44:AA44"/>
    <hyperlink ref="E78" location="'Mapa final'!AC44:AE44" display="'Mapa final'!AC44:AE44"/>
    <hyperlink ref="E79" location="'Mapa final'!Z45:AA45" display="'Mapa final'!Z45:AA45"/>
    <hyperlink ref="E80" location="'Mapa final'!AC45:AE45" display="'Mapa final'!AC45:AE45"/>
    <hyperlink ref="E81" location="'Mapa final'!Z46:AA46" display="'Mapa final'!Z46:AA46"/>
    <hyperlink ref="E82" location="'Mapa final'!AC46:AE46" display="'Mapa final'!AC46:AE46"/>
    <hyperlink ref="E83" location="'Mapa final'!Z47:AA47" display="'Mapa final'!Z47:AA47"/>
    <hyperlink ref="E84" location="'Mapa final'!AC47:AE47" display="'Mapa final'!AC47:AE47"/>
    <hyperlink ref="E85" location="'Mapa final'!Z48:AA48" display="'Mapa final'!Z48:AA48"/>
    <hyperlink ref="E86" location="'Mapa final'!AC48:AE48" display="'Mapa final'!AC48:AE48"/>
    <hyperlink ref="E87" location="'Mapa final'!Z49:AA49" display="'Mapa final'!Z49:AA49"/>
    <hyperlink ref="E88" location="'Mapa final'!AC49:AE49" display="'Mapa final'!AC49:AE49"/>
    <hyperlink ref="E89" location="'Mapa final'!Z50:AA50" display="'Mapa final'!Z50:AA50"/>
    <hyperlink ref="E90" location="'Mapa final'!AC50:AE50" display="'Mapa final'!AC50:AE50"/>
    <hyperlink ref="E91" location="'Mapa final'!Z51:AA51" display="'Mapa final'!Z51:AA51"/>
    <hyperlink ref="E92" location="'Mapa final'!AC51:AE51" display="'Mapa final'!AC51:AE51"/>
    <hyperlink ref="E93" location="'Mapa final'!Z52:AA52" display="'Mapa final'!Z52:AA52"/>
    <hyperlink ref="E94" location="'Mapa final'!AC52:AE52" display="'Mapa final'!AC52:AE52"/>
    <hyperlink ref="E95" location="'Mapa final'!Z53:AA53" display="'Mapa final'!Z53:AA53"/>
    <hyperlink ref="E96" location="'Mapa final'!AC53:AE53" display="'Mapa final'!AC53:AE53"/>
    <hyperlink ref="E97" location="'Mapa final'!Z54:AA54" display="'Mapa final'!Z54:AA54"/>
    <hyperlink ref="E98" location="'Mapa final'!AC54:AE54" display="'Mapa final'!AC54:AE54"/>
    <hyperlink ref="E99" location="'Mapa final'!Z55:AA55" display="'Mapa final'!Z55:AA55"/>
    <hyperlink ref="E100" location="'Mapa final'!AC55:AE55" display="'Mapa final'!AC55:AE55"/>
    <hyperlink ref="E101" location="'Mapa final'!Z56:AA56" display="'Mapa final'!Z56:AA56"/>
    <hyperlink ref="E102" location="'Mapa final'!AC56:AE56" display="'Mapa final'!AC56:AE56"/>
    <hyperlink ref="E103" location="'Mapa final'!Z57:AA57" display="'Mapa final'!Z57:AA57"/>
    <hyperlink ref="E104" location="'Mapa final'!AC57:AE57" display="'Mapa final'!AC57:AE57"/>
    <hyperlink ref="E105" location="'Mapa final'!Z58:AA58" display="'Mapa final'!Z58:AA58"/>
    <hyperlink ref="E106" location="'Mapa final'!AC58:AE58" display="'Mapa final'!AC58:AE58"/>
    <hyperlink ref="E107" location="'Mapa final'!Z59:AA59" display="'Mapa final'!Z59:AA59"/>
    <hyperlink ref="E108" location="'Mapa final'!AC59:AE59" display="'Mapa final'!AC59:AE59"/>
    <hyperlink ref="E109" location="'Mapa final'!Z60:AA60" display="'Mapa final'!Z60:AA60"/>
    <hyperlink ref="E110" location="'Mapa final'!AC60:AE60" display="'Mapa final'!AC60:AE60"/>
    <hyperlink ref="E111" location="'Mapa final'!Z61:AA61" display="'Mapa final'!Z61:AA61"/>
    <hyperlink ref="E112" location="'Mapa final'!AC61:AE61" display="'Mapa final'!AC61:AE61"/>
    <hyperlink ref="E113" location="'Mapa final'!Z62:AA62" display="'Mapa final'!Z62:AA62"/>
    <hyperlink ref="E114" location="'Mapa final'!AC62:AE62" display="'Mapa final'!AC62:AE62"/>
    <hyperlink ref="E115" location="'Mapa final'!Z63:AA63" display="'Mapa final'!Z63:AA63"/>
    <hyperlink ref="E116" location="'Mapa final'!AC63:AE63" display="'Mapa final'!AC63:AE63"/>
    <hyperlink ref="E117" location="'Mapa final'!Z64:AA64" display="'Mapa final'!Z64:AA64"/>
    <hyperlink ref="E118" location="'Mapa final'!AC64:AE64" display="'Mapa final'!AC64:AE64"/>
    <hyperlink ref="E119" location="'Mapa final'!Z65:AA65" display="'Mapa final'!Z65:AA65"/>
    <hyperlink ref="E120" location="'Mapa final'!AC65:AE65" display="'Mapa final'!AC65:AE65"/>
    <hyperlink ref="E121" location="'Mapa final'!Z66:AA66" display="'Mapa final'!Z66:AA66"/>
    <hyperlink ref="E122" location="'Mapa final'!AC66:AE66" display="'Mapa final'!AC66:AE66"/>
    <hyperlink ref="E123" location="'Mapa final'!Z67:AA67" display="'Mapa final'!Z67:AA67"/>
    <hyperlink ref="E124" location="'Mapa final'!AC67:AE67" display="'Mapa final'!AC67:AE67"/>
    <hyperlink ref="E125" location="'Mapa final'!Z68:AA68" display="'Mapa final'!Z68:AA68"/>
    <hyperlink ref="E126" location="'Mapa final'!AC68:AE68" display="'Mapa final'!AC68:AE68"/>
    <hyperlink ref="E127" location="'Mapa final'!Z69:AA69" display="'Mapa final'!Z69:AA69"/>
    <hyperlink ref="E128" location="'Mapa final'!AC69:AE69" display="'Mapa final'!AC69:AE69"/>
    <hyperlink ref="E131" location="'Mapa final'!J10" display="'Mapa final'!J10"/>
    <hyperlink ref="E132" location="'Mapa final'!J16" display="'Mapa final'!J16"/>
    <hyperlink ref="E133" location="'Mapa final'!N10" display="'Mapa final'!N10"/>
    <hyperlink ref="E134" location="'Mapa final'!N22" display="'Mapa final'!N22"/>
    <hyperlink ref="E135" location="'Mapa final'!N28" display="'Mapa final'!N28"/>
    <hyperlink ref="E136" location="'Mapa final'!N34" display="'Mapa final'!N34"/>
    <hyperlink ref="E137" location="'Mapa final'!N40" display="'Mapa final'!N40"/>
    <hyperlink ref="E138" location="'Mapa final'!N46" display="'Mapa final'!N46"/>
    <hyperlink ref="E139" location="'Mapa final'!N52" display="'Mapa final'!N52"/>
    <hyperlink ref="E140" location="'Mapa final'!N58" display="'Mapa final'!N58"/>
    <hyperlink ref="E141" location="'Mapa final'!N64" display="'Mapa final'!N64"/>
    <hyperlink ref="E142" location="'Mapa final'!N16" display="'Mapa final'!N16"/>
    <hyperlink ref="E143" location="'Mapa final'!P10" display="'Mapa final'!P10"/>
    <hyperlink ref="E144" location="'Mapa final'!P22" display="'Mapa final'!P22"/>
    <hyperlink ref="E145" location="'Mapa final'!P28" display="'Mapa final'!P28"/>
    <hyperlink ref="E146" location="'Mapa final'!P34" display="'Mapa final'!P34"/>
    <hyperlink ref="E147" location="'Mapa final'!P40" display="'Mapa final'!P40"/>
    <hyperlink ref="E148" location="'Mapa final'!P46" display="'Mapa final'!P46"/>
    <hyperlink ref="E149" location="'Mapa final'!P52" display="'Mapa final'!P52"/>
    <hyperlink ref="E150" location="'Mapa final'!P58" display="'Mapa final'!P58"/>
    <hyperlink ref="E151" location="'Mapa final'!P64" display="'Mapa final'!P64"/>
    <hyperlink ref="E152" location="'Mapa final'!P16" display="'Mapa final'!P16"/>
    <hyperlink ref="E153" location="'Mapa final'!AA10:AA69" display="'Mapa final'!AA10:AA69"/>
    <hyperlink ref="E154" location="'Mapa final'!AC10:AC69" display="'Mapa final'!AC10:AC69"/>
    <hyperlink ref="E155" location="'Mapa final'!AE10:AE69" display="'Mapa final'!AE10:AE69"/>
    <hyperlink ref="E156" location="'Mapa final'!J58" display="'Mapa final'!J58"/>
    <hyperlink ref="E157" location="'Mapa final'!J22" display="'Mapa final'!J22"/>
    <hyperlink ref="E158" location="'Mapa final'!J28" display="'Mapa final'!J28"/>
    <hyperlink ref="E159" location="'Mapa final'!J34" display="'Mapa final'!J34"/>
    <hyperlink ref="E160" location="'Mapa final'!J40" display="'Mapa final'!J40"/>
    <hyperlink ref="E161" location="'Mapa final'!J46" display="'Mapa final'!J46"/>
    <hyperlink ref="E162" location="'Mapa final'!J52" display="'Mapa final'!J52"/>
    <hyperlink ref="E163" location="'Mapa final'!J64" display="'Mapa final'!J64"/>
    <hyperlink ref="E166" location="'Mapa final'!J10:J16" display="'Mapa final'!J10:J16"/>
    <hyperlink ref="E167" location="'Mapa final'!N10:N64" display="'Mapa final'!N10:N64"/>
    <hyperlink ref="E168" location="'Mapa final'!P10:P64" display="'Mapa final'!P10:P64"/>
    <hyperlink ref="E169" location="'Mapa final'!AA10:AA69" display="'Mapa final'!AA10:AA69"/>
    <hyperlink ref="E170" location="'Mapa final'!AC10:AC69" display="'Mapa final'!AC10:AC69"/>
    <hyperlink ref="E171" location="'Mapa final'!AE10:AE69" display="'Mapa final'!AE10:AE69"/>
    <hyperlink ref="E172" location="'Mapa final'!J58" display="'Mapa final'!J58"/>
    <hyperlink ref="E173" location="'Mapa final'!J22" display="'Mapa final'!J22"/>
    <hyperlink ref="E174" location="'Mapa final'!J28" display="'Mapa final'!J28"/>
    <hyperlink ref="E175" location="'Mapa final'!J34" display="'Mapa final'!J34"/>
    <hyperlink ref="E176" location="'Mapa final'!J40" display="'Mapa final'!J40"/>
    <hyperlink ref="E177" location="'Mapa final'!J46" display="'Mapa final'!J46"/>
    <hyperlink ref="E178" location="'Mapa final'!J52" display="'Mapa final'!J52"/>
    <hyperlink ref="E179" location="'Mapa final'!J64" display="'Mapa final'!J64"/>
    <hyperlink ref="E180" location="'Mapa final'!M10:M69" display="'Mapa final'!M10:M69"/>
    <hyperlink ref="E183" location="'Mapa final'!B10:B15" display="'Mapa final'!B10:B15"/>
    <hyperlink ref="E184" location="'Mapa final'!D10:D15" display="'Mapa final'!D10:D15"/>
    <hyperlink ref="E185" location="'Mapa final'!H10:H15" display="'Mapa final'!H10:H15"/>
    <hyperlink ref="E186" location="'Mapa final'!L10:L15" display="'Mapa final'!L10:L15"/>
    <hyperlink ref="E187" location="'Tabla Impacto'!G210" display="'Tabla Impacto'!G210"/>
    <hyperlink ref="E193" location="'Tabla Impacto'!B209:C219" display="'Tabla Impacto'!B209:C219"/>
    <hyperlink ref="E196" location="'Tabla Impacto'!D209:E221" display="'Tabla Impacto'!D209:E221"/>
    <hyperlink ref="E199" location="'Tabla Impacto'!D209:E221" display="'Tabla Impacto'!D209:E22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6</vt:i4>
      </vt:variant>
    </vt:vector>
  </HeadingPairs>
  <TitlesOfParts>
    <vt:vector size="21" baseType="lpstr">
      <vt:lpstr>Intructivo</vt:lpstr>
      <vt:lpstr>Mapa final</vt:lpstr>
      <vt:lpstr>Monitoreo No. 1</vt:lpstr>
      <vt:lpstr>Monitoreo No. 2</vt:lpstr>
      <vt:lpstr>Monitoreo No . 3</vt:lpstr>
      <vt:lpstr>Matriz Calor Inherente</vt:lpstr>
      <vt:lpstr>Matriz Calor Residual</vt:lpstr>
      <vt:lpstr>Tabla probabilidad</vt:lpstr>
      <vt:lpstr>Monitoreo No. 4</vt:lpstr>
      <vt:lpstr>Monitoreo Riesgos de Corrupción</vt:lpstr>
      <vt:lpstr>Tabla Impacto</vt:lpstr>
      <vt:lpstr>Tabla Valoración controles</vt:lpstr>
      <vt:lpstr>Opciones Tratamiento</vt:lpstr>
      <vt:lpstr>Hoja1</vt:lpstr>
      <vt:lpstr>Informe de compatibilidad</vt:lpstr>
      <vt:lpstr>'Mapa final'!Área_de_impresión</vt:lpstr>
      <vt:lpstr>'Monitoreo No . 3'!Área_de_impresión</vt:lpstr>
      <vt:lpstr>'Monitoreo No. 1'!Área_de_impresión</vt:lpstr>
      <vt:lpstr>'Monitoreo No. 2'!Área_de_impresión</vt:lpstr>
      <vt:lpstr>'Monitoreo No. 4'!Área_de_impresión</vt:lpstr>
      <vt:lpstr>'Monitoreo Riesgos de Corrupción'!Área_de_impresión</vt:lpstr>
    </vt:vector>
  </TitlesOfParts>
  <Manager/>
  <Company>Hewlett-Packard</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Nicolas Corredor</cp:lastModifiedBy>
  <cp:revision/>
  <cp:lastPrinted>2025-01-24T16:40:09Z</cp:lastPrinted>
  <dcterms:created xsi:type="dcterms:W3CDTF">2020-03-24T23:12:47Z</dcterms:created>
  <dcterms:modified xsi:type="dcterms:W3CDTF">2025-03-21T20:16:29Z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icrosoft.ReportingServices.InteractiveReport.Excel.SheetName">
    <vt:i4>2</vt:i4>
  </property>
</Properties>
</file>